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 tabRatio="709" firstSheet="8" activeTab="14"/>
  </bookViews>
  <sheets>
    <sheet name="首页" sheetId="1" r:id="rId1"/>
    <sheet name="全球新能源乘用车销量" sheetId="12" r:id="rId2"/>
    <sheet name="德国新能源汽车销量" sheetId="13" r:id="rId3"/>
    <sheet name="挪威新能源汽车销量" sheetId="17" r:id="rId4"/>
    <sheet name="英国新能源汽车销量" sheetId="14" r:id="rId5"/>
    <sheet name="法国新能源汽车销量" sheetId="15" r:id="rId6"/>
    <sheet name="瑞典新能源汽车销量" sheetId="16" r:id="rId7"/>
    <sheet name="意大利新能源汽车销量" sheetId="18" r:id="rId8"/>
    <sheet name="西班牙新能源汽车销量" sheetId="19" r:id="rId9"/>
    <sheet name="中国新能源汽车销量-中汽协" sheetId="7" r:id="rId10"/>
    <sheet name="中国新能源汽车销量-乘联会" sheetId="9" r:id="rId11"/>
    <sheet name="新能源汽车销量汇总-中汽协乘联会" sheetId="11" r:id="rId12"/>
    <sheet name="纯电插混产销占比-中汽协" sheetId="20" r:id="rId13"/>
    <sheet name="核心新能源车企销量-月度" sheetId="8" r:id="rId14"/>
    <sheet name="充电桩-充电联盟" sheetId="10" r:id="rId15"/>
  </sheets>
  <calcPr calcId="191029" concurrentManualCount="4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9"/>
            <rFont val="宋体"/>
            <charset val="134"/>
          </rPr>
          <t xml:space="preserve">更多数据请关注公众号
【众鲤数据网】
官网https://zldatas.com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sz val="9"/>
            <rFont val="宋体"/>
            <charset val="134"/>
          </rPr>
          <t>更多数据请关注公众号
【众鲤数据网】
官网https://zldatas.com</t>
        </r>
      </text>
    </comment>
  </commentList>
</comments>
</file>

<file path=xl/comments3.xml><?xml version="1.0" encoding="utf-8"?>
<comments xmlns="http://schemas.openxmlformats.org/spreadsheetml/2006/main">
  <authors>
    <author>Yongkun Wu</author>
    <author>Gaga</author>
    <author>heng</author>
    <author>作者</author>
    <author>JUNYU MOU</author>
  </authors>
  <commentList>
    <comment ref="H11" authorId="0">
      <text>
        <r>
          <rPr>
            <sz val="9"/>
            <rFont val="宋体"/>
            <charset val="134"/>
          </rPr>
          <t>https://baijiahao.baidu.com/s?id=1740131440254430628&amp;wfr=spider&amp;for=pc</t>
        </r>
      </text>
    </comment>
    <comment ref="H17" authorId="0">
      <text>
        <r>
          <rPr>
            <sz val="9"/>
            <rFont val="宋体"/>
            <charset val="134"/>
          </rPr>
          <t>https://news.yiche.com/hao/wenzhang/70916137/</t>
        </r>
      </text>
    </comment>
    <comment ref="K44" authorId="1">
      <text>
        <r>
          <rPr>
            <b/>
            <sz val="9"/>
            <rFont val="宋体"/>
            <charset val="134"/>
          </rPr>
          <t>Gaga:</t>
        </r>
        <r>
          <rPr>
            <sz val="9"/>
            <rFont val="宋体"/>
            <charset val="134"/>
          </rPr>
          <t xml:space="preserve">
top17
</t>
        </r>
      </text>
    </comment>
    <comment ref="K57" authorId="2">
      <text>
        <r>
          <rPr>
            <sz val="9"/>
            <rFont val="宋体"/>
            <charset val="134"/>
          </rPr>
          <t>（乘联会预估）</t>
        </r>
      </text>
    </comment>
    <comment ref="K81" authorId="2">
      <text>
        <r>
          <rPr>
            <sz val="9"/>
            <rFont val="宋体"/>
            <charset val="134"/>
          </rPr>
          <t>（乘联会预估）</t>
        </r>
      </text>
    </comment>
    <comment ref="B195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2020年同比增长率53%倒算</t>
        </r>
      </text>
    </comment>
    <comment ref="C195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2020年同比增长100%倒算</t>
        </r>
      </text>
    </comment>
    <comment ref="D195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2020年同比增长率121%倒算
</t>
        </r>
      </text>
    </comment>
    <comment ref="E195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2020年增长率125%倒算</t>
        </r>
      </text>
    </comment>
    <comment ref="F195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2020年增长率110%倒算</t>
        </r>
      </text>
    </comment>
    <comment ref="G195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20年同比增长率49%计算所得</t>
        </r>
      </text>
    </comment>
    <comment ref="H195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20年1-7月同比增长倒算－20年1-6月同比倒算</t>
        </r>
      </text>
    </comment>
    <comment ref="I195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20年同比增长64%倒算</t>
        </r>
      </text>
    </comment>
    <comment ref="J195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20年同比增长75%计算</t>
        </r>
      </text>
    </comment>
    <comment ref="K195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10月未披露同比增长。用年终总量－其他几月</t>
        </r>
      </text>
    </comment>
    <comment ref="L196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21年同比增长率计算所得</t>
        </r>
      </text>
    </comment>
    <comment ref="C197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用3月环比增长116.5%计算</t>
        </r>
      </text>
    </comment>
    <comment ref="E197" authorId="3">
      <text>
        <r>
          <rPr>
            <b/>
            <sz val="9"/>
            <rFont val="宋体"/>
            <charset val="134"/>
          </rPr>
          <t>User:公众号未披露，乘联会数据https://auto.gasgoo.com/qcxl/article/64365.html</t>
        </r>
      </text>
    </comment>
    <comment ref="A243" authorId="3">
      <text>
        <r>
          <rPr>
            <sz val="11"/>
            <color rgb="FF000000"/>
            <rFont val="宋体"/>
            <scheme val="minor"/>
            <charset val="0"/>
          </rPr>
          <t>2021年1月9日于成都举行的NIO Day2020</t>
        </r>
      </text>
    </comment>
    <comment ref="A245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Moujy:
2021年12月18日，蔚来NIO Day2021推出ET5</t>
        </r>
      </text>
    </comment>
    <comment ref="A250" authorId="3">
      <text>
        <r>
          <rPr>
            <sz val="11"/>
            <color rgb="FF000000"/>
            <rFont val="宋体"/>
            <scheme val="minor"/>
            <charset val="0"/>
          </rPr>
          <t>2021年1月9日于成都举行的NIO Day2020</t>
        </r>
      </text>
    </comment>
    <comment ref="A253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Moujy:
2021年12月18日，蔚来NIO Day2021推出ET5</t>
        </r>
      </text>
    </comment>
    <comment ref="A254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Moujy:
2021年12月18日，蔚来NIO Day2021推出ET5</t>
        </r>
      </text>
    </comment>
    <comment ref="A259" authorId="3">
      <text>
        <r>
          <rPr>
            <sz val="11"/>
            <color rgb="FF000000"/>
            <rFont val="宋体"/>
            <scheme val="minor"/>
            <charset val="0"/>
          </rPr>
          <t>2021年1月9日于成都举行的NIO Day2020</t>
        </r>
      </text>
    </comment>
    <comment ref="A262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Moujy:
2021年12月18日，蔚来NIO Day2021推出ET5</t>
        </r>
      </text>
    </comment>
    <comment ref="A263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Moujy:
2021年12月18日，蔚来NIO Day2021推出ET5</t>
        </r>
      </text>
    </comment>
    <comment ref="A268" authorId="3">
      <text>
        <r>
          <rPr>
            <sz val="11"/>
            <color rgb="FF000000"/>
            <rFont val="宋体"/>
            <scheme val="minor"/>
            <charset val="0"/>
          </rPr>
          <t>2021年1月9日于成都举行的NIO Day2020</t>
        </r>
      </text>
    </comment>
    <comment ref="A271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Moujy:
2021年12月18日，蔚来NIO Day2021推出ET5</t>
        </r>
      </text>
    </comment>
    <comment ref="A272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Moujy:
2021年12月18日，蔚来NIO Day2021推出ET5</t>
        </r>
      </text>
    </comment>
    <comment ref="A280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9月15日上市第三款量产车型</t>
        </r>
      </text>
    </comment>
    <comment ref="A284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9月15日上市第三款量产车型</t>
        </r>
      </text>
    </comment>
    <comment ref="A286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2021年11月广州车展露面，2022年新车型SUV，充电5分钟，续航200KM</t>
        </r>
      </text>
    </comment>
    <comment ref="A289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9月15日上市第三款量产车型</t>
        </r>
      </text>
    </comment>
    <comment ref="A291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2021年11月广州车展露面，2022年新车型SUV，充电5分钟，续航200KM</t>
        </r>
      </text>
    </comment>
    <comment ref="A296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9月15日上市第三款量产车型</t>
        </r>
      </text>
    </comment>
    <comment ref="A298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2021年11月广州车展露面，2022年新车型SUV，充电5分钟，续航200KM</t>
        </r>
      </text>
    </comment>
    <comment ref="A305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9月15日上市第三款量产车型</t>
        </r>
      </text>
    </comment>
    <comment ref="A307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2021年11月广州车展露面，2022年新车型SUV，充电5分钟，续航200KM</t>
        </r>
      </text>
    </comment>
    <comment ref="A314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理想汽车CEO李想在官方App上发消息称，理想品牌旗下首款产品理想ONE正式量产后，首月产量达到1530辆，在12月4日开始交付以来，到2019年最后一天共交付1000辆理想ONE</t>
        </r>
      </text>
    </comment>
    <comment ref="A318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22年新车型理想X01同样采用了增程式电动车路线，增程器为1.5T四缸发动机，据了解新车的驱动电机来自长城蜂巢动力。电池方面为一块44.5kWh的大电池，WLTC工况下纯电续航155km，在加上65L油箱，总续航里程突破800km。</t>
        </r>
      </text>
    </comment>
    <comment ref="A322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22年新车型理想X01同样采用了增程式电动车路线，增程器为1.5T四缸发动机，据了解新车的驱动电机来自长城蜂巢动力。电池方面为一块44.5kWh的大电池，WLTC工况下纯电续航155km，在加上65L油箱，总续航里程突破800km。</t>
        </r>
      </text>
    </comment>
    <comment ref="A400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的智能纯电轿跑哪吒S将在21年底前正式对外公布</t>
        </r>
      </text>
    </comment>
    <comment ref="A404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的智能纯电轿跑哪吒S将在21年底前正式对外公布</t>
        </r>
      </text>
    </comment>
    <comment ref="A408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的智能纯电轿跑哪吒S将在21年底前正式对外公布</t>
        </r>
      </text>
    </comment>
    <comment ref="A413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的智能纯电轿跑哪吒S将在21年底前正式对外公布</t>
        </r>
      </text>
    </comment>
    <comment ref="G420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6月份T03交付量为3745</t>
        </r>
      </text>
    </comment>
    <comment ref="A423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零跑C11于2021年10月底开始交付，16万起</t>
        </r>
      </text>
    </comment>
    <comment ref="A427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零跑C11于2021年10月底开始交付，16万起</t>
        </r>
      </text>
    </comment>
    <comment ref="A431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零跑C11于2021年10月底开始交付，16万起</t>
        </r>
      </text>
    </comment>
    <comment ref="A437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零跑C11于2021年10月底开始交付，16万起</t>
        </r>
      </text>
    </comment>
    <comment ref="A445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上汽大众</t>
        </r>
      </text>
    </comment>
    <comment ref="A446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一汽大众</t>
        </r>
      </text>
    </comment>
    <comment ref="A447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上汽大众</t>
        </r>
      </text>
    </comment>
    <comment ref="A448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一汽大众</t>
        </r>
      </text>
    </comment>
    <comment ref="A449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上汽大众</t>
        </r>
      </text>
    </comment>
    <comment ref="A451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上汽大众</t>
        </r>
      </text>
    </comment>
    <comment ref="A452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一汽大众</t>
        </r>
      </text>
    </comment>
    <comment ref="A453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上汽大众</t>
        </r>
      </text>
    </comment>
    <comment ref="A454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一汽大众</t>
        </r>
      </text>
    </comment>
    <comment ref="A455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上汽大众</t>
        </r>
      </text>
    </comment>
    <comment ref="A457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上汽大众</t>
        </r>
      </text>
    </comment>
    <comment ref="A458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一汽大众</t>
        </r>
      </text>
    </comment>
    <comment ref="A459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上汽大众</t>
        </r>
      </text>
    </comment>
    <comment ref="A460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一汽大众</t>
        </r>
      </text>
    </comment>
    <comment ref="A461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上汽大众</t>
        </r>
      </text>
    </comment>
    <comment ref="A463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上汽大众</t>
        </r>
      </text>
    </comment>
    <comment ref="A464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一汽大众</t>
        </r>
      </text>
    </comment>
    <comment ref="A465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上汽大众</t>
        </r>
      </text>
    </comment>
    <comment ref="A466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一汽大众</t>
        </r>
      </text>
    </comment>
    <comment ref="A467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上汽大众</t>
        </r>
      </text>
    </comment>
    <comment ref="A470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上汽大众</t>
        </r>
      </text>
    </comment>
    <comment ref="A471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一汽大众</t>
        </r>
      </text>
    </comment>
    <comment ref="A472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上汽大众</t>
        </r>
      </text>
    </comment>
    <comment ref="A473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一汽大众</t>
        </r>
      </text>
    </comment>
    <comment ref="A474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上汽大众</t>
        </r>
      </text>
    </comment>
    <comment ref="C535" authorId="4">
      <text>
        <r>
          <rPr>
            <b/>
            <sz val="9"/>
            <rFont val="宋体"/>
            <charset val="134"/>
          </rPr>
          <t>JUNYU MOU:</t>
        </r>
        <r>
          <rPr>
            <sz val="9"/>
            <rFont val="宋体"/>
            <charset val="134"/>
          </rPr>
          <t xml:space="preserve">
领克品牌在2月份的销量为13209辆，相比上年同期增长了9%。其中，领克EM-P家族的销量占比约为47%</t>
        </r>
      </text>
    </comment>
    <comment ref="C541" authorId="4">
      <text>
        <r>
          <rPr>
            <b/>
            <sz val="9"/>
            <rFont val="宋体"/>
            <charset val="134"/>
          </rPr>
          <t>JUNYU MOU:</t>
        </r>
        <r>
          <rPr>
            <sz val="9"/>
            <rFont val="宋体"/>
            <charset val="134"/>
          </rPr>
          <t xml:space="preserve">
领克品牌在2月份的销量为13209辆，相比上年同期增长了9%。其中，领克EM-P家族的销量占比约为47%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9"/>
            <rFont val="宋体"/>
            <charset val="134"/>
          </rPr>
          <t xml:space="preserve">更多数据请关注公众号
【众鲤数据网】
官网https://zldatas.com
</t>
        </r>
      </text>
    </comment>
  </commentList>
</comments>
</file>

<file path=xl/sharedStrings.xml><?xml version="1.0" encoding="utf-8"?>
<sst xmlns="http://schemas.openxmlformats.org/spreadsheetml/2006/main" count="2223" uniqueCount="433">
  <si>
    <t>目录</t>
  </si>
  <si>
    <t>数据来源</t>
  </si>
  <si>
    <t>全球新能源乘用车销量</t>
  </si>
  <si>
    <t>EV-sales</t>
  </si>
  <si>
    <t>德国新能源汽车销量</t>
  </si>
  <si>
    <t>德国汽车协会官网</t>
  </si>
  <si>
    <t>英国新能源汽车销量</t>
  </si>
  <si>
    <t>英国汽车协会官网</t>
  </si>
  <si>
    <t>法国新能源汽车销量</t>
  </si>
  <si>
    <t>法国汽车协会官网</t>
  </si>
  <si>
    <t>瑞典新能源汽车销量</t>
  </si>
  <si>
    <t>瑞典汽车协会官网</t>
  </si>
  <si>
    <t>挪威新能源汽车销量</t>
  </si>
  <si>
    <t>挪威汽车协会官网</t>
  </si>
  <si>
    <t>意大利新能源汽车销量</t>
  </si>
  <si>
    <t>意大利汽车协会官网</t>
  </si>
  <si>
    <t>西班牙新能源汽车销量</t>
  </si>
  <si>
    <t>西班牙汽车协会官网</t>
  </si>
  <si>
    <t>中国新能源汽车销量</t>
  </si>
  <si>
    <t>中汽协</t>
  </si>
  <si>
    <t>乘联会</t>
  </si>
  <si>
    <t>新能源汽车销量汇总</t>
  </si>
  <si>
    <t>中汽协、乘联会</t>
  </si>
  <si>
    <t>纯电插混产销占比</t>
  </si>
  <si>
    <t>核心新能源车企销量-月度</t>
  </si>
  <si>
    <r>
      <rPr>
        <sz val="11"/>
        <color theme="4" tint="-0.249977111117893"/>
        <rFont val="楷体_GB2312"/>
        <charset val="134"/>
      </rPr>
      <t>公司公告、乘联会、官方微信号</t>
    </r>
  </si>
  <si>
    <t>充电桩</t>
  </si>
  <si>
    <t>中国充电联盟</t>
  </si>
  <si>
    <t>全球新能源汽车销量(万辆)</t>
  </si>
  <si>
    <t>YOY</t>
  </si>
  <si>
    <t>乘用车(万辆)</t>
  </si>
  <si>
    <t>全球新能源汽车渗透率</t>
  </si>
  <si>
    <t>德国</t>
  </si>
  <si>
    <t>2014年</t>
  </si>
  <si>
    <t>2015年</t>
  </si>
  <si>
    <t>2016年</t>
  </si>
  <si>
    <t>2017年</t>
  </si>
  <si>
    <t>2018年</t>
  </si>
  <si>
    <t>2019年</t>
  </si>
  <si>
    <t>2020年</t>
  </si>
  <si>
    <t>2021H1</t>
  </si>
  <si>
    <t>2021年</t>
  </si>
  <si>
    <t>2022H1</t>
  </si>
  <si>
    <t>2022年</t>
  </si>
  <si>
    <t>2023H1</t>
  </si>
  <si>
    <t>2024H1</t>
  </si>
  <si>
    <t>德国新能源汽车销量（万辆）</t>
  </si>
  <si>
    <t>德国乘用车销量（万辆）</t>
  </si>
  <si>
    <t>德国新能源乘用车渗透率</t>
  </si>
  <si>
    <t>数据来源：各国汽车协会官网</t>
  </si>
  <si>
    <t>德国新能源乘用车销量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</si>
  <si>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</si>
  <si>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</si>
  <si>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</si>
  <si>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</si>
  <si>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</si>
  <si>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</si>
  <si>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</si>
  <si>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</si>
  <si>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</si>
  <si>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</si>
  <si>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</si>
  <si>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</si>
  <si>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总计</t>
  </si>
  <si>
    <t>环比</t>
  </si>
  <si>
    <t>EV</t>
  </si>
  <si>
    <t>PHEV</t>
  </si>
  <si>
    <t>EV占比</t>
  </si>
  <si>
    <t>PHEV占比</t>
  </si>
  <si>
    <t>同比</t>
  </si>
  <si>
    <t>5月德国已经环比大幅改善，同比出现正增长</t>
  </si>
  <si>
    <t>德国乘用车销量</t>
  </si>
  <si>
    <t>新能源乘用车占比汽车销量</t>
  </si>
  <si>
    <t>2024年5月汽车销量 |道路交通信息委员会 (ofv.no)</t>
  </si>
  <si>
    <t>挪威</t>
  </si>
  <si>
    <t>2023年</t>
  </si>
  <si>
    <t>挪威新能源汽车销量（万辆）</t>
  </si>
  <si>
    <t>挪威乘用车销量（万辆）</t>
  </si>
  <si>
    <t>挪威新能源乘用车渗透率</t>
  </si>
  <si>
    <t>挪威新能源乘用车销量</t>
  </si>
  <si>
    <t>挪威乘用车销量</t>
  </si>
  <si>
    <t>英国</t>
  </si>
  <si>
    <t>英国新能源汽车销量（万辆）</t>
  </si>
  <si>
    <t>英国乘用车销量（万辆）</t>
  </si>
  <si>
    <t>英国新能源乘用车渗透率</t>
  </si>
  <si>
    <t>英国新能源乘用车销量</t>
  </si>
  <si>
    <t>英国乘用车销量</t>
  </si>
  <si>
    <t>法国</t>
  </si>
  <si>
    <t>法国新能源汽车销量（万辆）</t>
  </si>
  <si>
    <t>法国乘用车销量（万辆）</t>
  </si>
  <si>
    <t>法国新能源乘用车渗透率</t>
  </si>
  <si>
    <t>法国新能源乘用车销量</t>
  </si>
  <si>
    <t>法国乘用车销量</t>
  </si>
  <si>
    <t>瑞典</t>
  </si>
  <si>
    <t>瑞典新能源汽车销量（万辆）</t>
  </si>
  <si>
    <t>瑞典乘用车销量（万辆）</t>
  </si>
  <si>
    <t>瑞典新能源乘用车渗透率</t>
  </si>
  <si>
    <t>瑞典新能源乘用车销量</t>
  </si>
  <si>
    <t>瑞典乘用车销量</t>
  </si>
  <si>
    <t>意大利</t>
  </si>
  <si>
    <t>意大利新能源汽车销量（万辆）</t>
  </si>
  <si>
    <t>意大利乘用车销量（万辆）</t>
  </si>
  <si>
    <t>意大利新能源乘用车渗透率</t>
  </si>
  <si>
    <t>意大利新能源乘用车销量</t>
  </si>
  <si>
    <t>更多数据请关注公众号</t>
  </si>
  <si>
    <t>【众鲤数据网】</t>
  </si>
  <si>
    <t>官网https://zldatas.com</t>
  </si>
  <si>
    <t>意大利乘用车销量</t>
  </si>
  <si>
    <t>西班牙</t>
  </si>
  <si>
    <t>西班牙新能源汽车销量（万辆）</t>
  </si>
  <si>
    <t>西班牙乘用车销量（万辆）</t>
  </si>
  <si>
    <t>西班牙新能源乘用车渗透率</t>
  </si>
  <si>
    <t>西班牙新能源乘用车销量</t>
  </si>
  <si>
    <t>西班牙乘用车销量</t>
  </si>
  <si>
    <t>2014-2022中国新能源车销量及渗透率-中汽协</t>
  </si>
  <si>
    <t>2022Q1</t>
  </si>
  <si>
    <t>22年Q1-Q3</t>
  </si>
  <si>
    <t>2023Q1</t>
  </si>
  <si>
    <t>新能源汽车销量（万辆）</t>
  </si>
  <si>
    <t>BEV（辆）</t>
  </si>
  <si>
    <t>PHEV（辆）</t>
  </si>
  <si>
    <t>纯电占比</t>
  </si>
  <si>
    <t>乘用车销量（万辆）</t>
  </si>
  <si>
    <t>汽车销量（万辆）</t>
  </si>
  <si>
    <t>渗透率</t>
  </si>
  <si>
    <t>中汽协新能源销量（万辆）</t>
  </si>
  <si>
    <t>全年口径改为949.5</t>
  </si>
  <si>
    <t>计算数据与中汽协统计口径不同，暂按中汽协统计数据1286.6右图</t>
  </si>
  <si>
    <t>中汽协汽车销量（万辆）</t>
  </si>
  <si>
    <t>计算数据与中汽协统计口径不同，暂按中汽协统计数据</t>
  </si>
  <si>
    <t>全年口径改为3143.6，见右图</t>
  </si>
  <si>
    <t>中汽协渗透率销量</t>
  </si>
  <si>
    <t>乘联会新能源零售销量（万辆）</t>
  </si>
  <si>
    <t>中国新能源车狭义批发销量（万辆）-乘联会</t>
  </si>
  <si>
    <t>全年</t>
  </si>
  <si>
    <t>（原12月统计口径为110.8，1月统计口径为38.9）</t>
  </si>
  <si>
    <t>(口径统一为1223.0</t>
  </si>
  <si>
    <t>中国乘用车狭义批发销量（万辆）-乘联会</t>
  </si>
  <si>
    <t>（原12月统计口径为271.4，一月统计口径为144.9）</t>
  </si>
  <si>
    <t>中国新能源乘用车批发渗透率</t>
  </si>
  <si>
    <t>中国新能源车零售销量（万辆）</t>
  </si>
  <si>
    <t>中国乘用车狭义零售销量（万辆）</t>
  </si>
  <si>
    <t>（原12月统计口径为235.3）</t>
  </si>
  <si>
    <t>中国新能源乘用车零售渗透率</t>
  </si>
  <si>
    <t>中国乘用车出口销量（万辆）</t>
  </si>
  <si>
    <t>口径改为479.1</t>
  </si>
  <si>
    <t>中国新能源车出口销量（万辆）</t>
  </si>
  <si>
    <t>中国新能源汽车销量（万辆）</t>
  </si>
  <si>
    <t>销量:汽车（万辆）</t>
  </si>
  <si>
    <t>销量:新能源汽车:累计值（万辆）</t>
  </si>
  <si>
    <t>新能源车渗透率</t>
  </si>
  <si>
    <t>中国新能源汽车出口销量（万辆）</t>
  </si>
  <si>
    <t>共计</t>
  </si>
  <si>
    <t>欧洲新能源汽车销量（万辆）</t>
  </si>
  <si>
    <t>EV Sales</t>
  </si>
  <si>
    <t>新能源汽车渗透率</t>
  </si>
  <si>
    <t>新能源乘用车渗透率</t>
  </si>
  <si>
    <t>狭义零售</t>
  </si>
  <si>
    <t>汽车销量同比</t>
  </si>
  <si>
    <t>汽车销量环比</t>
  </si>
  <si>
    <t>新能源汽车销量同比</t>
  </si>
  <si>
    <t>新能源汽车销量环比</t>
  </si>
  <si>
    <t>新能源乘用车销量（万辆）</t>
  </si>
  <si>
    <t>乘用车销量同比</t>
  </si>
  <si>
    <t>乘用车销量环比</t>
  </si>
  <si>
    <t>新能源乘用车销量同比</t>
  </si>
  <si>
    <t>新能源乘用车销量环比</t>
  </si>
  <si>
    <t>单位：万辆</t>
  </si>
  <si>
    <t xml:space="preserve"> </t>
  </si>
  <si>
    <t>动力类型</t>
  </si>
  <si>
    <t>2022产量</t>
  </si>
  <si>
    <t>2022销量</t>
  </si>
  <si>
    <t>产量</t>
  </si>
  <si>
    <t>插电占比</t>
  </si>
  <si>
    <t>销量</t>
  </si>
  <si>
    <t>纯电动</t>
  </si>
  <si>
    <t>占比</t>
  </si>
  <si>
    <t>插电式混合动力</t>
  </si>
  <si>
    <t>燃料电池</t>
  </si>
  <si>
    <t>2023产量</t>
  </si>
  <si>
    <t>2023销量</t>
  </si>
  <si>
    <t>2024产量</t>
  </si>
  <si>
    <t>2024销量</t>
  </si>
  <si>
    <t>2025产量</t>
  </si>
  <si>
    <t>2025销量</t>
  </si>
  <si>
    <t>单位：辆</t>
  </si>
  <si>
    <t>新能源厂商销量</t>
  </si>
  <si>
    <t>比亚迪海外销量（辆）</t>
  </si>
  <si>
    <t>比亚迪</t>
  </si>
  <si>
    <t>AION</t>
  </si>
  <si>
    <t>极氪</t>
  </si>
  <si>
    <t>小鹏</t>
  </si>
  <si>
    <t>蔚来</t>
  </si>
  <si>
    <t>理想</t>
  </si>
  <si>
    <t>哪吒</t>
  </si>
  <si>
    <t>零跑</t>
  </si>
  <si>
    <t>赛力斯</t>
  </si>
  <si>
    <t>上汽乘用车</t>
  </si>
  <si>
    <t>特斯拉</t>
  </si>
  <si>
    <t>奇瑞</t>
  </si>
  <si>
    <t>长城</t>
  </si>
  <si>
    <t>北汽</t>
  </si>
  <si>
    <t>岚图</t>
  </si>
  <si>
    <t>top15</t>
  </si>
  <si>
    <t>新能源乘联会口径</t>
  </si>
  <si>
    <t>top15占比</t>
  </si>
  <si>
    <t>乘用车</t>
  </si>
  <si>
    <t>新能源占比</t>
  </si>
  <si>
    <t>数据来源：乘联会零售</t>
  </si>
  <si>
    <t>上汽、北汽来自于产销快报</t>
  </si>
  <si>
    <t>新能源厂商乘用车批发销量</t>
  </si>
  <si>
    <t>长安</t>
  </si>
  <si>
    <t>上汽通用五菱</t>
  </si>
  <si>
    <t>吉利汽车</t>
  </si>
  <si>
    <t>小米</t>
  </si>
  <si>
    <t>20000（预估）</t>
  </si>
  <si>
    <t>东风汽车</t>
  </si>
  <si>
    <t>比亚迪新能源汽车销量(辆)</t>
  </si>
  <si>
    <t>燃油汽车销量</t>
  </si>
  <si>
    <t>纯电</t>
  </si>
  <si>
    <t>插电式混动</t>
  </si>
  <si>
    <t>yoy</t>
  </si>
  <si>
    <t>-乘用车</t>
  </si>
  <si>
    <t>2024年</t>
  </si>
  <si>
    <t>口径为1764992</t>
  </si>
  <si>
    <t>口径为2485378</t>
  </si>
  <si>
    <t>2025年</t>
  </si>
  <si>
    <t>特斯拉全球(千辆)</t>
  </si>
  <si>
    <t>Q1</t>
  </si>
  <si>
    <t>Q2</t>
  </si>
  <si>
    <t>Q3</t>
  </si>
  <si>
    <t>Q4</t>
  </si>
  <si>
    <t>数据来源：特斯拉公告</t>
  </si>
  <si>
    <t>乘联会，特斯拉中国</t>
  </si>
  <si>
    <t>特斯拉中国-内销M3</t>
  </si>
  <si>
    <t>特斯拉中国批发销量</t>
  </si>
  <si>
    <t>出口量</t>
  </si>
  <si>
    <t>内销</t>
  </si>
  <si>
    <t>MY</t>
  </si>
  <si>
    <t>M3</t>
  </si>
  <si>
    <t>数据来源：内销来自车主指南，批发销量、出口量来自乘联会</t>
  </si>
  <si>
    <t>广汽埃安销量(辆)</t>
  </si>
  <si>
    <t>广汽埃安</t>
  </si>
  <si>
    <t>AION Y</t>
  </si>
  <si>
    <t>AION S</t>
  </si>
  <si>
    <t>AION V</t>
  </si>
  <si>
    <t>AION LX</t>
  </si>
  <si>
    <t>昊铂GT</t>
  </si>
  <si>
    <t>昊铂HT</t>
  </si>
  <si>
    <t>AION RT</t>
  </si>
  <si>
    <t>AION UT</t>
  </si>
  <si>
    <t>蔚来汽车交付(辆)</t>
  </si>
  <si>
    <t>ES8</t>
  </si>
  <si>
    <t>ES6</t>
  </si>
  <si>
    <t>EC6</t>
  </si>
  <si>
    <t>ET7</t>
  </si>
  <si>
    <t>ES7</t>
  </si>
  <si>
    <t>ET5</t>
  </si>
  <si>
    <t>EC7</t>
  </si>
  <si>
    <t>ET5T</t>
  </si>
  <si>
    <t>小鹏汽车交付(辆)</t>
  </si>
  <si>
    <t>P7</t>
  </si>
  <si>
    <t>P5</t>
  </si>
  <si>
    <t>G3i</t>
  </si>
  <si>
    <t>G3</t>
  </si>
  <si>
    <t>G9</t>
  </si>
  <si>
    <t>-</t>
  </si>
  <si>
    <t>G6</t>
  </si>
  <si>
    <t>P7+</t>
  </si>
  <si>
    <t>X9</t>
  </si>
  <si>
    <t>MONA M03</t>
  </si>
  <si>
    <t>理想汽车交付(辆)</t>
  </si>
  <si>
    <t>2019年理想首月产量达到1530辆，在12月4日开始交付以来，到2019年最后一天共交付1000辆理想ONE</t>
  </si>
  <si>
    <t>ONE</t>
  </si>
  <si>
    <t>L9</t>
  </si>
  <si>
    <t>L8</t>
  </si>
  <si>
    <t>停售</t>
  </si>
  <si>
    <t>L7</t>
  </si>
  <si>
    <t>L6</t>
  </si>
  <si>
    <t>MEGA</t>
  </si>
  <si>
    <t>i8</t>
  </si>
  <si>
    <t>one</t>
  </si>
  <si>
    <t>问界(辆)</t>
  </si>
  <si>
    <t>问界</t>
  </si>
  <si>
    <t>M5</t>
  </si>
  <si>
    <t>M7</t>
  </si>
  <si>
    <t>M9</t>
  </si>
  <si>
    <t>深蓝(辆)</t>
  </si>
  <si>
    <t>深蓝</t>
  </si>
  <si>
    <t>深蓝SL03</t>
  </si>
  <si>
    <t>深蓝S7</t>
  </si>
  <si>
    <t>深蓝S07</t>
  </si>
  <si>
    <t>深蓝G318</t>
  </si>
  <si>
    <t>深蓝L07</t>
  </si>
  <si>
    <t>深蓝S05</t>
  </si>
  <si>
    <t>哪吒汽车交付(辆)</t>
  </si>
  <si>
    <t>V</t>
  </si>
  <si>
    <t>U</t>
  </si>
  <si>
    <t>S</t>
  </si>
  <si>
    <t>AYA</t>
  </si>
  <si>
    <t>5,609(更名为AYA）</t>
  </si>
  <si>
    <t>X</t>
  </si>
  <si>
    <t>L</t>
  </si>
  <si>
    <t>GT</t>
  </si>
  <si>
    <t>零跑汽车交付(辆)</t>
  </si>
  <si>
    <t>T03</t>
  </si>
  <si>
    <t>C11</t>
  </si>
  <si>
    <t>C01</t>
  </si>
  <si>
    <t>C10</t>
  </si>
  <si>
    <t>C16</t>
  </si>
  <si>
    <t>国内大众ID.销量(辆)</t>
  </si>
  <si>
    <t>大众ID.</t>
  </si>
  <si>
    <t>ID.4 X</t>
  </si>
  <si>
    <t>ID.4 CROZZ</t>
  </si>
  <si>
    <t>ID.6 X</t>
  </si>
  <si>
    <t>ID.6 CROZZ</t>
  </si>
  <si>
    <t>ID.3</t>
  </si>
  <si>
    <t>ID.7 VIZZION</t>
  </si>
  <si>
    <t>五菱(辆)</t>
  </si>
  <si>
    <t>宏光MINIEV(辆)</t>
  </si>
  <si>
    <t>宏光 MINIEV</t>
  </si>
  <si>
    <t>上汽荣威销量(辆)</t>
  </si>
  <si>
    <t>上汽荣威</t>
  </si>
  <si>
    <t>荣威RX5</t>
  </si>
  <si>
    <t>荣威i5</t>
  </si>
  <si>
    <t>科莱威CLEVER</t>
  </si>
  <si>
    <t>荣威i6 MAX</t>
  </si>
  <si>
    <t>荣威iMAX8</t>
  </si>
  <si>
    <t>荣威Ei5</t>
  </si>
  <si>
    <t>荣威iMAX8新能源</t>
  </si>
  <si>
    <t>领克(辆)—仅新能源</t>
  </si>
  <si>
    <t>领克</t>
  </si>
  <si>
    <t>领克01新能源</t>
  </si>
  <si>
    <t>领克05新能源</t>
  </si>
  <si>
    <t>领克06新能源</t>
  </si>
  <si>
    <t>领克09新能源</t>
  </si>
  <si>
    <t>领克08新能源</t>
  </si>
  <si>
    <t>领克07</t>
  </si>
  <si>
    <t>领克Z10</t>
  </si>
  <si>
    <t>领克Z20</t>
  </si>
  <si>
    <t>极氪(辆)</t>
  </si>
  <si>
    <t>极氪001</t>
  </si>
  <si>
    <t>极氪009</t>
  </si>
  <si>
    <t>极氪X</t>
  </si>
  <si>
    <t>极氪007</t>
  </si>
  <si>
    <t>极氪7X</t>
  </si>
  <si>
    <t>极氪MIX</t>
  </si>
  <si>
    <t>吉利新能源（辆）</t>
  </si>
  <si>
    <t>吉利新能源</t>
  </si>
  <si>
    <t>熊猫mini</t>
  </si>
  <si>
    <t>帝豪新能源</t>
  </si>
  <si>
    <t>星越L 增程电动版</t>
  </si>
  <si>
    <t>星愿</t>
  </si>
  <si>
    <t>吉利银河（辆）</t>
  </si>
  <si>
    <t>吉利银河</t>
  </si>
  <si>
    <t>银河L7</t>
  </si>
  <si>
    <t>银河L6</t>
  </si>
  <si>
    <t>银河E8</t>
  </si>
  <si>
    <t>银河E5</t>
  </si>
  <si>
    <t>银河星舰7 EM-i</t>
  </si>
  <si>
    <t>比亚迪（辆）</t>
  </si>
  <si>
    <t>秦PLUS</t>
  </si>
  <si>
    <t>秦L</t>
  </si>
  <si>
    <t>秦新能源</t>
  </si>
  <si>
    <t>汉</t>
  </si>
  <si>
    <t>唐新能源</t>
  </si>
  <si>
    <t>宋PLUS新能源</t>
  </si>
  <si>
    <t>宋Pro新能源</t>
  </si>
  <si>
    <t>宋L</t>
  </si>
  <si>
    <t>宋L DM-i</t>
  </si>
  <si>
    <t>宋MAX新能源</t>
  </si>
  <si>
    <t>元PLUS</t>
  </si>
  <si>
    <t>元UP</t>
  </si>
  <si>
    <t>元 Pro</t>
  </si>
  <si>
    <t>海鸥</t>
  </si>
  <si>
    <t>海豚</t>
  </si>
  <si>
    <t>海狮07EV</t>
  </si>
  <si>
    <t>海豹06DM-i</t>
  </si>
  <si>
    <t>海豹07DM-i</t>
  </si>
  <si>
    <t>海豹</t>
  </si>
  <si>
    <t>护卫舰07</t>
  </si>
  <si>
    <t>驱逐舰05</t>
  </si>
  <si>
    <t>比亚迪e2</t>
  </si>
  <si>
    <t>比亚迪e3</t>
  </si>
  <si>
    <t>比亚迪e6</t>
  </si>
  <si>
    <t>比亚迪D1</t>
  </si>
  <si>
    <t>海狮05DM-i</t>
  </si>
  <si>
    <t>海豹06GT</t>
  </si>
  <si>
    <t>海豹05DM-i</t>
  </si>
  <si>
    <t>夏</t>
  </si>
  <si>
    <t>比亚迪-腾势（辆）</t>
  </si>
  <si>
    <t>比亚迪腾势</t>
  </si>
  <si>
    <t>N7</t>
  </si>
  <si>
    <t>D9 DM</t>
  </si>
  <si>
    <t>D9 EV</t>
  </si>
  <si>
    <t>Z9GT</t>
  </si>
  <si>
    <t>Z9 DM</t>
  </si>
  <si>
    <t>Z9 EV</t>
  </si>
  <si>
    <t>Z9GT DM</t>
  </si>
  <si>
    <t>Z9GT EV</t>
  </si>
  <si>
    <t>比亚迪方程豹（辆）</t>
  </si>
  <si>
    <t>比亚迪方程豹</t>
  </si>
  <si>
    <t>豹5</t>
  </si>
  <si>
    <t>豹8</t>
  </si>
  <si>
    <t>时间</t>
  </si>
  <si>
    <t>充电桩保有量</t>
  </si>
  <si>
    <t>公共-充电桩保有量</t>
  </si>
  <si>
    <t>公共-充电桩保有量-直流</t>
  </si>
  <si>
    <t>公共-充电桩保有量-交流</t>
  </si>
  <si>
    <t>直流保有量占比</t>
  </si>
  <si>
    <t>充电桩保留量-私人</t>
  </si>
  <si>
    <t>充电桩新增量</t>
  </si>
  <si>
    <t>充电桩新增量-同比</t>
  </si>
  <si>
    <t>充电桩新增量-环比</t>
  </si>
  <si>
    <t>充电桩新增-公共</t>
  </si>
  <si>
    <t>公共充电桩新增-直流</t>
  </si>
  <si>
    <t>公共充电桩新增-交流</t>
  </si>
  <si>
    <t>充电桩新增-私人</t>
  </si>
  <si>
    <t>新能源汽车销量</t>
  </si>
  <si>
    <t>车增量/桩增量</t>
  </si>
  <si>
    <t>公共充电桩占比</t>
  </si>
  <si>
    <t>新能源车保有量</t>
  </si>
  <si>
    <t>车桩比</t>
  </si>
  <si>
    <t>公桩-车桩比</t>
  </si>
  <si>
    <t>私桩-车桩比</t>
  </si>
  <si>
    <t>数据来源：中国充电联盟，公安部 单位：万桩</t>
  </si>
  <si>
    <t>公共充电桩增量</t>
  </si>
  <si>
    <t>私人充电桩增量</t>
  </si>
  <si>
    <t>公共充电桩直流占比</t>
  </si>
  <si>
    <t>公共充电桩保有量（万台）</t>
  </si>
  <si>
    <t>私人充电桩保有量（万台）</t>
  </si>
  <si>
    <t>新能源汽车保有量（万辆）</t>
  </si>
  <si>
    <t>公共车桩比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</si>
</sst>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yyyy/mm;@"/>
    <numFmt numFmtId="178" formatCode="0.0"/>
    <numFmt numFmtId="179" formatCode="0.0_ "/>
    <numFmt numFmtId="180" formatCode="0.0_);[Red]\(0.0\)"/>
    <numFmt numFmtId="181" formatCode="0.00_ "/>
    <numFmt numFmtId="182" formatCode="yyyy&quot;年&quot;m&quot;月&quot;;@"/>
    <numFmt numFmtId="183" formatCode="0.0%"/>
    <numFmt numFmtId="184" formatCode="0_);[Red]\(0\)"/>
    <numFmt numFmtId="185" formatCode="###,###,###,###,##0.0"/>
    <numFmt numFmtId="186" formatCode="0.0000_ "/>
    <numFmt numFmtId="187" formatCode="#,##0_);[Red]\(#,##0\)"/>
    <numFmt numFmtId="188" formatCode="#,##0_ "/>
    <numFmt numFmtId="189" formatCode="#,##0.00_ "/>
    <numFmt numFmtId="190" formatCode="###,###,###,###,##0.00"/>
    <numFmt numFmtId="191" formatCode="#,##0.0_ "/>
    <numFmt numFmtId="192" formatCode="0.00_);[Red]\(0.00\)"/>
    <numFmt numFmtId="193" formatCode="#,##0.0"/>
    <numFmt numFmtId="194" formatCode="0.000"/>
    <numFmt numFmtId="195" formatCode="###,###,###,###,##0"/>
  </numFmts>
  <fonts count="54">
    <font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sz val="10"/>
      <color rgb="FF040C28"/>
      <name val="Arial"/>
      <charset val="134"/>
    </font>
    <font>
      <sz val="9"/>
      <color rgb="FFFF0000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b/>
      <sz val="9"/>
      <color indexed="30"/>
      <name val="微软雅黑"/>
      <charset val="134"/>
    </font>
    <font>
      <sz val="9"/>
      <color rgb="FF59C3F1"/>
      <name val="微软雅黑"/>
      <charset val="134"/>
    </font>
    <font>
      <sz val="9"/>
      <color rgb="FF00B0F0"/>
      <name val="微软雅黑"/>
      <charset val="134"/>
    </font>
    <font>
      <u/>
      <sz val="9"/>
      <name val="微软雅黑"/>
      <charset val="134"/>
    </font>
    <font>
      <u/>
      <sz val="9"/>
      <color rgb="FF59C3F1"/>
      <name val="微软雅黑"/>
      <charset val="134"/>
    </font>
    <font>
      <u/>
      <sz val="9"/>
      <color theme="10"/>
      <name val="微软雅黑"/>
      <charset val="134"/>
    </font>
    <font>
      <sz val="9"/>
      <color rgb="FF222222"/>
      <name val="微软雅黑"/>
      <charset val="134"/>
    </font>
    <font>
      <sz val="8"/>
      <color rgb="FF00B0F0"/>
      <name val="微软雅黑"/>
      <charset val="134"/>
    </font>
    <font>
      <sz val="9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2"/>
      <color indexed="12"/>
      <name val="宋体"/>
      <charset val="134"/>
    </font>
    <font>
      <sz val="9"/>
      <color theme="0"/>
      <name val="微软雅黑"/>
      <charset val="134"/>
    </font>
    <font>
      <u/>
      <sz val="12"/>
      <color rgb="FF80008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4" tint="-0.249977111117893"/>
      <name val="楷体_GB2312"/>
      <charset val="134"/>
    </font>
    <font>
      <u/>
      <sz val="11"/>
      <color theme="10"/>
      <name val="楷体"/>
      <charset val="134"/>
    </font>
    <font>
      <sz val="11"/>
      <color theme="4" tint="-0.249977111117893"/>
      <name val="Times New Roman"/>
      <charset val="134"/>
    </font>
    <font>
      <sz val="11"/>
      <color theme="4" tint="-0.249977111117893"/>
      <name val="楷体_GB2312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11"/>
      <color rgb="FF000000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6765037995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</fills>
  <borders count="24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/>
      <right style="thin">
        <color theme="0" tint="-0.0499893185216834"/>
      </right>
      <top/>
      <bottom/>
      <diagonal/>
    </border>
    <border>
      <left style="thin">
        <color theme="0" tint="-0.0499893185216834"/>
      </left>
      <right style="thin">
        <color theme="0" tint="-0.0499893185216834"/>
      </right>
      <top/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/>
      <diagonal/>
    </border>
    <border>
      <left/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0" tint="-0.149540696432386"/>
      </left>
      <right style="thin">
        <color theme="0" tint="-0.149540696432386"/>
      </right>
      <top style="thin">
        <color theme="0" tint="-0.149540696432386"/>
      </top>
      <bottom style="thin">
        <color theme="0" tint="-0.149540696432386"/>
      </bottom>
      <diagonal/>
    </border>
    <border>
      <left/>
      <right/>
      <top/>
      <bottom style="thin">
        <color theme="0" tint="-0.149540696432386"/>
      </bottom>
      <diagonal/>
    </border>
    <border>
      <left style="thin">
        <color theme="0" tint="-0.149540696432386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center"/>
    </xf>
    <xf numFmtId="0" fontId="0" fillId="8" borderId="16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19" applyNumberFormat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41" fillId="11" borderId="21" applyNumberFormat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9" fillId="0" borderId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0" fontId="25" fillId="0" borderId="0"/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176" fontId="25" fillId="0" borderId="0" applyFont="0" applyFill="0" applyBorder="0" applyAlignment="0" applyProtection="0"/>
    <xf numFmtId="0" fontId="25" fillId="39" borderId="16" applyNumberFormat="0" applyFont="0" applyAlignment="0" applyProtection="0">
      <alignment vertical="center"/>
    </xf>
  </cellStyleXfs>
  <cellXfs count="283">
    <xf numFmtId="0" fontId="0" fillId="0" borderId="0" xfId="0">
      <alignment vertical="center"/>
    </xf>
    <xf numFmtId="0" fontId="1" fillId="2" borderId="1" xfId="59" applyFont="1" applyFill="1" applyBorder="1" applyAlignment="1">
      <alignment horizontal="center" vertical="center" wrapText="1"/>
    </xf>
    <xf numFmtId="0" fontId="1" fillId="3" borderId="1" xfId="59" applyFont="1" applyFill="1" applyBorder="1" applyAlignment="1">
      <alignment horizontal="center" vertical="center" wrapText="1"/>
    </xf>
    <xf numFmtId="0" fontId="1" fillId="2" borderId="2" xfId="59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57" fontId="0" fillId="0" borderId="0" xfId="0" applyNumberFormat="1">
      <alignment vertical="center"/>
    </xf>
    <xf numFmtId="177" fontId="2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178" fontId="4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8" fontId="5" fillId="0" borderId="0" xfId="0" applyNumberFormat="1" applyFont="1" applyAlignment="1">
      <alignment horizontal="right" vertical="center"/>
    </xf>
    <xf numFmtId="178" fontId="4" fillId="0" borderId="0" xfId="3" applyNumberFormat="1" applyFont="1">
      <alignment vertical="center"/>
    </xf>
    <xf numFmtId="178" fontId="6" fillId="0" borderId="0" xfId="0" applyNumberFormat="1" applyFont="1">
      <alignment vertical="center"/>
    </xf>
    <xf numFmtId="9" fontId="4" fillId="0" borderId="0" xfId="3" applyFont="1">
      <alignment vertical="center"/>
    </xf>
    <xf numFmtId="0" fontId="4" fillId="0" borderId="0" xfId="0" applyFont="1">
      <alignment vertical="center"/>
    </xf>
    <xf numFmtId="2" fontId="4" fillId="0" borderId="0" xfId="0" applyNumberFormat="1" applyFont="1">
      <alignment vertical="center"/>
    </xf>
    <xf numFmtId="10" fontId="4" fillId="0" borderId="0" xfId="0" applyNumberFormat="1" applyFont="1">
      <alignment vertical="center"/>
    </xf>
    <xf numFmtId="0" fontId="7" fillId="0" borderId="0" xfId="0" applyFon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0" fontId="0" fillId="0" borderId="0" xfId="3" applyNumberFormat="1" applyFont="1">
      <alignment vertical="center"/>
    </xf>
    <xf numFmtId="0" fontId="0" fillId="0" borderId="0" xfId="0" applyAlignment="1">
      <alignment horizontal="right" vertical="center"/>
    </xf>
    <xf numFmtId="181" fontId="0" fillId="0" borderId="0" xfId="0" applyNumberFormat="1">
      <alignment vertical="center"/>
    </xf>
    <xf numFmtId="57" fontId="0" fillId="0" borderId="0" xfId="0" applyNumberFormat="1" applyAlignment="1">
      <alignment horizontal="left" vertical="center"/>
    </xf>
    <xf numFmtId="3" fontId="8" fillId="0" borderId="1" xfId="0" applyNumberFormat="1" applyFont="1" applyBorder="1">
      <alignment vertical="center"/>
    </xf>
    <xf numFmtId="3" fontId="4" fillId="0" borderId="1" xfId="0" applyNumberFormat="1" applyFont="1" applyBorder="1">
      <alignment vertical="center"/>
    </xf>
    <xf numFmtId="3" fontId="4" fillId="0" borderId="0" xfId="0" applyNumberFormat="1" applyFont="1">
      <alignment vertical="center"/>
    </xf>
    <xf numFmtId="3" fontId="9" fillId="0" borderId="0" xfId="0" applyNumberFormat="1" applyFont="1" applyAlignment="1">
      <alignment horizontal="center" vertical="center"/>
    </xf>
    <xf numFmtId="182" fontId="9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9" fontId="10" fillId="0" borderId="0" xfId="3" applyFont="1" applyBorder="1" applyAlignment="1">
      <alignment horizontal="center" vertical="center"/>
    </xf>
    <xf numFmtId="9" fontId="4" fillId="0" borderId="0" xfId="3" applyFont="1" applyFill="1" applyBorder="1" applyAlignment="1">
      <alignment horizontal="center"/>
    </xf>
    <xf numFmtId="9" fontId="4" fillId="0" borderId="0" xfId="3" applyFont="1" applyFill="1" applyBorder="1" applyAlignment="1">
      <alignment horizontal="center" vertical="center"/>
    </xf>
    <xf numFmtId="3" fontId="4" fillId="0" borderId="3" xfId="0" applyNumberFormat="1" applyFont="1" applyBorder="1">
      <alignment vertical="center"/>
    </xf>
    <xf numFmtId="183" fontId="4" fillId="0" borderId="1" xfId="3" applyNumberFormat="1" applyFont="1" applyBorder="1">
      <alignment vertical="center"/>
    </xf>
    <xf numFmtId="3" fontId="10" fillId="0" borderId="0" xfId="3" applyNumberFormat="1" applyFont="1" applyFill="1" applyBorder="1" applyAlignment="1" applyProtection="1">
      <alignment horizontal="center" vertical="center"/>
    </xf>
    <xf numFmtId="184" fontId="10" fillId="0" borderId="0" xfId="3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85" fontId="4" fillId="0" borderId="0" xfId="0" applyNumberFormat="1" applyFont="1" applyAlignment="1">
      <alignment horizontal="right" vertical="center"/>
    </xf>
    <xf numFmtId="185" fontId="4" fillId="0" borderId="0" xfId="0" applyNumberFormat="1" applyFont="1">
      <alignment vertical="center"/>
    </xf>
    <xf numFmtId="3" fontId="11" fillId="4" borderId="3" xfId="59" applyNumberFormat="1" applyFont="1" applyFill="1" applyBorder="1" applyAlignment="1">
      <alignment horizontal="left" vertical="center"/>
    </xf>
    <xf numFmtId="3" fontId="11" fillId="4" borderId="1" xfId="59" applyNumberFormat="1" applyFont="1" applyFill="1" applyBorder="1" applyAlignment="1">
      <alignment horizontal="left" vertical="center"/>
    </xf>
    <xf numFmtId="3" fontId="1" fillId="2" borderId="1" xfId="59" applyNumberFormat="1" applyFont="1" applyFill="1" applyBorder="1" applyAlignment="1">
      <alignment horizontal="center" vertical="center"/>
    </xf>
    <xf numFmtId="3" fontId="4" fillId="5" borderId="1" xfId="59" applyNumberFormat="1" applyFont="1" applyFill="1" applyBorder="1" applyAlignment="1">
      <alignment horizontal="center" vertical="center"/>
    </xf>
    <xf numFmtId="3" fontId="4" fillId="4" borderId="1" xfId="59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right"/>
    </xf>
    <xf numFmtId="9" fontId="4" fillId="4" borderId="1" xfId="3" applyFont="1" applyFill="1" applyBorder="1" applyAlignment="1">
      <alignment horizontal="center" vertical="center"/>
    </xf>
    <xf numFmtId="3" fontId="12" fillId="0" borderId="1" xfId="0" applyNumberFormat="1" applyFont="1" applyBorder="1" applyAlignment="1">
      <alignment horizontal="left"/>
    </xf>
    <xf numFmtId="3" fontId="12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right"/>
    </xf>
    <xf numFmtId="10" fontId="4" fillId="4" borderId="1" xfId="3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9" fontId="4" fillId="0" borderId="1" xfId="3" applyFont="1" applyBorder="1" applyAlignment="1">
      <alignment horizontal="center" vertical="center"/>
    </xf>
    <xf numFmtId="3" fontId="4" fillId="0" borderId="1" xfId="0" applyNumberFormat="1" applyFont="1" applyBorder="1" applyAlignment="1"/>
    <xf numFmtId="9" fontId="4" fillId="0" borderId="1" xfId="3" applyFont="1" applyBorder="1">
      <alignment vertical="center"/>
    </xf>
    <xf numFmtId="3" fontId="13" fillId="0" borderId="1" xfId="0" applyNumberFormat="1" applyFont="1" applyBorder="1" applyAlignment="1">
      <alignment horizontal="right"/>
    </xf>
    <xf numFmtId="3" fontId="13" fillId="0" borderId="1" xfId="0" applyNumberFormat="1" applyFont="1" applyBorder="1" applyAlignment="1">
      <alignment horizontal="center"/>
    </xf>
    <xf numFmtId="3" fontId="13" fillId="0" borderId="1" xfId="0" applyNumberFormat="1" applyFont="1" applyBorder="1" applyAlignment="1"/>
    <xf numFmtId="3" fontId="4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/>
    <xf numFmtId="3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/>
    <xf numFmtId="10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 wrapText="1"/>
    </xf>
    <xf numFmtId="10" fontId="5" fillId="0" borderId="1" xfId="3" applyNumberFormat="1" applyFont="1" applyBorder="1" applyAlignment="1">
      <alignment horizontal="center" vertical="center"/>
    </xf>
    <xf numFmtId="3" fontId="14" fillId="0" borderId="1" xfId="6" applyNumberFormat="1" applyFont="1" applyBorder="1" applyAlignment="1" applyProtection="1">
      <alignment horizontal="center"/>
    </xf>
    <xf numFmtId="10" fontId="4" fillId="0" borderId="1" xfId="0" applyNumberFormat="1" applyFont="1" applyBorder="1" applyAlignment="1">
      <alignment horizontal="center"/>
    </xf>
    <xf numFmtId="3" fontId="15" fillId="0" borderId="1" xfId="6" applyNumberFormat="1" applyFont="1" applyBorder="1" applyAlignment="1" applyProtection="1">
      <alignment horizontal="center"/>
    </xf>
    <xf numFmtId="3" fontId="12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left" vertical="center"/>
    </xf>
    <xf numFmtId="3" fontId="16" fillId="0" borderId="1" xfId="6" applyNumberFormat="1" applyFont="1" applyBorder="1" applyAlignment="1" applyProtection="1">
      <alignment vertical="center"/>
    </xf>
    <xf numFmtId="3" fontId="14" fillId="0" borderId="1" xfId="6" applyNumberFormat="1" applyFont="1" applyBorder="1" applyAlignment="1" applyProtection="1">
      <alignment horizontal="center" vertical="center"/>
    </xf>
    <xf numFmtId="3" fontId="17" fillId="0" borderId="1" xfId="0" applyNumberFormat="1" applyFont="1" applyBorder="1">
      <alignment vertical="center"/>
    </xf>
    <xf numFmtId="3" fontId="5" fillId="5" borderId="1" xfId="59" applyNumberFormat="1" applyFont="1" applyFill="1" applyBorder="1" applyAlignment="1">
      <alignment horizontal="center" vertical="center"/>
    </xf>
    <xf numFmtId="3" fontId="5" fillId="4" borderId="1" xfId="59" applyNumberFormat="1" applyFont="1" applyFill="1" applyBorder="1" applyAlignment="1">
      <alignment horizontal="center" vertical="center"/>
    </xf>
    <xf numFmtId="3" fontId="15" fillId="0" borderId="1" xfId="6" applyNumberFormat="1" applyFont="1" applyBorder="1" applyAlignment="1" applyProtection="1">
      <alignment horizontal="center" vertical="center"/>
    </xf>
    <xf numFmtId="3" fontId="12" fillId="4" borderId="1" xfId="59" applyNumberFormat="1" applyFont="1" applyFill="1" applyBorder="1" applyAlignment="1">
      <alignment horizontal="center" vertical="center"/>
    </xf>
    <xf numFmtId="183" fontId="4" fillId="4" borderId="1" xfId="3" applyNumberFormat="1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center" vertical="center"/>
    </xf>
    <xf numFmtId="3" fontId="13" fillId="0" borderId="1" xfId="0" applyNumberFormat="1" applyFont="1" applyBorder="1">
      <alignment vertical="center"/>
    </xf>
    <xf numFmtId="3" fontId="13" fillId="0" borderId="1" xfId="0" applyNumberFormat="1" applyFont="1" applyBorder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13" fillId="4" borderId="1" xfId="0" applyNumberFormat="1" applyFont="1" applyFill="1" applyBorder="1">
      <alignment vertical="center"/>
    </xf>
    <xf numFmtId="3" fontId="1" fillId="2" borderId="4" xfId="59" applyNumberFormat="1" applyFont="1" applyFill="1" applyBorder="1" applyAlignment="1">
      <alignment horizontal="center" vertical="center"/>
    </xf>
    <xf numFmtId="3" fontId="4" fillId="5" borderId="0" xfId="59" applyNumberFormat="1" applyFont="1" applyFill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5" xfId="0" applyNumberFormat="1" applyFont="1" applyBorder="1">
      <alignment vertical="center"/>
    </xf>
    <xf numFmtId="9" fontId="4" fillId="0" borderId="5" xfId="0" applyNumberFormat="1" applyFont="1" applyBorder="1" applyAlignment="1">
      <alignment horizontal="center" vertical="center"/>
    </xf>
    <xf numFmtId="3" fontId="13" fillId="0" borderId="3" xfId="0" applyNumberFormat="1" applyFont="1" applyBorder="1" applyAlignment="1">
      <alignment horizontal="center" vertical="center"/>
    </xf>
    <xf numFmtId="3" fontId="4" fillId="4" borderId="3" xfId="59" applyNumberFormat="1" applyFont="1" applyFill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0" fontId="5" fillId="4" borderId="1" xfId="59" applyFont="1" applyFill="1" applyBorder="1" applyAlignment="1">
      <alignment horizontal="center" vertical="center"/>
    </xf>
    <xf numFmtId="3" fontId="4" fillId="4" borderId="1" xfId="0" applyNumberFormat="1" applyFont="1" applyFill="1" applyBorder="1">
      <alignment vertical="center"/>
    </xf>
    <xf numFmtId="9" fontId="4" fillId="4" borderId="1" xfId="59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3" fontId="4" fillId="4" borderId="1" xfId="0" applyNumberFormat="1" applyFont="1" applyFill="1" applyBorder="1" applyAlignment="1"/>
    <xf numFmtId="9" fontId="4" fillId="4" borderId="1" xfId="0" applyNumberFormat="1" applyFont="1" applyFill="1" applyBorder="1">
      <alignment vertical="center"/>
    </xf>
    <xf numFmtId="3" fontId="4" fillId="4" borderId="5" xfId="59" applyNumberFormat="1" applyFont="1" applyFill="1" applyBorder="1" applyAlignment="1">
      <alignment horizontal="center" vertical="center"/>
    </xf>
    <xf numFmtId="9" fontId="4" fillId="4" borderId="5" xfId="59" applyNumberFormat="1" applyFont="1" applyFill="1" applyBorder="1" applyAlignment="1">
      <alignment horizontal="center" vertical="center"/>
    </xf>
    <xf numFmtId="3" fontId="13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6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3" fontId="5" fillId="0" borderId="1" xfId="0" applyNumberFormat="1" applyFont="1" applyBorder="1" applyAlignment="1">
      <alignment horizontal="left" wrapText="1"/>
    </xf>
    <xf numFmtId="177" fontId="19" fillId="0" borderId="0" xfId="0" applyNumberFormat="1" applyFont="1">
      <alignment vertical="center"/>
    </xf>
    <xf numFmtId="183" fontId="0" fillId="0" borderId="0" xfId="0" applyNumberFormat="1">
      <alignment vertical="center"/>
    </xf>
    <xf numFmtId="3" fontId="5" fillId="0" borderId="1" xfId="0" applyNumberFormat="1" applyFont="1" applyBorder="1" applyAlignment="1">
      <alignment horizontal="right" wrapText="1"/>
    </xf>
    <xf numFmtId="3" fontId="5" fillId="6" borderId="1" xfId="0" applyNumberFormat="1" applyFont="1" applyFill="1" applyBorder="1" applyAlignment="1">
      <alignment horizontal="right" wrapText="1"/>
    </xf>
    <xf numFmtId="183" fontId="0" fillId="6" borderId="0" xfId="0" applyNumberFormat="1" applyFill="1">
      <alignment vertical="center"/>
    </xf>
    <xf numFmtId="10" fontId="0" fillId="0" borderId="0" xfId="0" applyNumberFormat="1">
      <alignment vertical="center"/>
    </xf>
    <xf numFmtId="0" fontId="20" fillId="0" borderId="0" xfId="0" applyFont="1">
      <alignment vertical="center"/>
    </xf>
    <xf numFmtId="2" fontId="0" fillId="0" borderId="0" xfId="0" applyNumberFormat="1">
      <alignment vertical="center"/>
    </xf>
    <xf numFmtId="183" fontId="0" fillId="0" borderId="0" xfId="3" applyNumberFormat="1" applyFont="1">
      <alignment vertical="center"/>
    </xf>
    <xf numFmtId="181" fontId="20" fillId="0" borderId="0" xfId="0" applyNumberFormat="1" applyFont="1">
      <alignment vertical="center"/>
    </xf>
    <xf numFmtId="181" fontId="21" fillId="0" borderId="0" xfId="0" applyNumberFormat="1" applyFont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187" fontId="0" fillId="0" borderId="0" xfId="0" applyNumberFormat="1">
      <alignment vertical="center"/>
    </xf>
    <xf numFmtId="187" fontId="20" fillId="0" borderId="0" xfId="0" applyNumberFormat="1" applyFont="1">
      <alignment vertical="center"/>
    </xf>
    <xf numFmtId="187" fontId="21" fillId="0" borderId="0" xfId="0" applyNumberFormat="1" applyFont="1">
      <alignment vertical="center"/>
    </xf>
    <xf numFmtId="9" fontId="20" fillId="0" borderId="0" xfId="3" applyFont="1">
      <alignment vertical="center"/>
    </xf>
    <xf numFmtId="10" fontId="20" fillId="0" borderId="0" xfId="0" applyNumberFormat="1" applyFont="1">
      <alignment vertical="center"/>
    </xf>
    <xf numFmtId="10" fontId="20" fillId="0" borderId="0" xfId="53" applyNumberFormat="1" applyFont="1"/>
    <xf numFmtId="183" fontId="21" fillId="0" borderId="0" xfId="3" applyNumberFormat="1" applyFont="1">
      <alignment vertical="center"/>
    </xf>
    <xf numFmtId="10" fontId="19" fillId="0" borderId="0" xfId="0" applyNumberFormat="1" applyFont="1">
      <alignment vertical="center"/>
    </xf>
    <xf numFmtId="0" fontId="19" fillId="0" borderId="0" xfId="0" applyFont="1">
      <alignment vertical="center"/>
    </xf>
    <xf numFmtId="188" fontId="2" fillId="0" borderId="0" xfId="0" applyNumberFormat="1" applyFont="1" applyAlignment="1">
      <alignment horizontal="right" vertical="center"/>
    </xf>
    <xf numFmtId="189" fontId="2" fillId="0" borderId="0" xfId="0" applyNumberFormat="1" applyFont="1" applyAlignment="1">
      <alignment horizontal="right" vertical="center"/>
    </xf>
    <xf numFmtId="10" fontId="2" fillId="0" borderId="0" xfId="0" applyNumberFormat="1" applyFont="1">
      <alignment vertical="center"/>
    </xf>
    <xf numFmtId="189" fontId="19" fillId="0" borderId="0" xfId="0" applyNumberFormat="1" applyFont="1">
      <alignment vertical="center"/>
    </xf>
    <xf numFmtId="181" fontId="2" fillId="0" borderId="0" xfId="0" applyNumberFormat="1" applyFont="1" applyAlignment="1">
      <alignment horizontal="right" vertical="center"/>
    </xf>
    <xf numFmtId="181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59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85" fontId="4" fillId="0" borderId="0" xfId="0" applyNumberFormat="1" applyFont="1" applyAlignment="1">
      <alignment horizontal="center" vertical="center"/>
    </xf>
    <xf numFmtId="178" fontId="5" fillId="0" borderId="0" xfId="59" applyNumberFormat="1" applyFont="1" applyAlignment="1">
      <alignment horizontal="center" vertical="center"/>
    </xf>
    <xf numFmtId="0" fontId="22" fillId="0" borderId="0" xfId="6" applyAlignment="1" applyProtection="1">
      <alignment vertical="center"/>
    </xf>
    <xf numFmtId="0" fontId="5" fillId="0" borderId="0" xfId="59" applyFont="1" applyAlignment="1">
      <alignment horizontal="center" vertical="center"/>
    </xf>
    <xf numFmtId="185" fontId="3" fillId="0" borderId="0" xfId="0" applyNumberFormat="1" applyFont="1" applyAlignment="1">
      <alignment horizontal="center" vertical="center"/>
    </xf>
    <xf numFmtId="0" fontId="6" fillId="0" borderId="0" xfId="59" applyFont="1" applyAlignment="1">
      <alignment horizontal="center" vertical="center"/>
    </xf>
    <xf numFmtId="0" fontId="4" fillId="0" borderId="0" xfId="0" applyFont="1" applyAlignment="1"/>
    <xf numFmtId="183" fontId="5" fillId="0" borderId="0" xfId="3" applyNumberFormat="1" applyFont="1" applyBorder="1" applyAlignment="1">
      <alignment horizontal="right" vertical="center"/>
    </xf>
    <xf numFmtId="183" fontId="5" fillId="0" borderId="0" xfId="3" applyNumberFormat="1" applyFont="1" applyBorder="1" applyAlignment="1">
      <alignment vertical="center"/>
    </xf>
    <xf numFmtId="9" fontId="5" fillId="0" borderId="0" xfId="3" applyFont="1" applyBorder="1" applyAlignment="1">
      <alignment vertical="center"/>
    </xf>
    <xf numFmtId="9" fontId="6" fillId="0" borderId="0" xfId="3" applyFont="1" applyFill="1" applyBorder="1" applyAlignment="1">
      <alignment horizontal="center" vertical="center"/>
    </xf>
    <xf numFmtId="183" fontId="5" fillId="0" borderId="0" xfId="3" applyNumberFormat="1" applyFont="1" applyAlignment="1">
      <alignment horizontal="right" vertical="center"/>
    </xf>
    <xf numFmtId="183" fontId="5" fillId="0" borderId="0" xfId="3" applyNumberFormat="1" applyFont="1" applyFill="1" applyBorder="1" applyAlignment="1">
      <alignment vertical="center"/>
    </xf>
    <xf numFmtId="9" fontId="5" fillId="0" borderId="0" xfId="3" applyFont="1" applyFill="1" applyBorder="1" applyAlignment="1">
      <alignment vertical="center"/>
    </xf>
    <xf numFmtId="0" fontId="1" fillId="0" borderId="0" xfId="59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6" xfId="59" applyFont="1" applyBorder="1" applyAlignment="1">
      <alignment horizontal="center" vertical="center"/>
    </xf>
    <xf numFmtId="0" fontId="6" fillId="0" borderId="6" xfId="3" applyNumberFormat="1" applyFont="1" applyFill="1" applyBorder="1" applyAlignment="1">
      <alignment horizontal="center" vertical="center"/>
    </xf>
    <xf numFmtId="183" fontId="4" fillId="0" borderId="0" xfId="0" applyNumberFormat="1" applyFont="1">
      <alignment vertical="center"/>
    </xf>
    <xf numFmtId="0" fontId="3" fillId="0" borderId="0" xfId="53" applyFont="1" applyAlignment="1">
      <alignment vertical="center"/>
    </xf>
    <xf numFmtId="0" fontId="4" fillId="0" borderId="0" xfId="53" applyFont="1" applyAlignment="1">
      <alignment horizontal="center" vertical="center"/>
    </xf>
    <xf numFmtId="190" fontId="4" fillId="0" borderId="0" xfId="0" applyNumberFormat="1" applyFont="1" applyAlignment="1">
      <alignment horizontal="right" vertical="center"/>
    </xf>
    <xf numFmtId="191" fontId="4" fillId="0" borderId="0" xfId="0" applyNumberFormat="1" applyFont="1" applyAlignment="1">
      <alignment horizontal="right" vertical="center"/>
    </xf>
    <xf numFmtId="0" fontId="13" fillId="0" borderId="0" xfId="53" applyFont="1" applyAlignment="1">
      <alignment horizontal="center" vertical="center"/>
    </xf>
    <xf numFmtId="183" fontId="13" fillId="0" borderId="0" xfId="3" applyNumberFormat="1" applyFont="1" applyAlignment="1">
      <alignment horizontal="right" vertical="center"/>
    </xf>
    <xf numFmtId="183" fontId="4" fillId="0" borderId="0" xfId="3" applyNumberFormat="1" applyFont="1" applyAlignment="1">
      <alignment horizontal="right" vertical="center"/>
    </xf>
    <xf numFmtId="183" fontId="13" fillId="0" borderId="0" xfId="3" applyNumberFormat="1" applyFont="1" applyAlignment="1">
      <alignment horizontal="center" vertical="center"/>
    </xf>
    <xf numFmtId="183" fontId="4" fillId="0" borderId="0" xfId="3" applyNumberFormat="1" applyFont="1">
      <alignment vertical="center"/>
    </xf>
    <xf numFmtId="180" fontId="4" fillId="0" borderId="0" xfId="0" applyNumberFormat="1" applyFont="1" applyAlignment="1">
      <alignment horizontal="right" vertical="center"/>
    </xf>
    <xf numFmtId="192" fontId="4" fillId="0" borderId="0" xfId="0" applyNumberFormat="1" applyFont="1" applyAlignment="1">
      <alignment horizontal="right" vertical="center"/>
    </xf>
    <xf numFmtId="192" fontId="4" fillId="0" borderId="0" xfId="0" applyNumberFormat="1" applyFont="1">
      <alignment vertical="center"/>
    </xf>
    <xf numFmtId="9" fontId="4" fillId="0" borderId="0" xfId="3" applyFont="1" applyAlignment="1">
      <alignment horizontal="right" vertical="center"/>
    </xf>
    <xf numFmtId="177" fontId="0" fillId="0" borderId="0" xfId="0" applyNumberFormat="1">
      <alignment vertical="center"/>
    </xf>
    <xf numFmtId="188" fontId="0" fillId="0" borderId="0" xfId="0" applyNumberForma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9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/>
    </xf>
    <xf numFmtId="0" fontId="3" fillId="0" borderId="0" xfId="0" applyFont="1">
      <alignment vertical="center"/>
    </xf>
    <xf numFmtId="178" fontId="3" fillId="0" borderId="0" xfId="0" applyNumberFormat="1" applyFont="1" applyAlignment="1"/>
    <xf numFmtId="183" fontId="3" fillId="0" borderId="0" xfId="3" applyNumberFormat="1" applyFont="1" applyBorder="1" applyAlignment="1"/>
    <xf numFmtId="183" fontId="3" fillId="0" borderId="0" xfId="0" applyNumberFormat="1" applyFont="1">
      <alignment vertical="center"/>
    </xf>
    <xf numFmtId="0" fontId="4" fillId="0" borderId="0" xfId="0" applyFont="1" applyAlignment="1">
      <alignment horizontal="right"/>
    </xf>
    <xf numFmtId="178" fontId="4" fillId="0" borderId="0" xfId="0" applyNumberFormat="1" applyFont="1" applyAlignment="1"/>
    <xf numFmtId="9" fontId="4" fillId="0" borderId="0" xfId="3" applyFont="1" applyBorder="1" applyAlignment="1"/>
    <xf numFmtId="179" fontId="3" fillId="0" borderId="0" xfId="0" applyNumberFormat="1" applyFont="1" applyAlignment="1"/>
    <xf numFmtId="183" fontId="3" fillId="0" borderId="0" xfId="0" applyNumberFormat="1" applyFont="1" applyAlignment="1"/>
    <xf numFmtId="0" fontId="4" fillId="0" borderId="0" xfId="0" applyFont="1" applyAlignment="1">
      <alignment horizontal="right" vertical="center"/>
    </xf>
    <xf numFmtId="0" fontId="5" fillId="0" borderId="0" xfId="59" applyFont="1" applyAlignment="1">
      <alignment horizontal="right" vertical="center"/>
    </xf>
    <xf numFmtId="0" fontId="23" fillId="0" borderId="0" xfId="59" applyFont="1" applyAlignment="1">
      <alignment horizontal="center" vertical="center"/>
    </xf>
    <xf numFmtId="194" fontId="4" fillId="0" borderId="0" xfId="0" applyNumberFormat="1" applyFont="1">
      <alignment vertical="center"/>
    </xf>
    <xf numFmtId="9" fontId="4" fillId="0" borderId="0" xfId="3" applyFont="1" applyAlignment="1"/>
    <xf numFmtId="179" fontId="4" fillId="0" borderId="0" xfId="3" applyNumberFormat="1" applyFont="1" applyBorder="1" applyAlignment="1"/>
    <xf numFmtId="179" fontId="5" fillId="0" borderId="0" xfId="59" applyNumberFormat="1" applyFont="1" applyAlignment="1">
      <alignment horizontal="center" vertical="center"/>
    </xf>
    <xf numFmtId="9" fontId="4" fillId="0" borderId="0" xfId="0" applyNumberFormat="1" applyFont="1">
      <alignment vertical="center"/>
    </xf>
    <xf numFmtId="192" fontId="0" fillId="0" borderId="0" xfId="0" applyNumberFormat="1">
      <alignment vertical="center"/>
    </xf>
    <xf numFmtId="188" fontId="0" fillId="0" borderId="0" xfId="0" applyNumberFormat="1" applyAlignment="1">
      <alignment horizontal="right" vertical="center"/>
    </xf>
    <xf numFmtId="0" fontId="0" fillId="0" borderId="7" xfId="0" applyBorder="1">
      <alignment vertical="center"/>
    </xf>
    <xf numFmtId="0" fontId="6" fillId="0" borderId="0" xfId="59" applyFont="1" applyAlignment="1">
      <alignment horizontal="left" vertical="center"/>
    </xf>
    <xf numFmtId="178" fontId="5" fillId="0" borderId="0" xfId="59" applyNumberFormat="1" applyFont="1" applyAlignment="1">
      <alignment horizontal="right" vertical="center"/>
    </xf>
    <xf numFmtId="10" fontId="5" fillId="0" borderId="0" xfId="59" applyNumberFormat="1" applyFont="1" applyAlignment="1">
      <alignment horizontal="right" vertical="center"/>
    </xf>
    <xf numFmtId="183" fontId="5" fillId="0" borderId="0" xfId="59" applyNumberFormat="1" applyFont="1" applyAlignment="1">
      <alignment horizontal="right" vertical="center"/>
    </xf>
    <xf numFmtId="183" fontId="4" fillId="0" borderId="0" xfId="0" applyNumberFormat="1" applyFont="1" applyAlignment="1">
      <alignment horizontal="right" vertical="center"/>
    </xf>
    <xf numFmtId="183" fontId="4" fillId="0" borderId="0" xfId="3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78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/>
    </xf>
    <xf numFmtId="0" fontId="3" fillId="0" borderId="0" xfId="53" applyFont="1" applyAlignment="1">
      <alignment horizontal="left" vertical="center"/>
    </xf>
    <xf numFmtId="0" fontId="4" fillId="0" borderId="0" xfId="53" applyFont="1" applyAlignment="1">
      <alignment horizontal="right" vertical="center"/>
    </xf>
    <xf numFmtId="183" fontId="4" fillId="0" borderId="0" xfId="3" applyNumberFormat="1" applyFont="1" applyFill="1" applyBorder="1" applyAlignment="1">
      <alignment horizontal="right"/>
    </xf>
    <xf numFmtId="195" fontId="4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59" applyFont="1" applyAlignment="1">
      <alignment horizontal="right" vertical="center"/>
    </xf>
    <xf numFmtId="0" fontId="4" fillId="0" borderId="0" xfId="59" applyFont="1" applyAlignment="1">
      <alignment horizontal="right" vertical="center"/>
    </xf>
    <xf numFmtId="10" fontId="13" fillId="0" borderId="0" xfId="59" applyNumberFormat="1" applyFont="1" applyAlignment="1">
      <alignment horizontal="right" vertical="center"/>
    </xf>
    <xf numFmtId="183" fontId="13" fillId="0" borderId="0" xfId="3" applyNumberFormat="1" applyFont="1" applyFill="1" applyBorder="1" applyAlignment="1">
      <alignment horizontal="right"/>
    </xf>
    <xf numFmtId="183" fontId="13" fillId="0" borderId="0" xfId="0" applyNumberFormat="1" applyFont="1" applyAlignment="1">
      <alignment horizontal="right"/>
    </xf>
    <xf numFmtId="183" fontId="4" fillId="0" borderId="0" xfId="3" applyNumberFormat="1" applyFont="1" applyAlignment="1">
      <alignment horizontal="right"/>
    </xf>
    <xf numFmtId="10" fontId="4" fillId="0" borderId="0" xfId="0" applyNumberFormat="1" applyFont="1" applyAlignment="1">
      <alignment horizontal="right" vertical="center"/>
    </xf>
    <xf numFmtId="3" fontId="13" fillId="0" borderId="0" xfId="59" applyNumberFormat="1" applyFont="1" applyAlignment="1">
      <alignment horizontal="right" vertical="center"/>
    </xf>
    <xf numFmtId="10" fontId="4" fillId="0" borderId="0" xfId="59" applyNumberFormat="1" applyFont="1" applyAlignment="1">
      <alignment horizontal="right" vertical="center"/>
    </xf>
    <xf numFmtId="0" fontId="5" fillId="0" borderId="0" xfId="3" applyNumberFormat="1" applyFont="1" applyFill="1" applyBorder="1" applyAlignment="1" applyProtection="1">
      <alignment horizontal="right" vertical="center"/>
    </xf>
    <xf numFmtId="0" fontId="4" fillId="0" borderId="8" xfId="0" applyFont="1" applyBorder="1" applyAlignment="1"/>
    <xf numFmtId="3" fontId="4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3" fontId="4" fillId="0" borderId="0" xfId="59" applyNumberFormat="1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3" fontId="5" fillId="0" borderId="0" xfId="3" applyNumberFormat="1" applyFont="1" applyFill="1" applyBorder="1" applyAlignment="1" applyProtection="1">
      <alignment horizontal="right" vertical="center"/>
    </xf>
    <xf numFmtId="0" fontId="5" fillId="0" borderId="0" xfId="3" applyNumberFormat="1" applyFont="1" applyAlignment="1">
      <alignment horizontal="right" vertical="center"/>
    </xf>
    <xf numFmtId="0" fontId="4" fillId="0" borderId="0" xfId="3" applyNumberFormat="1" applyFont="1" applyAlignment="1">
      <alignment horizontal="right" vertical="center"/>
    </xf>
    <xf numFmtId="0" fontId="24" fillId="0" borderId="0" xfId="6" applyFont="1" applyAlignment="1" applyProtection="1">
      <alignment vertical="center"/>
    </xf>
    <xf numFmtId="0" fontId="4" fillId="0" borderId="7" xfId="0" applyFont="1" applyBorder="1" applyAlignment="1">
      <alignment horizontal="right" vertical="center"/>
    </xf>
    <xf numFmtId="0" fontId="6" fillId="7" borderId="0" xfId="59" applyFont="1" applyFill="1" applyAlignment="1">
      <alignment horizontal="left" vertical="center"/>
    </xf>
    <xf numFmtId="0" fontId="0" fillId="0" borderId="8" xfId="0" applyBorder="1" applyAlignment="1">
      <alignment horizontal="center" vertical="center"/>
    </xf>
    <xf numFmtId="10" fontId="0" fillId="0" borderId="7" xfId="3" applyNumberFormat="1" applyFont="1" applyBorder="1" applyAlignment="1">
      <alignment horizontal="center" vertical="center"/>
    </xf>
    <xf numFmtId="0" fontId="0" fillId="0" borderId="8" xfId="0" applyBorder="1">
      <alignment vertical="center"/>
    </xf>
    <xf numFmtId="49" fontId="0" fillId="0" borderId="7" xfId="0" applyNumberFormat="1" applyBorder="1">
      <alignment vertical="center"/>
    </xf>
    <xf numFmtId="183" fontId="4" fillId="0" borderId="8" xfId="3" applyNumberFormat="1" applyFont="1" applyBorder="1" applyAlignment="1"/>
    <xf numFmtId="195" fontId="4" fillId="0" borderId="0" xfId="0" applyNumberFormat="1" applyFont="1" applyAlignment="1"/>
    <xf numFmtId="0" fontId="13" fillId="0" borderId="0" xfId="0" applyFont="1" applyAlignment="1"/>
    <xf numFmtId="183" fontId="13" fillId="0" borderId="0" xfId="3" applyNumberFormat="1" applyFont="1" applyFill="1" applyBorder="1" applyAlignment="1"/>
    <xf numFmtId="183" fontId="13" fillId="0" borderId="0" xfId="0" applyNumberFormat="1" applyFont="1" applyAlignment="1"/>
    <xf numFmtId="10" fontId="4" fillId="0" borderId="8" xfId="3" applyNumberFormat="1" applyFont="1" applyBorder="1" applyAlignment="1"/>
    <xf numFmtId="183" fontId="4" fillId="0" borderId="0" xfId="3" applyNumberFormat="1" applyFont="1" applyFill="1" applyBorder="1" applyAlignment="1"/>
    <xf numFmtId="10" fontId="0" fillId="0" borderId="7" xfId="3" applyNumberFormat="1" applyFont="1" applyBorder="1">
      <alignment vertical="center"/>
    </xf>
    <xf numFmtId="3" fontId="5" fillId="0" borderId="0" xfId="59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/>
    </xf>
    <xf numFmtId="9" fontId="5" fillId="0" borderId="0" xfId="3" applyFont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0" fillId="0" borderId="10" xfId="0" applyBorder="1">
      <alignment vertical="center"/>
    </xf>
    <xf numFmtId="0" fontId="4" fillId="0" borderId="11" xfId="0" applyFont="1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25" fillId="0" borderId="0" xfId="54">
      <alignment vertical="center"/>
    </xf>
    <xf numFmtId="0" fontId="5" fillId="0" borderId="13" xfId="54" applyFont="1" applyBorder="1" applyAlignment="1"/>
    <xf numFmtId="0" fontId="5" fillId="0" borderId="13" xfId="54" applyFont="1" applyBorder="1" applyAlignment="1">
      <alignment horizontal="center" vertical="center"/>
    </xf>
    <xf numFmtId="0" fontId="4" fillId="0" borderId="13" xfId="54" applyFont="1" applyBorder="1" applyAlignment="1">
      <alignment horizontal="center" vertical="center"/>
    </xf>
    <xf numFmtId="178" fontId="4" fillId="0" borderId="13" xfId="54" applyNumberFormat="1" applyFont="1" applyBorder="1" applyAlignment="1">
      <alignment horizontal="center" vertical="center"/>
    </xf>
    <xf numFmtId="2" fontId="4" fillId="4" borderId="13" xfId="54" applyNumberFormat="1" applyFont="1" applyFill="1" applyBorder="1" applyAlignment="1">
      <alignment horizontal="center" vertical="center"/>
    </xf>
    <xf numFmtId="183" fontId="4" fillId="4" borderId="13" xfId="50" applyNumberFormat="1" applyFont="1" applyFill="1" applyBorder="1" applyAlignment="1">
      <alignment horizontal="center" vertical="center"/>
    </xf>
    <xf numFmtId="183" fontId="5" fillId="0" borderId="13" xfId="50" applyNumberFormat="1" applyFont="1" applyBorder="1" applyAlignment="1">
      <alignment horizontal="center" vertical="center"/>
    </xf>
    <xf numFmtId="183" fontId="5" fillId="4" borderId="13" xfId="54" applyNumberFormat="1" applyFont="1" applyFill="1" applyBorder="1" applyAlignment="1">
      <alignment horizontal="center" vertical="center"/>
    </xf>
    <xf numFmtId="2" fontId="25" fillId="0" borderId="0" xfId="54" applyNumberFormat="1">
      <alignment vertical="center"/>
    </xf>
    <xf numFmtId="0" fontId="26" fillId="0" borderId="0" xfId="6" applyFont="1" applyAlignment="1" applyProtection="1">
      <alignment vertical="center"/>
    </xf>
    <xf numFmtId="183" fontId="0" fillId="0" borderId="0" xfId="50" applyNumberFormat="1" applyFont="1">
      <alignment vertical="center"/>
    </xf>
    <xf numFmtId="0" fontId="27" fillId="0" borderId="14" xfId="0" applyFont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0" fillId="0" borderId="13" xfId="0" applyBorder="1">
      <alignment vertical="center"/>
    </xf>
    <xf numFmtId="0" fontId="28" fillId="4" borderId="13" xfId="6" applyFont="1" applyFill="1" applyBorder="1" applyAlignment="1" applyProtection="1">
      <alignment horizontal="center" vertical="center" wrapText="1"/>
    </xf>
    <xf numFmtId="0" fontId="29" fillId="0" borderId="0" xfId="0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left" vertical="center"/>
      <protection locked="0"/>
    </xf>
    <xf numFmtId="0" fontId="0" fillId="0" borderId="15" xfId="0" applyBorder="1">
      <alignment vertical="center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百分比 2" xfId="50"/>
    <cellStyle name="百分比 3" xfId="51"/>
    <cellStyle name="百分比 4" xfId="52"/>
    <cellStyle name="常规 2" xfId="53"/>
    <cellStyle name="常规 2 2" xfId="54"/>
    <cellStyle name="常规 2 3" xfId="55"/>
    <cellStyle name="常规 3" xfId="56"/>
    <cellStyle name="常规 4" xfId="57"/>
    <cellStyle name="常规 5" xfId="58"/>
    <cellStyle name="常规 6 2" xfId="59"/>
    <cellStyle name="常规 6 2 2" xfId="60"/>
    <cellStyle name="千位分隔 2" xfId="61"/>
    <cellStyle name="注释 2" xfId="62"/>
  </cellStyles>
  <tableStyles count="1" defaultTableStyle="TableStyleMedium2" defaultPivotStyle="PivotStyleLight16">
    <tableStyle name="Invisible" pivot="0" table="0" count="0" xr9:uid="{2806ABE5-D46A-491D-9DED-2E6729B97197}"/>
  </tableStyles>
  <colors>
    <mruColors>
      <color rgb="000677D5"/>
      <color rgb="00F75C5C"/>
      <color rgb="0059C3F1"/>
      <color rgb="00004E9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2.xml.rels><?xml version="1.0" encoding="UTF-8" standalone="yes"?>
<Relationships xmlns="http://schemas.openxmlformats.org/package/2006/relationships"><Relationship Id="rId3" Type="http://schemas.microsoft.com/office/2011/relationships/chartColorStyle" Target="colors14.xml"/><Relationship Id="rId2" Type="http://schemas.microsoft.com/office/2011/relationships/chartStyle" Target="style14.xml"/><Relationship Id="rId1" Type="http://schemas.openxmlformats.org/officeDocument/2006/relationships/themeOverride" Target="../theme/themeOverride18.xml"/></Relationships>
</file>

<file path=xl/charts/_rels/chart23.xml.rels><?xml version="1.0" encoding="UTF-8" standalone="yes"?>
<Relationships xmlns="http://schemas.openxmlformats.org/package/2006/relationships"><Relationship Id="rId3" Type="http://schemas.microsoft.com/office/2011/relationships/chartColorStyle" Target="colors15.xml"/><Relationship Id="rId2" Type="http://schemas.microsoft.com/office/2011/relationships/chartStyle" Target="style15.xml"/><Relationship Id="rId1" Type="http://schemas.openxmlformats.org/officeDocument/2006/relationships/themeOverride" Target="../theme/themeOverride19.xml"/></Relationships>
</file>

<file path=xl/charts/_rels/chart24.xml.rels><?xml version="1.0" encoding="UTF-8" standalone="yes"?>
<Relationships xmlns="http://schemas.openxmlformats.org/package/2006/relationships"><Relationship Id="rId3" Type="http://schemas.microsoft.com/office/2011/relationships/chartColorStyle" Target="colors16.xml"/><Relationship Id="rId2" Type="http://schemas.microsoft.com/office/2011/relationships/chartStyle" Target="style16.xml"/><Relationship Id="rId1" Type="http://schemas.openxmlformats.org/officeDocument/2006/relationships/themeOverride" Target="../theme/themeOverride20.xml"/></Relationships>
</file>

<file path=xl/charts/_rels/chart25.xml.rels><?xml version="1.0" encoding="UTF-8" standalone="yes"?>
<Relationships xmlns="http://schemas.openxmlformats.org/package/2006/relationships"><Relationship Id="rId3" Type="http://schemas.microsoft.com/office/2011/relationships/chartColorStyle" Target="colors17.xml"/><Relationship Id="rId2" Type="http://schemas.microsoft.com/office/2011/relationships/chartStyle" Target="style17.xml"/><Relationship Id="rId1" Type="http://schemas.openxmlformats.org/officeDocument/2006/relationships/themeOverride" Target="../theme/themeOverride21.xml"/></Relationships>
</file>

<file path=xl/charts/_rels/chart26.xml.rels><?xml version="1.0" encoding="UTF-8" standalone="yes"?>
<Relationships xmlns="http://schemas.openxmlformats.org/package/2006/relationships"><Relationship Id="rId3" Type="http://schemas.microsoft.com/office/2011/relationships/chartColorStyle" Target="colors18.xml"/><Relationship Id="rId2" Type="http://schemas.microsoft.com/office/2011/relationships/chartStyle" Target="style18.xml"/><Relationship Id="rId1" Type="http://schemas.openxmlformats.org/officeDocument/2006/relationships/themeOverride" Target="../theme/themeOverride22.xml"/></Relationships>
</file>

<file path=xl/charts/_rels/chart27.xml.rels><?xml version="1.0" encoding="UTF-8" standalone="yes"?>
<Relationships xmlns="http://schemas.openxmlformats.org/package/2006/relationships"><Relationship Id="rId3" Type="http://schemas.microsoft.com/office/2011/relationships/chartColorStyle" Target="colors19.xml"/><Relationship Id="rId2" Type="http://schemas.microsoft.com/office/2011/relationships/chartStyle" Target="style19.xml"/><Relationship Id="rId1" Type="http://schemas.openxmlformats.org/officeDocument/2006/relationships/themeOverride" Target="../theme/themeOverride23.xml"/></Relationships>
</file>

<file path=xl/charts/_rels/chart28.xml.rels><?xml version="1.0" encoding="UTF-8" standalone="yes"?>
<Relationships xmlns="http://schemas.openxmlformats.org/package/2006/relationships"><Relationship Id="rId3" Type="http://schemas.microsoft.com/office/2011/relationships/chartColorStyle" Target="colors20.xml"/><Relationship Id="rId2" Type="http://schemas.microsoft.com/office/2011/relationships/chartStyle" Target="style20.xml"/><Relationship Id="rId1" Type="http://schemas.openxmlformats.org/officeDocument/2006/relationships/themeOverride" Target="../theme/themeOverride24.xml"/></Relationships>
</file>

<file path=xl/charts/_rels/chart29.xml.rels><?xml version="1.0" encoding="UTF-8" standalone="yes"?>
<Relationships xmlns="http://schemas.openxmlformats.org/package/2006/relationships"><Relationship Id="rId3" Type="http://schemas.microsoft.com/office/2011/relationships/chartColorStyle" Target="colors21.xml"/><Relationship Id="rId2" Type="http://schemas.microsoft.com/office/2011/relationships/chartStyle" Target="style21.xml"/><Relationship Id="rId1" Type="http://schemas.openxmlformats.org/officeDocument/2006/relationships/themeOverride" Target="../theme/themeOverrid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849004811898513"/>
          <c:y val="0.126388888888889"/>
          <c:w val="0.831865704286964"/>
          <c:h val="0.7688292850319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全球新能源乘用车销量!$C$2</c:f>
              <c:strCache>
                <c:ptCount val="1"/>
                <c:pt idx="0">
                  <c:v>全球新能源汽车销量(万辆)</c:v>
                </c:pt>
              </c:strCache>
            </c:strRef>
          </c:tx>
          <c:spPr>
            <a:solidFill>
              <a:srgbClr val="0677D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全球新能源乘用车销量!$B$3:$B$15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全球新能源乘用车销量!$C$3:$C$15</c:f>
              <c:numCache>
                <c:formatCode>0.0</c:formatCode>
                <c:ptCount val="13"/>
                <c:pt idx="0">
                  <c:v>12.5</c:v>
                </c:pt>
                <c:pt idx="1">
                  <c:v>20.8</c:v>
                </c:pt>
                <c:pt idx="2">
                  <c:v>32.1</c:v>
                </c:pt>
                <c:pt idx="3">
                  <c:v>54.3</c:v>
                </c:pt>
                <c:pt idx="4">
                  <c:v>79.2</c:v>
                </c:pt>
                <c:pt idx="5">
                  <c:v>126.3</c:v>
                </c:pt>
                <c:pt idx="6">
                  <c:v>208.2</c:v>
                </c:pt>
                <c:pt idx="7">
                  <c:v>227.6</c:v>
                </c:pt>
                <c:pt idx="8">
                  <c:v>324.5</c:v>
                </c:pt>
                <c:pt idx="9">
                  <c:v>677.4</c:v>
                </c:pt>
                <c:pt idx="10">
                  <c:v>1052.4</c:v>
                </c:pt>
                <c:pt idx="11">
                  <c:v>1418.2</c:v>
                </c:pt>
                <c:pt idx="12">
                  <c:v>1823.6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776895"/>
        <c:axId val="1970926063"/>
      </c:barChart>
      <c:lineChart>
        <c:grouping val="standard"/>
        <c:varyColors val="0"/>
        <c:ser>
          <c:idx val="1"/>
          <c:order val="1"/>
          <c:tx>
            <c:strRef>
              <c:f>全球新能源乘用车销量!$D$2</c:f>
              <c:strCache>
                <c:ptCount val="1"/>
                <c:pt idx="0">
                  <c:v>YOY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5C5C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全球新能源乘用车销量!$B$3:$B$15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全球新能源乘用车销量!$D$3:$D$15</c:f>
              <c:numCache>
                <c:formatCode>General</c:formatCode>
                <c:ptCount val="13"/>
                <c:pt idx="1" c:formatCode="0.0%">
                  <c:v>0.664</c:v>
                </c:pt>
                <c:pt idx="2" c:formatCode="0.0%">
                  <c:v>0.543269230769231</c:v>
                </c:pt>
                <c:pt idx="3" c:formatCode="0.0%">
                  <c:v>0.691588785046729</c:v>
                </c:pt>
                <c:pt idx="4" c:formatCode="0.0%">
                  <c:v>0.458563535911602</c:v>
                </c:pt>
                <c:pt idx="5" c:formatCode="0.0%">
                  <c:v>0.59469696969697</c:v>
                </c:pt>
                <c:pt idx="6" c:formatCode="0.0%">
                  <c:v>0.648456057007126</c:v>
                </c:pt>
                <c:pt idx="7" c:formatCode="0.0%">
                  <c:v>0.0931796349663785</c:v>
                </c:pt>
                <c:pt idx="8" c:formatCode="0.0%">
                  <c:v>0.425746924428823</c:v>
                </c:pt>
                <c:pt idx="9" c:formatCode="0.0%">
                  <c:v>1.08751926040062</c:v>
                </c:pt>
                <c:pt idx="10" c:formatCode="0.0%">
                  <c:v>0.553587245349867</c:v>
                </c:pt>
                <c:pt idx="11" c:formatCode="0.0%">
                  <c:v>0.347586469023185</c:v>
                </c:pt>
                <c:pt idx="12" c:formatCode="0.0%">
                  <c:v>0.285855309547313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71791"/>
        <c:axId val="1166387599"/>
      </c:lineChart>
      <c:catAx>
        <c:axId val="1970776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r>
                  <a:rPr lang="zh-CN" altLang="en-US"/>
                  <a:t>万辆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" lastClr="FFFFFF">
                <a:lumMod val="75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926063"/>
        <c:crosses val="autoZero"/>
        <c:auto val="1"/>
        <c:lblAlgn val="ctr"/>
        <c:lblOffset val="100"/>
        <c:noMultiLvlLbl val="0"/>
      </c:catAx>
      <c:valAx>
        <c:axId val="1970926063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ysClr val="window" lastClr="FFFFFF">
                <a:lumMod val="7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776895"/>
        <c:crosses val="autoZero"/>
        <c:crossBetween val="between"/>
      </c:valAx>
      <c:catAx>
        <c:axId val="11663717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6387599"/>
        <c:crosses val="autoZero"/>
        <c:auto val="1"/>
        <c:lblAlgn val="ctr"/>
        <c:lblOffset val="100"/>
        <c:noMultiLvlLbl val="0"/>
      </c:catAx>
      <c:valAx>
        <c:axId val="1166387599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" lastClr="FFFFFF">
                <a:lumMod val="7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6371791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eee61b2-bf83-4f46-8aec-f5f074a66045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844560367454068"/>
          <c:y val="0.110694444444444"/>
          <c:w val="0.884988407699038"/>
          <c:h val="0.782471566054243"/>
        </c:manualLayout>
      </c:layout>
      <c:lineChart>
        <c:grouping val="standard"/>
        <c:varyColors val="0"/>
        <c:ser>
          <c:idx val="0"/>
          <c:order val="0"/>
          <c:tx>
            <c:strRef>
              <c:f>全球新能源乘用车销量!$F$2</c:f>
              <c:strCache>
                <c:ptCount val="1"/>
                <c:pt idx="0">
                  <c:v>全球新能源汽车渗透率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全球新能源乘用车销量!$B$3:$B$15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全球新能源乘用车销量!$F$3:$F$15</c:f>
              <c:numCache>
                <c:formatCode>0.0%</c:formatCode>
                <c:ptCount val="13"/>
                <c:pt idx="0">
                  <c:v>0.00152199332714292</c:v>
                </c:pt>
                <c:pt idx="1">
                  <c:v>0.00242973237338968</c:v>
                </c:pt>
                <c:pt idx="2">
                  <c:v>0.0036337662601701</c:v>
                </c:pt>
                <c:pt idx="3">
                  <c:v>0.00605455063147513</c:v>
                </c:pt>
                <c:pt idx="4">
                  <c:v>0.00843842405211001</c:v>
                </c:pt>
                <c:pt idx="5">
                  <c:v>0.0132029270230632</c:v>
                </c:pt>
                <c:pt idx="6">
                  <c:v>0.0219028927456856</c:v>
                </c:pt>
                <c:pt idx="7">
                  <c:v>0.0249296968310084</c:v>
                </c:pt>
                <c:pt idx="8">
                  <c:v>0.0416179125752967</c:v>
                </c:pt>
                <c:pt idx="9">
                  <c:v>0.083</c:v>
                </c:pt>
                <c:pt idx="10">
                  <c:v>0.129925925925926</c:v>
                </c:pt>
                <c:pt idx="11">
                  <c:v>0.158</c:v>
                </c:pt>
                <c:pt idx="12">
                  <c:v>0.201280353200883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8321695"/>
        <c:axId val="640525215"/>
      </c:lineChart>
      <c:catAx>
        <c:axId val="2078321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525215"/>
        <c:crosses val="autoZero"/>
        <c:auto val="1"/>
        <c:lblAlgn val="ctr"/>
        <c:lblOffset val="100"/>
        <c:noMultiLvlLbl val="0"/>
      </c:catAx>
      <c:valAx>
        <c:axId val="640525215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832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285fb1-974e-467f-8fdf-8809f4f0138a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924315"/>
          <c:y val="0.0662037037037037"/>
          <c:w val="0.822176833333333"/>
          <c:h val="0.826396908719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全球新能源乘用车销量!$C$2</c:f>
              <c:strCache>
                <c:ptCount val="1"/>
                <c:pt idx="0">
                  <c:v>全球新能源汽车销量(万辆)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全球新能源乘用车销量!$B$3:$B$15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全球新能源乘用车销量!$C$3:$C$15</c:f>
              <c:numCache>
                <c:formatCode>0.0</c:formatCode>
                <c:ptCount val="13"/>
                <c:pt idx="0">
                  <c:v>12.5</c:v>
                </c:pt>
                <c:pt idx="1">
                  <c:v>20.8</c:v>
                </c:pt>
                <c:pt idx="2">
                  <c:v>32.1</c:v>
                </c:pt>
                <c:pt idx="3">
                  <c:v>54.3</c:v>
                </c:pt>
                <c:pt idx="4">
                  <c:v>79.2</c:v>
                </c:pt>
                <c:pt idx="5">
                  <c:v>126.3</c:v>
                </c:pt>
                <c:pt idx="6">
                  <c:v>208.2</c:v>
                </c:pt>
                <c:pt idx="7">
                  <c:v>227.6</c:v>
                </c:pt>
                <c:pt idx="8">
                  <c:v>324.5</c:v>
                </c:pt>
                <c:pt idx="9">
                  <c:v>677.4</c:v>
                </c:pt>
                <c:pt idx="10">
                  <c:v>1052.4</c:v>
                </c:pt>
                <c:pt idx="11">
                  <c:v>1418.2</c:v>
                </c:pt>
                <c:pt idx="12">
                  <c:v>1823.6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776895"/>
        <c:axId val="1970926063"/>
      </c:barChart>
      <c:lineChart>
        <c:grouping val="standard"/>
        <c:varyColors val="0"/>
        <c:ser>
          <c:idx val="1"/>
          <c:order val="1"/>
          <c:tx>
            <c:strRef>
              <c:f>全球新能源乘用车销量!$F$2</c:f>
              <c:strCache>
                <c:ptCount val="1"/>
                <c:pt idx="0">
                  <c:v>全球新能源汽车渗透率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全球新能源乘用车销量!$B$3:$B$15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全球新能源乘用车销量!$F$3:$F$15</c:f>
              <c:numCache>
                <c:formatCode>0.0%</c:formatCode>
                <c:ptCount val="13"/>
                <c:pt idx="0">
                  <c:v>0.00152199332714292</c:v>
                </c:pt>
                <c:pt idx="1">
                  <c:v>0.00242973237338968</c:v>
                </c:pt>
                <c:pt idx="2">
                  <c:v>0.0036337662601701</c:v>
                </c:pt>
                <c:pt idx="3">
                  <c:v>0.00605455063147513</c:v>
                </c:pt>
                <c:pt idx="4">
                  <c:v>0.00843842405211001</c:v>
                </c:pt>
                <c:pt idx="5">
                  <c:v>0.0132029270230632</c:v>
                </c:pt>
                <c:pt idx="6">
                  <c:v>0.0219028927456856</c:v>
                </c:pt>
                <c:pt idx="7">
                  <c:v>0.0249296968310084</c:v>
                </c:pt>
                <c:pt idx="8">
                  <c:v>0.0416179125752967</c:v>
                </c:pt>
                <c:pt idx="9">
                  <c:v>0.083</c:v>
                </c:pt>
                <c:pt idx="10">
                  <c:v>0.129925925925926</c:v>
                </c:pt>
                <c:pt idx="11">
                  <c:v>0.158</c:v>
                </c:pt>
                <c:pt idx="12">
                  <c:v>0.201280353200883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8366016"/>
        <c:axId val="1073819152"/>
      </c:lineChart>
      <c:catAx>
        <c:axId val="197077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70926063"/>
        <c:crosses val="autoZero"/>
        <c:auto val="1"/>
        <c:lblAlgn val="ctr"/>
        <c:lblOffset val="100"/>
        <c:noMultiLvlLbl val="0"/>
      </c:catAx>
      <c:valAx>
        <c:axId val="1970926063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70776895"/>
        <c:crosses val="autoZero"/>
        <c:crossBetween val="between"/>
      </c:valAx>
      <c:catAx>
        <c:axId val="1208366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3819152"/>
        <c:crosses val="autoZero"/>
        <c:auto val="1"/>
        <c:lblAlgn val="ctr"/>
        <c:lblOffset val="100"/>
        <c:noMultiLvlLbl val="0"/>
      </c:catAx>
      <c:valAx>
        <c:axId val="107381915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" lastClr="FFFFFF">
                <a:lumMod val="7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08366016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04ffcc-831d-4991-9e58-c17da25173f5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738472160457793"/>
          <c:y val="0.10128901856018"/>
          <c:w val="0.925303805774278"/>
          <c:h val="0.8140503791192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'新能源汽车销量汇总-中汽协乘联会'!$C$2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'新能源汽车销量汇总-中汽协乘联会'!$A$3:$A$14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'新能源汽车销量汇总-中汽协乘联会'!$C$3:$C$14</c:f>
              <c:numCache>
                <c:formatCode>0.00_ </c:formatCode>
                <c:ptCount val="12"/>
                <c:pt idx="0">
                  <c:v>9.5696</c:v>
                </c:pt>
                <c:pt idx="1">
                  <c:v>5.2867</c:v>
                </c:pt>
                <c:pt idx="2">
                  <c:v>12.5631</c:v>
                </c:pt>
                <c:pt idx="3">
                  <c:v>9.6771</c:v>
                </c:pt>
                <c:pt idx="4">
                  <c:v>10.4422</c:v>
                </c:pt>
                <c:pt idx="5">
                  <c:v>15.2062</c:v>
                </c:pt>
                <c:pt idx="6">
                  <c:v>7.9784</c:v>
                </c:pt>
                <c:pt idx="7">
                  <c:v>8.5255</c:v>
                </c:pt>
                <c:pt idx="8">
                  <c:v>7.9755</c:v>
                </c:pt>
                <c:pt idx="9">
                  <c:v>7.5058</c:v>
                </c:pt>
                <c:pt idx="10">
                  <c:v>9.5375</c:v>
                </c:pt>
                <c:pt idx="11">
                  <c:v>16.3448</c:v>
                </c:pt>
              </c:numCache>
            </c:numRef>
          </c:val>
        </c:ser>
        <c:ser>
          <c:idx val="1"/>
          <c:order val="1"/>
          <c:tx>
            <c:strRef>
              <c:f>'新能源汽车销量汇总-中汽协乘联会'!$D$2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dLbls>
            <c:delete val="1"/>
          </c:dLbls>
          <c:cat>
            <c:strRef>
              <c:f>'新能源汽车销量汇总-中汽协乘联会'!$A$3:$A$14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'新能源汽车销量汇总-中汽协乘联会'!$D$3:$D$14</c:f>
              <c:numCache>
                <c:formatCode>0.00_ </c:formatCode>
                <c:ptCount val="12"/>
                <c:pt idx="0">
                  <c:v>4.6373</c:v>
                </c:pt>
                <c:pt idx="1">
                  <c:v>1.2908</c:v>
                </c:pt>
                <c:pt idx="2">
                  <c:v>5.2873</c:v>
                </c:pt>
                <c:pt idx="3">
                  <c:v>7.195</c:v>
                </c:pt>
                <c:pt idx="4">
                  <c:v>8.1665</c:v>
                </c:pt>
                <c:pt idx="5">
                  <c:v>10.3565</c:v>
                </c:pt>
                <c:pt idx="6">
                  <c:v>9.7854</c:v>
                </c:pt>
                <c:pt idx="7">
                  <c:v>10.9318</c:v>
                </c:pt>
                <c:pt idx="8">
                  <c:v>13.7941</c:v>
                </c:pt>
                <c:pt idx="9">
                  <c:v>16.0185</c:v>
                </c:pt>
                <c:pt idx="10">
                  <c:v>20.0143</c:v>
                </c:pt>
                <c:pt idx="11">
                  <c:v>24.8171</c:v>
                </c:pt>
              </c:numCache>
            </c:numRef>
          </c:val>
        </c:ser>
        <c:ser>
          <c:idx val="2"/>
          <c:order val="2"/>
          <c:tx>
            <c:strRef>
              <c:f>'新能源汽车销量汇总-中汽协乘联会'!$E$2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dLbls>
            <c:delete val="1"/>
          </c:dLbls>
          <c:cat>
            <c:strRef>
              <c:f>'新能源汽车销量汇总-中汽协乘联会'!$A$3:$A$14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'新能源汽车销量汇总-中汽协乘联会'!$E$3:$E$14</c:f>
              <c:numCache>
                <c:formatCode>0.00_ </c:formatCode>
                <c:ptCount val="12"/>
                <c:pt idx="0">
                  <c:v>17.9176</c:v>
                </c:pt>
                <c:pt idx="1">
                  <c:v>10.9634</c:v>
                </c:pt>
                <c:pt idx="2">
                  <c:v>22.5801</c:v>
                </c:pt>
                <c:pt idx="3">
                  <c:v>20.6206</c:v>
                </c:pt>
                <c:pt idx="4">
                  <c:v>21.7386</c:v>
                </c:pt>
                <c:pt idx="5">
                  <c:v>25.5747</c:v>
                </c:pt>
                <c:pt idx="6">
                  <c:v>27.0576</c:v>
                </c:pt>
                <c:pt idx="7">
                  <c:v>32.0974</c:v>
                </c:pt>
                <c:pt idx="8">
                  <c:v>35.7474</c:v>
                </c:pt>
                <c:pt idx="9">
                  <c:v>38.3418</c:v>
                </c:pt>
                <c:pt idx="10">
                  <c:v>44.9858</c:v>
                </c:pt>
                <c:pt idx="11">
                  <c:v>53.1</c:v>
                </c:pt>
              </c:numCache>
            </c:numRef>
          </c:val>
        </c:ser>
        <c:ser>
          <c:idx val="3"/>
          <c:order val="3"/>
          <c:tx>
            <c:strRef>
              <c:f>'新能源汽车销量汇总-中汽协乘联会'!$F$2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dLbls>
            <c:delete val="1"/>
          </c:dLbls>
          <c:cat>
            <c:strRef>
              <c:f>'新能源汽车销量汇总-中汽协乘联会'!$A$3:$A$14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'新能源汽车销量汇总-中汽协乘联会'!$F$3:$F$14</c:f>
              <c:numCache>
                <c:formatCode>0.00_ </c:formatCode>
                <c:ptCount val="12"/>
                <c:pt idx="0">
                  <c:v>43.14</c:v>
                </c:pt>
                <c:pt idx="1">
                  <c:v>33.37</c:v>
                </c:pt>
                <c:pt idx="2">
                  <c:v>48.4</c:v>
                </c:pt>
                <c:pt idx="3">
                  <c:v>29.89</c:v>
                </c:pt>
                <c:pt idx="4">
                  <c:v>44.7174</c:v>
                </c:pt>
                <c:pt idx="5">
                  <c:v>59.6439</c:v>
                </c:pt>
                <c:pt idx="6">
                  <c:v>59.2887</c:v>
                </c:pt>
                <c:pt idx="7">
                  <c:v>66.6191</c:v>
                </c:pt>
                <c:pt idx="8">
                  <c:v>70.7529</c:v>
                </c:pt>
                <c:pt idx="9">
                  <c:v>71.3601</c:v>
                </c:pt>
                <c:pt idx="10">
                  <c:v>78.6285</c:v>
                </c:pt>
                <c:pt idx="11">
                  <c:v>81.3842</c:v>
                </c:pt>
              </c:numCache>
            </c:numRef>
          </c:val>
        </c:ser>
        <c:ser>
          <c:idx val="4"/>
          <c:order val="4"/>
          <c:tx>
            <c:strRef>
              <c:f>'新能源汽车销量汇总-中汽协乘联会'!$G$2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dLbls>
            <c:delete val="1"/>
          </c:dLbls>
          <c:cat>
            <c:strRef>
              <c:f>'新能源汽车销量汇总-中汽协乘联会'!$A$3:$A$14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'新能源汽车销量汇总-中汽协乘联会'!$G$3:$G$14</c:f>
              <c:numCache>
                <c:formatCode>0.00_ </c:formatCode>
                <c:ptCount val="12"/>
                <c:pt idx="0">
                  <c:v>40.8</c:v>
                </c:pt>
                <c:pt idx="1">
                  <c:v>52.5</c:v>
                </c:pt>
                <c:pt idx="2">
                  <c:v>65.3</c:v>
                </c:pt>
                <c:pt idx="3">
                  <c:v>63.6</c:v>
                </c:pt>
                <c:pt idx="4">
                  <c:v>71.7</c:v>
                </c:pt>
                <c:pt idx="5">
                  <c:v>80.6</c:v>
                </c:pt>
                <c:pt idx="6">
                  <c:v>78</c:v>
                </c:pt>
                <c:pt idx="7">
                  <c:v>84.6</c:v>
                </c:pt>
                <c:pt idx="8">
                  <c:v>90.4</c:v>
                </c:pt>
                <c:pt idx="9">
                  <c:v>95.6</c:v>
                </c:pt>
                <c:pt idx="10">
                  <c:v>102.6</c:v>
                </c:pt>
                <c:pt idx="11">
                  <c:v>119.1</c:v>
                </c:pt>
              </c:numCache>
            </c:numRef>
          </c:val>
        </c:ser>
        <c:ser>
          <c:idx val="5"/>
          <c:order val="5"/>
          <c:tx>
            <c:strRef>
              <c:f>'新能源汽车销量汇总-中汽协乘联会'!$H$2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dLbls>
            <c:delete val="1"/>
          </c:dLbls>
          <c:cat>
            <c:strRef>
              <c:f>'新能源汽车销量汇总-中汽协乘联会'!$A$3:$A$14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'新能源汽车销量汇总-中汽协乘联会'!$H$3:$H$14</c:f>
              <c:numCache>
                <c:formatCode>0.00_ </c:formatCode>
                <c:ptCount val="12"/>
                <c:pt idx="0">
                  <c:v>72.9</c:v>
                </c:pt>
                <c:pt idx="1">
                  <c:v>47.7</c:v>
                </c:pt>
                <c:pt idx="2">
                  <c:v>88.3</c:v>
                </c:pt>
                <c:pt idx="3">
                  <c:v>85</c:v>
                </c:pt>
                <c:pt idx="4">
                  <c:v>95.5</c:v>
                </c:pt>
                <c:pt idx="5">
                  <c:v>104.9</c:v>
                </c:pt>
                <c:pt idx="6">
                  <c:v>99.1</c:v>
                </c:pt>
                <c:pt idx="7">
                  <c:v>110</c:v>
                </c:pt>
                <c:pt idx="8">
                  <c:v>128.7</c:v>
                </c:pt>
                <c:pt idx="9">
                  <c:v>143</c:v>
                </c:pt>
                <c:pt idx="10">
                  <c:v>151.2</c:v>
                </c:pt>
                <c:pt idx="11">
                  <c:v>159.6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6900040"/>
        <c:axId val="1"/>
      </c:barChart>
      <c:catAx>
        <c:axId val="1006900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 altLang="en-US"/>
                  <a:t>万辆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0083595800524934"/>
              <c:y val="0.0013888888888888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D7D7D7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D7D7D7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0069000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f30e0b-02fa-437e-8884-eb7ca1f93071}"/>
      </c:ext>
    </c:extLst>
  </c:chart>
  <c:spPr>
    <a:solidFill>
      <a:srgbClr val="FFFFFF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640715195075425"/>
          <c:y val="0.112708711393295"/>
          <c:w val="0.924263580397971"/>
          <c:h val="0.789593685948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'新能源汽车销量汇总-中汽协乘联会'!$B$36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'新能源汽车销量汇总-中汽协乘联会'!$A$37:$A$48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'新能源汽车销量汇总-中汽协乘联会'!$B$37:$B$48</c:f>
              <c:numCache>
                <c:formatCode>0.00_ </c:formatCode>
                <c:ptCount val="12"/>
                <c:pt idx="0">
                  <c:v>2.58</c:v>
                </c:pt>
                <c:pt idx="1">
                  <c:v>2.24</c:v>
                </c:pt>
                <c:pt idx="2">
                  <c:v>4.09</c:v>
                </c:pt>
                <c:pt idx="3">
                  <c:v>2.8</c:v>
                </c:pt>
                <c:pt idx="4">
                  <c:v>2.88</c:v>
                </c:pt>
                <c:pt idx="5">
                  <c:v>3.81</c:v>
                </c:pt>
                <c:pt idx="6">
                  <c:v>2.72</c:v>
                </c:pt>
                <c:pt idx="7">
                  <c:v>2.99</c:v>
                </c:pt>
                <c:pt idx="8">
                  <c:v>3.27</c:v>
                </c:pt>
                <c:pt idx="9">
                  <c:v>3.23</c:v>
                </c:pt>
                <c:pt idx="10">
                  <c:v>3.76</c:v>
                </c:pt>
                <c:pt idx="11">
                  <c:v>4.06</c:v>
                </c:pt>
              </c:numCache>
            </c:numRef>
          </c:val>
        </c:ser>
        <c:ser>
          <c:idx val="1"/>
          <c:order val="1"/>
          <c:tx>
            <c:strRef>
              <c:f>'新能源汽车销量汇总-中汽协乘联会'!$C$36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'新能源汽车销量汇总-中汽协乘联会'!$A$37:$A$48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'新能源汽车销量汇总-中汽协乘联会'!$C$37:$C$48</c:f>
              <c:numCache>
                <c:formatCode>0.00_ </c:formatCode>
                <c:ptCount val="12"/>
                <c:pt idx="0">
                  <c:v>3.34</c:v>
                </c:pt>
                <c:pt idx="1">
                  <c:v>3.27</c:v>
                </c:pt>
                <c:pt idx="2">
                  <c:v>5.97</c:v>
                </c:pt>
                <c:pt idx="3">
                  <c:v>3.71</c:v>
                </c:pt>
                <c:pt idx="4">
                  <c:v>3.74</c:v>
                </c:pt>
                <c:pt idx="5">
                  <c:v>4.74</c:v>
                </c:pt>
                <c:pt idx="6">
                  <c:v>3.58</c:v>
                </c:pt>
                <c:pt idx="7">
                  <c:v>3.53</c:v>
                </c:pt>
                <c:pt idx="8">
                  <c:v>5.87</c:v>
                </c:pt>
                <c:pt idx="9">
                  <c:v>4.82</c:v>
                </c:pt>
                <c:pt idx="10">
                  <c:v>5.5</c:v>
                </c:pt>
                <c:pt idx="11">
                  <c:v>7.72</c:v>
                </c:pt>
              </c:numCache>
            </c:numRef>
          </c:val>
        </c:ser>
        <c:ser>
          <c:idx val="2"/>
          <c:order val="2"/>
          <c:tx>
            <c:strRef>
              <c:f>'新能源汽车销量汇总-中汽协乘联会'!$D$36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'新能源汽车销量汇总-中汽协乘联会'!$A$37:$A$48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'新能源汽车销量汇总-中汽协乘联会'!$D$37:$D$48</c:f>
              <c:numCache>
                <c:formatCode>0.00_ </c:formatCode>
                <c:ptCount val="12"/>
                <c:pt idx="0">
                  <c:v>7.47</c:v>
                </c:pt>
                <c:pt idx="1">
                  <c:v>6.95</c:v>
                </c:pt>
                <c:pt idx="2">
                  <c:v>8.43</c:v>
                </c:pt>
                <c:pt idx="3">
                  <c:v>3.15</c:v>
                </c:pt>
                <c:pt idx="4">
                  <c:v>4.68</c:v>
                </c:pt>
                <c:pt idx="5">
                  <c:v>9.29</c:v>
                </c:pt>
                <c:pt idx="6">
                  <c:v>11.37</c:v>
                </c:pt>
                <c:pt idx="7">
                  <c:v>9.75</c:v>
                </c:pt>
                <c:pt idx="8">
                  <c:v>16.01</c:v>
                </c:pt>
                <c:pt idx="9">
                  <c:v>14.66</c:v>
                </c:pt>
                <c:pt idx="10">
                  <c:v>16.63</c:v>
                </c:pt>
                <c:pt idx="11">
                  <c:v>28.12</c:v>
                </c:pt>
              </c:numCache>
            </c:numRef>
          </c:val>
        </c:ser>
        <c:ser>
          <c:idx val="3"/>
          <c:order val="3"/>
          <c:tx>
            <c:strRef>
              <c:f>'新能源汽车销量汇总-中汽协乘联会'!$E$36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'新能源汽车销量汇总-中汽协乘联会'!$A$37:$A$48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'新能源汽车销量汇总-中汽协乘联会'!$E$37:$E$48</c:f>
              <c:numCache>
                <c:formatCode>0.00_ </c:formatCode>
                <c:ptCount val="12"/>
                <c:pt idx="0">
                  <c:v>11.26</c:v>
                </c:pt>
                <c:pt idx="1">
                  <c:v>11.58</c:v>
                </c:pt>
                <c:pt idx="2">
                  <c:v>22.8</c:v>
                </c:pt>
                <c:pt idx="3">
                  <c:v>15.99</c:v>
                </c:pt>
                <c:pt idx="4">
                  <c:v>17.83</c:v>
                </c:pt>
                <c:pt idx="5">
                  <c:v>23.7944</c:v>
                </c:pt>
                <c:pt idx="6">
                  <c:v>16.0646</c:v>
                </c:pt>
                <c:pt idx="7">
                  <c:v>15.57</c:v>
                </c:pt>
                <c:pt idx="8">
                  <c:v>22.72</c:v>
                </c:pt>
                <c:pt idx="9">
                  <c:v>18.4797</c:v>
                </c:pt>
                <c:pt idx="10">
                  <c:v>22.1828</c:v>
                </c:pt>
                <c:pt idx="11">
                  <c:v>28.02</c:v>
                </c:pt>
              </c:numCache>
            </c:numRef>
          </c:val>
        </c:ser>
        <c:ser>
          <c:idx val="4"/>
          <c:order val="4"/>
          <c:tx>
            <c:strRef>
              <c:f>'新能源汽车销量汇总-中汽协乘联会'!$F$36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'新能源汽车销量汇总-中汽协乘联会'!$A$37:$A$48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'新能源汽车销量汇总-中汽协乘联会'!$F$37:$F$48</c:f>
              <c:numCache>
                <c:formatCode>0.00_ </c:formatCode>
                <c:ptCount val="12"/>
                <c:pt idx="0">
                  <c:v>15.6236</c:v>
                </c:pt>
                <c:pt idx="1">
                  <c:v>15.965</c:v>
                </c:pt>
                <c:pt idx="2">
                  <c:v>25.0601</c:v>
                </c:pt>
                <c:pt idx="3">
                  <c:v>15.86</c:v>
                </c:pt>
                <c:pt idx="4">
                  <c:v>18.3914</c:v>
                </c:pt>
                <c:pt idx="5">
                  <c:v>21.9889</c:v>
                </c:pt>
                <c:pt idx="6">
                  <c:v>15.7694</c:v>
                </c:pt>
                <c:pt idx="7">
                  <c:v>15.972</c:v>
                </c:pt>
                <c:pt idx="8">
                  <c:v>24.9721</c:v>
                </c:pt>
                <c:pt idx="9">
                  <c:v>21.0966</c:v>
                </c:pt>
                <c:pt idx="10">
                  <c:v>28.1505</c:v>
                </c:pt>
                <c:pt idx="11">
                  <c:v>41.3483</c:v>
                </c:pt>
              </c:numCache>
            </c:numRef>
          </c:val>
        </c:ser>
        <c:ser>
          <c:idx val="5"/>
          <c:order val="5"/>
          <c:tx>
            <c:strRef>
              <c:f>'新能源汽车销量汇总-中汽协乘联会'!$G$36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dLbls>
            <c:delete val="1"/>
          </c:dLbls>
          <c:cat>
            <c:strRef>
              <c:f>'新能源汽车销量汇总-中汽协乘联会'!$A$37:$A$48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'新能源汽车销量汇总-中汽协乘联会'!$G$37:$G$48</c:f>
              <c:numCache>
                <c:formatCode>General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6900040"/>
        <c:axId val="1"/>
      </c:barChart>
      <c:catAx>
        <c:axId val="1006900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 altLang="en-US"/>
                  <a:t>万辆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0168900276862101"/>
              <c:y val="0.0013069567717462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D7D7D7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D7D7D7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0069000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f23026-7349-4fa8-9d4a-b8ba24f06032}"/>
      </c:ext>
    </c:extLst>
  </c:chart>
  <c:spPr>
    <a:solidFill>
      <a:srgbClr val="FFFFFF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481016666666667"/>
          <c:y val="0.122495833333333"/>
          <c:w val="0.895012777777778"/>
          <c:h val="0.6869694444444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'新能源汽车销量汇总-中汽协乘联会'!$C$56</c:f>
              <c:strCache>
                <c:ptCount val="1"/>
                <c:pt idx="0">
                  <c:v>新能源汽车销量（万辆）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'新能源汽车销量汇总-中汽协乘联会'!$A$57:$A$131</c15:sqref>
                  </c15:fullRef>
                </c:ext>
              </c:extLst>
              <c:f>'新能源汽车销量汇总-中汽协乘联会'!$A$81:$A$131</c:f>
              <c:numCache>
                <c:formatCode>yyyy/mm;@</c:formatCode>
                <c:ptCount val="51"/>
                <c:pt idx="0" c:formatCode="yyyy/mm;@">
                  <c:v>44227</c:v>
                </c:pt>
                <c:pt idx="1" c:formatCode="yyyy/mm;@">
                  <c:v>44255</c:v>
                </c:pt>
                <c:pt idx="2" c:formatCode="yyyy/mm;@">
                  <c:v>44286</c:v>
                </c:pt>
                <c:pt idx="3" c:formatCode="yyyy/mm;@">
                  <c:v>44316</c:v>
                </c:pt>
                <c:pt idx="4" c:formatCode="yyyy/mm;@">
                  <c:v>44347</c:v>
                </c:pt>
                <c:pt idx="5" c:formatCode="yyyy/mm;@">
                  <c:v>44377</c:v>
                </c:pt>
                <c:pt idx="6" c:formatCode="yyyy/mm;@">
                  <c:v>44408</c:v>
                </c:pt>
                <c:pt idx="7" c:formatCode="yyyy/mm;@">
                  <c:v>44439</c:v>
                </c:pt>
                <c:pt idx="8" c:formatCode="yyyy/mm;@">
                  <c:v>44469</c:v>
                </c:pt>
                <c:pt idx="9" c:formatCode="yyyy/mm;@">
                  <c:v>44500</c:v>
                </c:pt>
                <c:pt idx="10" c:formatCode="yyyy/mm;@">
                  <c:v>44530</c:v>
                </c:pt>
                <c:pt idx="11" c:formatCode="yyyy/mm;@">
                  <c:v>44561</c:v>
                </c:pt>
                <c:pt idx="12" c:formatCode="yyyy/mm;@">
                  <c:v>44562</c:v>
                </c:pt>
                <c:pt idx="13" c:formatCode="yyyy/mm;@">
                  <c:v>44593</c:v>
                </c:pt>
                <c:pt idx="14" c:formatCode="yyyy/mm;@">
                  <c:v>44621</c:v>
                </c:pt>
                <c:pt idx="15" c:formatCode="yyyy/mm;@">
                  <c:v>44652</c:v>
                </c:pt>
                <c:pt idx="16" c:formatCode="yyyy/mm;@">
                  <c:v>44682</c:v>
                </c:pt>
                <c:pt idx="17" c:formatCode="yyyy/mm;@">
                  <c:v>44713</c:v>
                </c:pt>
                <c:pt idx="18" c:formatCode="yyyy/mm;@">
                  <c:v>44743</c:v>
                </c:pt>
                <c:pt idx="19" c:formatCode="yyyy/mm;@">
                  <c:v>44774</c:v>
                </c:pt>
                <c:pt idx="20" c:formatCode="yyyy/mm;@">
                  <c:v>44805</c:v>
                </c:pt>
                <c:pt idx="21" c:formatCode="yyyy/mm;@">
                  <c:v>44835</c:v>
                </c:pt>
                <c:pt idx="22" c:formatCode="yyyy/mm;@">
                  <c:v>44866</c:v>
                </c:pt>
                <c:pt idx="23" c:formatCode="yyyy/mm;@">
                  <c:v>44896</c:v>
                </c:pt>
                <c:pt idx="24" c:formatCode="yyyy/mm;@">
                  <c:v>44927</c:v>
                </c:pt>
                <c:pt idx="25" c:formatCode="yyyy/mm;@">
                  <c:v>44958</c:v>
                </c:pt>
                <c:pt idx="26" c:formatCode="yyyy/mm;@">
                  <c:v>44986</c:v>
                </c:pt>
                <c:pt idx="27" c:formatCode="yyyy/mm;@">
                  <c:v>45017</c:v>
                </c:pt>
                <c:pt idx="28" c:formatCode="yyyy/mm;@">
                  <c:v>45047</c:v>
                </c:pt>
                <c:pt idx="29" c:formatCode="yyyy/mm;@">
                  <c:v>45078</c:v>
                </c:pt>
                <c:pt idx="30" c:formatCode="yyyy/mm;@">
                  <c:v>45108</c:v>
                </c:pt>
                <c:pt idx="31" c:formatCode="yyyy/mm;@">
                  <c:v>45139</c:v>
                </c:pt>
                <c:pt idx="32" c:formatCode="yyyy/mm;@">
                  <c:v>45170</c:v>
                </c:pt>
                <c:pt idx="33" c:formatCode="yyyy/mm;@">
                  <c:v>45200</c:v>
                </c:pt>
                <c:pt idx="34" c:formatCode="yyyy/mm;@">
                  <c:v>45231</c:v>
                </c:pt>
                <c:pt idx="35" c:formatCode="yyyy/mm;@">
                  <c:v>45261</c:v>
                </c:pt>
                <c:pt idx="36" c:formatCode="yyyy/mm;@">
                  <c:v>45292</c:v>
                </c:pt>
                <c:pt idx="37" c:formatCode="yyyy/mm;@">
                  <c:v>45323</c:v>
                </c:pt>
                <c:pt idx="38" c:formatCode="yyyy/mm;@">
                  <c:v>45352</c:v>
                </c:pt>
                <c:pt idx="39" c:formatCode="yyyy/mm;@">
                  <c:v>45383</c:v>
                </c:pt>
                <c:pt idx="40" c:formatCode="yyyy/mm;@">
                  <c:v>45414</c:v>
                </c:pt>
                <c:pt idx="41" c:formatCode="yyyy/mm;@">
                  <c:v>45444</c:v>
                </c:pt>
                <c:pt idx="42" c:formatCode="yyyy/mm;@">
                  <c:v>45474</c:v>
                </c:pt>
                <c:pt idx="43" c:formatCode="yyyy/mm;@">
                  <c:v>45505</c:v>
                </c:pt>
                <c:pt idx="44" c:formatCode="yyyy/mm;@">
                  <c:v>45536</c:v>
                </c:pt>
                <c:pt idx="45" c:formatCode="yyyy/mm;@">
                  <c:v>45566</c:v>
                </c:pt>
                <c:pt idx="46" c:formatCode="yyyy/mm;@">
                  <c:v>45597</c:v>
                </c:pt>
                <c:pt idx="47" c:formatCode="yyyy/mm;@">
                  <c:v>45627</c:v>
                </c:pt>
                <c:pt idx="48" c:formatCode="yyyy/mm;@">
                  <c:v>45658</c:v>
                </c:pt>
                <c:pt idx="49" c:formatCode="yyyy/mm;@">
                  <c:v>45689</c:v>
                </c:pt>
                <c:pt idx="50" c:formatCode="yyyy/mm;@">
                  <c:v>45717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'新能源汽车销量汇总-中汽协乘联会'!$C$57:$C$131</c15:sqref>
                  </c15:fullRef>
                </c:ext>
              </c:extLst>
              <c:f>'新能源汽车销量汇总-中汽协乘联会'!$C$81:$C$131</c:f>
              <c:numCache>
                <c:formatCode>0.00_ </c:formatCode>
                <c:ptCount val="51"/>
                <c:pt idx="0">
                  <c:v>17.9176</c:v>
                </c:pt>
                <c:pt idx="1">
                  <c:v>10.9634</c:v>
                </c:pt>
                <c:pt idx="2">
                  <c:v>22.5801</c:v>
                </c:pt>
                <c:pt idx="3">
                  <c:v>20.6206</c:v>
                </c:pt>
                <c:pt idx="4">
                  <c:v>21.7386</c:v>
                </c:pt>
                <c:pt idx="5">
                  <c:v>25.5747</c:v>
                </c:pt>
                <c:pt idx="6">
                  <c:v>27.0576</c:v>
                </c:pt>
                <c:pt idx="7">
                  <c:v>32.0974</c:v>
                </c:pt>
                <c:pt idx="8">
                  <c:v>35.7474</c:v>
                </c:pt>
                <c:pt idx="9">
                  <c:v>38.3418</c:v>
                </c:pt>
                <c:pt idx="10">
                  <c:v>44.9858</c:v>
                </c:pt>
                <c:pt idx="11">
                  <c:v>53.0939</c:v>
                </c:pt>
                <c:pt idx="12">
                  <c:v>43.1436</c:v>
                </c:pt>
                <c:pt idx="13">
                  <c:v>33.3731</c:v>
                </c:pt>
                <c:pt idx="14">
                  <c:v>48.4299</c:v>
                </c:pt>
                <c:pt idx="15">
                  <c:v>29.8868</c:v>
                </c:pt>
                <c:pt idx="16">
                  <c:v>44.7174</c:v>
                </c:pt>
                <c:pt idx="17">
                  <c:v>59.6439</c:v>
                </c:pt>
                <c:pt idx="18">
                  <c:v>59.2887</c:v>
                </c:pt>
                <c:pt idx="19">
                  <c:v>66.6191</c:v>
                </c:pt>
                <c:pt idx="20">
                  <c:v>70.7529</c:v>
                </c:pt>
                <c:pt idx="21">
                  <c:v>71.3601</c:v>
                </c:pt>
                <c:pt idx="22">
                  <c:v>78.6285</c:v>
                </c:pt>
                <c:pt idx="23">
                  <c:v>81.3842</c:v>
                </c:pt>
                <c:pt idx="24">
                  <c:v>40.7845</c:v>
                </c:pt>
                <c:pt idx="25">
                  <c:v>52.4897</c:v>
                </c:pt>
                <c:pt idx="26">
                  <c:v>65.2699</c:v>
                </c:pt>
                <c:pt idx="27">
                  <c:v>63.6463</c:v>
                </c:pt>
                <c:pt idx="28">
                  <c:v>71.7</c:v>
                </c:pt>
                <c:pt idx="29">
                  <c:v>80.6</c:v>
                </c:pt>
                <c:pt idx="30">
                  <c:v>78</c:v>
                </c:pt>
                <c:pt idx="31">
                  <c:v>84.6</c:v>
                </c:pt>
                <c:pt idx="32">
                  <c:v>90.4</c:v>
                </c:pt>
                <c:pt idx="33">
                  <c:v>95.6</c:v>
                </c:pt>
                <c:pt idx="34">
                  <c:v>102.6</c:v>
                </c:pt>
                <c:pt idx="35">
                  <c:v>119.1</c:v>
                </c:pt>
                <c:pt idx="36">
                  <c:v>72.9</c:v>
                </c:pt>
                <c:pt idx="37">
                  <c:v>47.7</c:v>
                </c:pt>
                <c:pt idx="38">
                  <c:v>88.3</c:v>
                </c:pt>
                <c:pt idx="39">
                  <c:v>85</c:v>
                </c:pt>
                <c:pt idx="40">
                  <c:v>95.5</c:v>
                </c:pt>
                <c:pt idx="41">
                  <c:v>104.9</c:v>
                </c:pt>
                <c:pt idx="42">
                  <c:v>99.1</c:v>
                </c:pt>
                <c:pt idx="43">
                  <c:v>110</c:v>
                </c:pt>
                <c:pt idx="44">
                  <c:v>128.7</c:v>
                </c:pt>
                <c:pt idx="45">
                  <c:v>143</c:v>
                </c:pt>
                <c:pt idx="46">
                  <c:v>151.2</c:v>
                </c:pt>
                <c:pt idx="47">
                  <c:v>159.6</c:v>
                </c:pt>
                <c:pt idx="48">
                  <c:v>94.4</c:v>
                </c:pt>
                <c:pt idx="49">
                  <c:v>89.2</c:v>
                </c:pt>
                <c:pt idx="50" c:formatCode="General">
                  <c:v>123.7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6901024"/>
        <c:axId val="1"/>
      </c:barChart>
      <c:lineChart>
        <c:grouping val="standard"/>
        <c:varyColors val="0"/>
        <c:ser>
          <c:idx val="1"/>
          <c:order val="1"/>
          <c:tx>
            <c:strRef>
              <c:f>'新能源汽车销量汇总-中汽协乘联会'!$D$56</c:f>
              <c:strCache>
                <c:ptCount val="1"/>
                <c:pt idx="0">
                  <c:v>渗透率</c:v>
                </c:pt>
              </c:strCache>
            </c:strRef>
          </c:tx>
          <c:spPr>
            <a:ln w="28575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'新能源汽车销量汇总-中汽协乘联会'!$A$57:$A$123</c15:sqref>
                  </c15:fullRef>
                </c:ext>
              </c:extLst>
              <c:f>'新能源汽车销量汇总-中汽协乘联会'!$A$81:$A$123</c:f>
              <c:numCache>
                <c:formatCode>yyyy/mm;@</c:formatCode>
                <c:ptCount val="43"/>
                <c:pt idx="0" c:formatCode="yyyy/mm;@">
                  <c:v>44227</c:v>
                </c:pt>
                <c:pt idx="1" c:formatCode="yyyy/mm;@">
                  <c:v>44255</c:v>
                </c:pt>
                <c:pt idx="2" c:formatCode="yyyy/mm;@">
                  <c:v>44286</c:v>
                </c:pt>
                <c:pt idx="3" c:formatCode="yyyy/mm;@">
                  <c:v>44316</c:v>
                </c:pt>
                <c:pt idx="4" c:formatCode="yyyy/mm;@">
                  <c:v>44347</c:v>
                </c:pt>
                <c:pt idx="5" c:formatCode="yyyy/mm;@">
                  <c:v>44377</c:v>
                </c:pt>
                <c:pt idx="6" c:formatCode="yyyy/mm;@">
                  <c:v>44408</c:v>
                </c:pt>
                <c:pt idx="7" c:formatCode="yyyy/mm;@">
                  <c:v>44439</c:v>
                </c:pt>
                <c:pt idx="8" c:formatCode="yyyy/mm;@">
                  <c:v>44469</c:v>
                </c:pt>
                <c:pt idx="9" c:formatCode="yyyy/mm;@">
                  <c:v>44500</c:v>
                </c:pt>
                <c:pt idx="10" c:formatCode="yyyy/mm;@">
                  <c:v>44530</c:v>
                </c:pt>
                <c:pt idx="11" c:formatCode="yyyy/mm;@">
                  <c:v>44561</c:v>
                </c:pt>
                <c:pt idx="12" c:formatCode="yyyy/mm;@">
                  <c:v>44562</c:v>
                </c:pt>
                <c:pt idx="13" c:formatCode="yyyy/mm;@">
                  <c:v>44593</c:v>
                </c:pt>
                <c:pt idx="14" c:formatCode="yyyy/mm;@">
                  <c:v>44621</c:v>
                </c:pt>
                <c:pt idx="15" c:formatCode="yyyy/mm;@">
                  <c:v>44652</c:v>
                </c:pt>
                <c:pt idx="16" c:formatCode="yyyy/mm;@">
                  <c:v>44682</c:v>
                </c:pt>
                <c:pt idx="17" c:formatCode="yyyy/mm;@">
                  <c:v>44713</c:v>
                </c:pt>
                <c:pt idx="18" c:formatCode="yyyy/mm;@">
                  <c:v>44743</c:v>
                </c:pt>
                <c:pt idx="19" c:formatCode="yyyy/mm;@">
                  <c:v>44774</c:v>
                </c:pt>
                <c:pt idx="20" c:formatCode="yyyy/mm;@">
                  <c:v>44805</c:v>
                </c:pt>
                <c:pt idx="21" c:formatCode="yyyy/mm;@">
                  <c:v>44835</c:v>
                </c:pt>
                <c:pt idx="22" c:formatCode="yyyy/mm;@">
                  <c:v>44866</c:v>
                </c:pt>
                <c:pt idx="23" c:formatCode="yyyy/mm;@">
                  <c:v>44896</c:v>
                </c:pt>
                <c:pt idx="24" c:formatCode="yyyy/mm;@">
                  <c:v>44927</c:v>
                </c:pt>
                <c:pt idx="25" c:formatCode="yyyy/mm;@">
                  <c:v>44958</c:v>
                </c:pt>
                <c:pt idx="26" c:formatCode="yyyy/mm;@">
                  <c:v>44986</c:v>
                </c:pt>
                <c:pt idx="27" c:formatCode="yyyy/mm;@">
                  <c:v>45017</c:v>
                </c:pt>
                <c:pt idx="28" c:formatCode="yyyy/mm;@">
                  <c:v>45047</c:v>
                </c:pt>
                <c:pt idx="29" c:formatCode="yyyy/mm;@">
                  <c:v>45078</c:v>
                </c:pt>
                <c:pt idx="30" c:formatCode="yyyy/mm;@">
                  <c:v>45108</c:v>
                </c:pt>
                <c:pt idx="31" c:formatCode="yyyy/mm;@">
                  <c:v>45139</c:v>
                </c:pt>
                <c:pt idx="32" c:formatCode="yyyy/mm;@">
                  <c:v>45170</c:v>
                </c:pt>
                <c:pt idx="33" c:formatCode="yyyy/mm;@">
                  <c:v>45200</c:v>
                </c:pt>
                <c:pt idx="34" c:formatCode="yyyy/mm;@">
                  <c:v>45231</c:v>
                </c:pt>
                <c:pt idx="35" c:formatCode="yyyy/mm;@">
                  <c:v>45261</c:v>
                </c:pt>
                <c:pt idx="36" c:formatCode="yyyy/mm;@">
                  <c:v>45292</c:v>
                </c:pt>
                <c:pt idx="37" c:formatCode="yyyy/mm;@">
                  <c:v>45323</c:v>
                </c:pt>
                <c:pt idx="38" c:formatCode="yyyy/mm;@">
                  <c:v>45352</c:v>
                </c:pt>
                <c:pt idx="39" c:formatCode="yyyy/mm;@">
                  <c:v>45383</c:v>
                </c:pt>
                <c:pt idx="40" c:formatCode="yyyy/mm;@">
                  <c:v>45414</c:v>
                </c:pt>
                <c:pt idx="41" c:formatCode="yyyy/mm;@">
                  <c:v>45444</c:v>
                </c:pt>
                <c:pt idx="42" c:formatCode="yyyy/mm;@">
                  <c:v>45474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'新能源汽车销量汇总-中汽协乘联会'!$D$57:$D$123</c15:sqref>
                  </c15:fullRef>
                </c:ext>
              </c:extLst>
              <c:f>'新能源汽车销量汇总-中汽协乘联会'!$D$81:$D$123</c:f>
              <c:numCache>
                <c:formatCode>0.00%</c:formatCode>
                <c:ptCount val="43"/>
                <c:pt idx="0">
                  <c:v>0.0715796942114952</c:v>
                </c:pt>
                <c:pt idx="1">
                  <c:v>0.0753598761621824</c:v>
                </c:pt>
                <c:pt idx="2">
                  <c:v>0.0894016726511676</c:v>
                </c:pt>
                <c:pt idx="3">
                  <c:v>0.0915741773662932</c:v>
                </c:pt>
                <c:pt idx="4">
                  <c:v>0.10216847039626</c:v>
                </c:pt>
                <c:pt idx="5">
                  <c:v>0.126902127663797</c:v>
                </c:pt>
                <c:pt idx="6">
                  <c:v>0.145193850446728</c:v>
                </c:pt>
                <c:pt idx="7">
                  <c:v>0.178433780417502</c:v>
                </c:pt>
                <c:pt idx="8">
                  <c:v>0.172935113412565</c:v>
                </c:pt>
                <c:pt idx="9">
                  <c:v>0.164359497445346</c:v>
                </c:pt>
                <c:pt idx="10">
                  <c:v>0.17840244512294</c:v>
                </c:pt>
                <c:pt idx="11">
                  <c:v>0.190579550439029</c:v>
                </c:pt>
                <c:pt idx="12">
                  <c:v>0.170488709325594</c:v>
                </c:pt>
                <c:pt idx="13">
                  <c:v>0.192097618199285</c:v>
                </c:pt>
                <c:pt idx="14">
                  <c:v>0.21679412617865</c:v>
                </c:pt>
                <c:pt idx="15">
                  <c:v>0.253084292274641</c:v>
                </c:pt>
                <c:pt idx="16">
                  <c:v>0.240161119241665</c:v>
                </c:pt>
                <c:pt idx="17">
                  <c:v>0.238356978978881</c:v>
                </c:pt>
                <c:pt idx="18">
                  <c:v>0.24498875646782</c:v>
                </c:pt>
                <c:pt idx="19">
                  <c:v>0.279518275505863</c:v>
                </c:pt>
                <c:pt idx="20">
                  <c:v>0.271050156589697</c:v>
                </c:pt>
                <c:pt idx="21">
                  <c:v>0.284906712745685</c:v>
                </c:pt>
                <c:pt idx="22">
                  <c:v>0.337791771436525</c:v>
                </c:pt>
                <c:pt idx="23">
                  <c:v>0.318374145817066</c:v>
                </c:pt>
                <c:pt idx="24">
                  <c:v>0.247333783716584</c:v>
                </c:pt>
                <c:pt idx="25">
                  <c:v>0.265612879034376</c:v>
                </c:pt>
                <c:pt idx="26">
                  <c:v>0.266295802172964</c:v>
                </c:pt>
                <c:pt idx="27">
                  <c:v>0.294835697714925</c:v>
                </c:pt>
                <c:pt idx="28">
                  <c:v>0.301007556675063</c:v>
                </c:pt>
                <c:pt idx="29">
                  <c:v>0.307398932112891</c:v>
                </c:pt>
                <c:pt idx="30">
                  <c:v>0.326770004189359</c:v>
                </c:pt>
                <c:pt idx="31">
                  <c:v>0.327652982184353</c:v>
                </c:pt>
                <c:pt idx="32">
                  <c:v>0.316083916083916</c:v>
                </c:pt>
                <c:pt idx="33">
                  <c:v>0.335085874518051</c:v>
                </c:pt>
                <c:pt idx="34">
                  <c:v>0.345454545454545</c:v>
                </c:pt>
                <c:pt idx="35">
                  <c:v>0.377376425855513</c:v>
                </c:pt>
                <c:pt idx="36">
                  <c:v>0.298892988929889</c:v>
                </c:pt>
                <c:pt idx="37">
                  <c:v>0.301136363636364</c:v>
                </c:pt>
                <c:pt idx="38">
                  <c:v>0.327765404602821</c:v>
                </c:pt>
                <c:pt idx="39">
                  <c:v>0.360322170411191</c:v>
                </c:pt>
                <c:pt idx="40">
                  <c:v>0.395117914770376</c:v>
                </c:pt>
                <c:pt idx="41">
                  <c:v>0.411050156739812</c:v>
                </c:pt>
                <c:pt idx="42">
                  <c:v>0.438107869142352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98684592"/>
        <c:axId val="995343120"/>
      </c:lineChart>
      <c:dateAx>
        <c:axId val="10069010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Arial" panose="020B0604020202020204" pitchFamily="7" charset="0"/>
                  </a:defRPr>
                </a:pPr>
                <a:r>
                  <a:rPr lang="zh-CN" altLang="en-US"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万辆</a:t>
                </a:r>
                <a:endParaRPr lang="zh-CN" altLang="en-US">
                  <a:latin typeface="微软雅黑" panose="020B0503020204020204" pitchFamily="34" charset="-122"/>
                  <a:ea typeface="微软雅黑" panose="020B0503020204020204" pitchFamily="34" charset="-122"/>
                </a:endParaRPr>
              </a:p>
            </c:rich>
          </c:tx>
          <c:layout>
            <c:manualLayout>
              <c:xMode val="edge"/>
              <c:yMode val="edge"/>
              <c:x val="0.00174680555555556"/>
              <c:y val="0.0146180555555556"/>
            </c:manualLayout>
          </c:layout>
          <c:overlay val="0"/>
        </c:title>
        <c:numFmt formatCode="yyyy/mm;@" sourceLinked="1"/>
        <c:majorTickMark val="out"/>
        <c:minorTickMark val="none"/>
        <c:tickLblPos val="nextTo"/>
        <c:spPr>
          <a:ln w="9525" cap="flat" cmpd="sng" algn="ctr">
            <a:solidFill>
              <a:srgbClr val="D7D7D7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"/>
        <c:crosses val="autoZero"/>
        <c:auto val="1"/>
        <c:lblOffset val="100"/>
        <c:baseTimeUnit val="months"/>
        <c:majorUnit val="3"/>
        <c:majorTimeUnit val="months"/>
        <c:minorUnit val="1"/>
        <c:minorTimeUnit val="days"/>
      </c:dateAx>
      <c:valAx>
        <c:axId val="1"/>
        <c:scaling>
          <c:orientation val="minMax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ln w="9525" cap="flat" cmpd="sng" algn="ctr">
            <a:solidFill>
              <a:srgbClr val="D7D7D7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006901024"/>
        <c:crosses val="autoZero"/>
        <c:crossBetween val="between"/>
      </c:valAx>
      <c:dateAx>
        <c:axId val="998684592"/>
        <c:scaling>
          <c:orientation val="minMax"/>
        </c:scaling>
        <c:delete val="1"/>
        <c:axPos val="b"/>
        <c:numFmt formatCode="yyyy/mm;@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995343120"/>
        <c:crosses val="autoZero"/>
        <c:auto val="1"/>
        <c:lblOffset val="100"/>
        <c:baseTimeUnit val="days"/>
      </c:dateAx>
      <c:valAx>
        <c:axId val="99534312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998684592"/>
        <c:crosses val="max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t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308146-a467-4804-b538-fdf14cd46bbe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831167741643459"/>
          <c:y val="0.0821833273876089"/>
          <c:w val="0.910062992125984"/>
          <c:h val="0.708355934674832"/>
        </c:manualLayout>
      </c:layout>
      <c:lineChart>
        <c:grouping val="standard"/>
        <c:varyColors val="0"/>
        <c:ser>
          <c:idx val="0"/>
          <c:order val="0"/>
          <c:tx>
            <c:strRef>
              <c:f>'新能源汽车销量汇总-中汽协乘联会'!$B$56</c:f>
              <c:strCache>
                <c:ptCount val="1"/>
                <c:pt idx="0">
                  <c:v>汽车销量（万辆）</c:v>
                </c:pt>
              </c:strCache>
            </c:strRef>
          </c:tx>
          <c:spPr>
            <a:ln w="19050" cap="rnd" cmpd="sng" algn="ctr">
              <a:solidFill>
                <a:srgbClr val="5E76AA"/>
              </a:solidFill>
              <a:prstDash val="solid"/>
              <a:round/>
            </a:ln>
          </c:spPr>
          <c:marker>
            <c:symbol val="diamond"/>
            <c:size val="3"/>
            <c:spPr>
              <a:solidFill>
                <a:srgbClr val="5E76AA"/>
              </a:solidFill>
              <a:ln w="6350" cap="flat" cmpd="sng" algn="ctr">
                <a:solidFill>
                  <a:srgbClr val="5E76AA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'新能源汽车销量汇总-中汽协乘联会'!$A$57:$A$131</c:f>
              <c:numCache>
                <c:formatCode>yyyy/mm;@</c:formatCode>
                <c:ptCount val="75"/>
                <c:pt idx="0" c:formatCode="yyyy/mm;@">
                  <c:v>43496</c:v>
                </c:pt>
                <c:pt idx="1" c:formatCode="yyyy/mm;@">
                  <c:v>43524</c:v>
                </c:pt>
                <c:pt idx="2" c:formatCode="yyyy/mm;@">
                  <c:v>43555</c:v>
                </c:pt>
                <c:pt idx="3" c:formatCode="yyyy/mm;@">
                  <c:v>43585</c:v>
                </c:pt>
                <c:pt idx="4" c:formatCode="yyyy/mm;@">
                  <c:v>43616</c:v>
                </c:pt>
                <c:pt idx="5" c:formatCode="yyyy/mm;@">
                  <c:v>43646</c:v>
                </c:pt>
                <c:pt idx="6" c:formatCode="yyyy/mm;@">
                  <c:v>43677</c:v>
                </c:pt>
                <c:pt idx="7" c:formatCode="yyyy/mm;@">
                  <c:v>43708</c:v>
                </c:pt>
                <c:pt idx="8" c:formatCode="yyyy/mm;@">
                  <c:v>43738</c:v>
                </c:pt>
                <c:pt idx="9" c:formatCode="yyyy/mm;@">
                  <c:v>43769</c:v>
                </c:pt>
                <c:pt idx="10" c:formatCode="yyyy/mm;@">
                  <c:v>43799</c:v>
                </c:pt>
                <c:pt idx="11" c:formatCode="yyyy/mm;@">
                  <c:v>43830</c:v>
                </c:pt>
                <c:pt idx="12" c:formatCode="yyyy/mm;@">
                  <c:v>43861</c:v>
                </c:pt>
                <c:pt idx="13" c:formatCode="yyyy/mm;@">
                  <c:v>43890</c:v>
                </c:pt>
                <c:pt idx="14" c:formatCode="yyyy/mm;@">
                  <c:v>43921</c:v>
                </c:pt>
                <c:pt idx="15" c:formatCode="yyyy/mm;@">
                  <c:v>43951</c:v>
                </c:pt>
                <c:pt idx="16" c:formatCode="yyyy/mm;@">
                  <c:v>43982</c:v>
                </c:pt>
                <c:pt idx="17" c:formatCode="yyyy/mm;@">
                  <c:v>44012</c:v>
                </c:pt>
                <c:pt idx="18" c:formatCode="yyyy/mm;@">
                  <c:v>44043</c:v>
                </c:pt>
                <c:pt idx="19" c:formatCode="yyyy/mm;@">
                  <c:v>44074</c:v>
                </c:pt>
                <c:pt idx="20" c:formatCode="yyyy/mm;@">
                  <c:v>44104</c:v>
                </c:pt>
                <c:pt idx="21" c:formatCode="yyyy/mm;@">
                  <c:v>44135</c:v>
                </c:pt>
                <c:pt idx="22" c:formatCode="yyyy/mm;@">
                  <c:v>44165</c:v>
                </c:pt>
                <c:pt idx="23" c:formatCode="yyyy/mm;@">
                  <c:v>44196</c:v>
                </c:pt>
                <c:pt idx="24" c:formatCode="yyyy/mm;@">
                  <c:v>44227</c:v>
                </c:pt>
                <c:pt idx="25" c:formatCode="yyyy/mm;@">
                  <c:v>44255</c:v>
                </c:pt>
                <c:pt idx="26" c:formatCode="yyyy/mm;@">
                  <c:v>44286</c:v>
                </c:pt>
                <c:pt idx="27" c:formatCode="yyyy/mm;@">
                  <c:v>44316</c:v>
                </c:pt>
                <c:pt idx="28" c:formatCode="yyyy/mm;@">
                  <c:v>44347</c:v>
                </c:pt>
                <c:pt idx="29" c:formatCode="yyyy/mm;@">
                  <c:v>44377</c:v>
                </c:pt>
                <c:pt idx="30" c:formatCode="yyyy/mm;@">
                  <c:v>44408</c:v>
                </c:pt>
                <c:pt idx="31" c:formatCode="yyyy/mm;@">
                  <c:v>44439</c:v>
                </c:pt>
                <c:pt idx="32" c:formatCode="yyyy/mm;@">
                  <c:v>44469</c:v>
                </c:pt>
                <c:pt idx="33" c:formatCode="yyyy/mm;@">
                  <c:v>44500</c:v>
                </c:pt>
                <c:pt idx="34" c:formatCode="yyyy/mm;@">
                  <c:v>44530</c:v>
                </c:pt>
                <c:pt idx="35" c:formatCode="yyyy/mm;@">
                  <c:v>44561</c:v>
                </c:pt>
                <c:pt idx="36" c:formatCode="yyyy/mm;@">
                  <c:v>44562</c:v>
                </c:pt>
                <c:pt idx="37" c:formatCode="yyyy/mm;@">
                  <c:v>44593</c:v>
                </c:pt>
                <c:pt idx="38" c:formatCode="yyyy/mm;@">
                  <c:v>44621</c:v>
                </c:pt>
                <c:pt idx="39" c:formatCode="yyyy/mm;@">
                  <c:v>44652</c:v>
                </c:pt>
                <c:pt idx="40" c:formatCode="yyyy/mm;@">
                  <c:v>44682</c:v>
                </c:pt>
                <c:pt idx="41" c:formatCode="yyyy/mm;@">
                  <c:v>44713</c:v>
                </c:pt>
                <c:pt idx="42" c:formatCode="yyyy/mm;@">
                  <c:v>44743</c:v>
                </c:pt>
                <c:pt idx="43" c:formatCode="yyyy/mm;@">
                  <c:v>44774</c:v>
                </c:pt>
                <c:pt idx="44" c:formatCode="yyyy/mm;@">
                  <c:v>44805</c:v>
                </c:pt>
                <c:pt idx="45" c:formatCode="yyyy/mm;@">
                  <c:v>44835</c:v>
                </c:pt>
                <c:pt idx="46" c:formatCode="yyyy/mm;@">
                  <c:v>44866</c:v>
                </c:pt>
                <c:pt idx="47" c:formatCode="yyyy/mm;@">
                  <c:v>44896</c:v>
                </c:pt>
                <c:pt idx="48" c:formatCode="yyyy/mm;@">
                  <c:v>44927</c:v>
                </c:pt>
                <c:pt idx="49" c:formatCode="yyyy/mm;@">
                  <c:v>44958</c:v>
                </c:pt>
                <c:pt idx="50" c:formatCode="yyyy/mm;@">
                  <c:v>44986</c:v>
                </c:pt>
                <c:pt idx="51" c:formatCode="yyyy/mm;@">
                  <c:v>45017</c:v>
                </c:pt>
                <c:pt idx="52" c:formatCode="yyyy/mm;@">
                  <c:v>45047</c:v>
                </c:pt>
                <c:pt idx="53" c:formatCode="yyyy/mm;@">
                  <c:v>45078</c:v>
                </c:pt>
                <c:pt idx="54" c:formatCode="yyyy/mm;@">
                  <c:v>45108</c:v>
                </c:pt>
                <c:pt idx="55" c:formatCode="yyyy/mm;@">
                  <c:v>45139</c:v>
                </c:pt>
                <c:pt idx="56" c:formatCode="yyyy/mm;@">
                  <c:v>45170</c:v>
                </c:pt>
                <c:pt idx="57" c:formatCode="yyyy/mm;@">
                  <c:v>45200</c:v>
                </c:pt>
                <c:pt idx="58" c:formatCode="yyyy/mm;@">
                  <c:v>45231</c:v>
                </c:pt>
                <c:pt idx="59" c:formatCode="yyyy/mm;@">
                  <c:v>45261</c:v>
                </c:pt>
                <c:pt idx="60" c:formatCode="yyyy/mm;@">
                  <c:v>45292</c:v>
                </c:pt>
                <c:pt idx="61" c:formatCode="yyyy/mm;@">
                  <c:v>45323</c:v>
                </c:pt>
                <c:pt idx="62" c:formatCode="yyyy/mm;@">
                  <c:v>45352</c:v>
                </c:pt>
                <c:pt idx="63" c:formatCode="yyyy/mm;@">
                  <c:v>45383</c:v>
                </c:pt>
                <c:pt idx="64" c:formatCode="yyyy/mm;@">
                  <c:v>45414</c:v>
                </c:pt>
                <c:pt idx="65" c:formatCode="yyyy/mm;@">
                  <c:v>45444</c:v>
                </c:pt>
                <c:pt idx="66" c:formatCode="yyyy/mm;@">
                  <c:v>45474</c:v>
                </c:pt>
                <c:pt idx="67" c:formatCode="yyyy/mm;@">
                  <c:v>45505</c:v>
                </c:pt>
                <c:pt idx="68" c:formatCode="yyyy/mm;@">
                  <c:v>45536</c:v>
                </c:pt>
                <c:pt idx="69" c:formatCode="yyyy/mm;@">
                  <c:v>45566</c:v>
                </c:pt>
                <c:pt idx="70" c:formatCode="yyyy/mm;@">
                  <c:v>45597</c:v>
                </c:pt>
                <c:pt idx="71" c:formatCode="yyyy/mm;@">
                  <c:v>45627</c:v>
                </c:pt>
                <c:pt idx="72" c:formatCode="yyyy/mm;@">
                  <c:v>45658</c:v>
                </c:pt>
                <c:pt idx="73" c:formatCode="yyyy/mm;@">
                  <c:v>45689</c:v>
                </c:pt>
                <c:pt idx="74" c:formatCode="yyyy/mm;@">
                  <c:v>45717</c:v>
                </c:pt>
              </c:numCache>
            </c:numRef>
          </c:cat>
          <c:val>
            <c:numRef>
              <c:f>'新能源汽车销量汇总-中汽协乘联会'!$B$57:$B$131</c:f>
              <c:numCache>
                <c:formatCode>#,##0.00_ </c:formatCode>
                <c:ptCount val="75"/>
                <c:pt idx="0">
                  <c:v>236.7278</c:v>
                </c:pt>
                <c:pt idx="1" c:formatCode="0.00_ ">
                  <c:v>148.1602</c:v>
                </c:pt>
                <c:pt idx="2" c:formatCode="0.00_ ">
                  <c:v>252.0013</c:v>
                </c:pt>
                <c:pt idx="3" c:formatCode="0.00_ ">
                  <c:v>198.0497</c:v>
                </c:pt>
                <c:pt idx="4" c:formatCode="0.00_ ">
                  <c:v>191.2565</c:v>
                </c:pt>
                <c:pt idx="5" c:formatCode="0.00_ ">
                  <c:v>205.6446</c:v>
                </c:pt>
                <c:pt idx="6" c:formatCode="0.00_ ">
                  <c:v>180.8472</c:v>
                </c:pt>
                <c:pt idx="7" c:formatCode="0.00_ ">
                  <c:v>195.7572</c:v>
                </c:pt>
                <c:pt idx="8" c:formatCode="0.00_ ">
                  <c:v>227.0682</c:v>
                </c:pt>
                <c:pt idx="9" c:formatCode="0.00_ ">
                  <c:v>228.417</c:v>
                </c:pt>
                <c:pt idx="10" c:formatCode="0.00_ ">
                  <c:v>245.6879</c:v>
                </c:pt>
                <c:pt idx="11" c:formatCode="0.00_ ">
                  <c:v>265.8306</c:v>
                </c:pt>
                <c:pt idx="12" c:formatCode="0.00_ ">
                  <c:v>192.7201</c:v>
                </c:pt>
                <c:pt idx="13" c:formatCode="0.00_ ">
                  <c:v>30.9942</c:v>
                </c:pt>
                <c:pt idx="14" c:formatCode="0.00_ ">
                  <c:v>143.0217</c:v>
                </c:pt>
                <c:pt idx="15" c:formatCode="0.00_ ">
                  <c:v>206.9962</c:v>
                </c:pt>
                <c:pt idx="16" c:formatCode="0.00_ ">
                  <c:v>219.358</c:v>
                </c:pt>
                <c:pt idx="17" c:formatCode="0.00_ ">
                  <c:v>229.9696</c:v>
                </c:pt>
                <c:pt idx="18" c:formatCode="0.00_ ">
                  <c:v>211.1803</c:v>
                </c:pt>
                <c:pt idx="19" c:formatCode="0.00_ ">
                  <c:v>218.5812</c:v>
                </c:pt>
                <c:pt idx="20" c:formatCode="0.00_ ">
                  <c:v>256.5201</c:v>
                </c:pt>
                <c:pt idx="21" c:formatCode="0.00_ ">
                  <c:v>257.3228</c:v>
                </c:pt>
                <c:pt idx="22" c:formatCode="0.00_ ">
                  <c:v>276.9666</c:v>
                </c:pt>
                <c:pt idx="23" c:formatCode="0.00_ ">
                  <c:v>283.1245</c:v>
                </c:pt>
                <c:pt idx="24" c:formatCode="0.00_ ">
                  <c:v>250.3168</c:v>
                </c:pt>
                <c:pt idx="25" c:formatCode="0.00_ ">
                  <c:v>145.4806</c:v>
                </c:pt>
                <c:pt idx="26" c:formatCode="0.00_ ">
                  <c:v>252.5691</c:v>
                </c:pt>
                <c:pt idx="27" c:formatCode="0.00_ ">
                  <c:v>225.1792</c:v>
                </c:pt>
                <c:pt idx="28" c:formatCode="0.00_ ">
                  <c:v>212.7721</c:v>
                </c:pt>
                <c:pt idx="29" c:formatCode="0.00_ ">
                  <c:v>201.5309</c:v>
                </c:pt>
                <c:pt idx="30" c:formatCode="0.00_ ">
                  <c:v>186.355</c:v>
                </c:pt>
                <c:pt idx="31" c:formatCode="0.00_ ">
                  <c:v>179.8841</c:v>
                </c:pt>
                <c:pt idx="32" c:formatCode="0.00_ ">
                  <c:v>206.7099</c:v>
                </c:pt>
                <c:pt idx="33" c:formatCode="0.00_ ">
                  <c:v>233.2801</c:v>
                </c:pt>
                <c:pt idx="34" c:formatCode="0.00_ ">
                  <c:v>252.1591</c:v>
                </c:pt>
                <c:pt idx="35" c:formatCode="0.00_ ">
                  <c:v>278.5918</c:v>
                </c:pt>
                <c:pt idx="36" c:formatCode="0.00_ ">
                  <c:v>253.0584</c:v>
                </c:pt>
                <c:pt idx="37" c:formatCode="0.00_ ">
                  <c:v>173.7299</c:v>
                </c:pt>
                <c:pt idx="38" c:formatCode="0.00_ ">
                  <c:v>223.3912</c:v>
                </c:pt>
                <c:pt idx="39" c:formatCode="0.00_ ">
                  <c:v>118.0903</c:v>
                </c:pt>
                <c:pt idx="40" c:formatCode="0.00_ ">
                  <c:v>186.1975</c:v>
                </c:pt>
                <c:pt idx="41" c:formatCode="0.00_ ">
                  <c:v>250.2293</c:v>
                </c:pt>
                <c:pt idx="42" c:formatCode="0.00_ ">
                  <c:v>242.0058</c:v>
                </c:pt>
                <c:pt idx="43" c:formatCode="0.00_ ">
                  <c:v>238.3354</c:v>
                </c:pt>
                <c:pt idx="44" c:formatCode="0.00_ ">
                  <c:v>261.0325</c:v>
                </c:pt>
                <c:pt idx="45" c:formatCode="0.00_ ">
                  <c:v>250.4683</c:v>
                </c:pt>
                <c:pt idx="46" c:formatCode="0.00_ ">
                  <c:v>232.7721</c:v>
                </c:pt>
                <c:pt idx="47" c:formatCode="0.00_ ">
                  <c:v>255.6244</c:v>
                </c:pt>
                <c:pt idx="48" c:formatCode="0.00_ ">
                  <c:v>164.8966</c:v>
                </c:pt>
                <c:pt idx="49" c:formatCode="0.00_ ">
                  <c:v>197.6173</c:v>
                </c:pt>
                <c:pt idx="50" c:formatCode="0.00_ ">
                  <c:v>245.103</c:v>
                </c:pt>
                <c:pt idx="51" c:formatCode="0.00_ ">
                  <c:v>215.8704</c:v>
                </c:pt>
                <c:pt idx="52" c:formatCode="0.00_ ">
                  <c:v>238.2</c:v>
                </c:pt>
                <c:pt idx="53" c:formatCode="0.00_ ">
                  <c:v>262.2</c:v>
                </c:pt>
                <c:pt idx="54" c:formatCode="0.00_ ">
                  <c:v>238.7</c:v>
                </c:pt>
                <c:pt idx="55" c:formatCode="0.00_ ">
                  <c:v>258.2</c:v>
                </c:pt>
                <c:pt idx="56" c:formatCode="0.00_ ">
                  <c:v>286</c:v>
                </c:pt>
                <c:pt idx="57" c:formatCode="0.00_ ">
                  <c:v>285.3</c:v>
                </c:pt>
                <c:pt idx="58" c:formatCode="0.00_ ">
                  <c:v>297</c:v>
                </c:pt>
                <c:pt idx="59" c:formatCode="0.00_ ">
                  <c:v>315.6</c:v>
                </c:pt>
                <c:pt idx="60" c:formatCode="0.00_ ">
                  <c:v>243.9</c:v>
                </c:pt>
                <c:pt idx="61" c:formatCode="0.00_ ">
                  <c:v>158.4</c:v>
                </c:pt>
                <c:pt idx="62" c:formatCode="0.00_ ">
                  <c:v>269.4</c:v>
                </c:pt>
                <c:pt idx="63" c:formatCode="0.00_ ">
                  <c:v>235.9</c:v>
                </c:pt>
                <c:pt idx="64" c:formatCode="0.00_ ">
                  <c:v>241.7</c:v>
                </c:pt>
                <c:pt idx="65" c:formatCode="0.00_ ">
                  <c:v>255.2</c:v>
                </c:pt>
                <c:pt idx="66" c:formatCode="0.00_ ">
                  <c:v>226.2</c:v>
                </c:pt>
                <c:pt idx="67" c:formatCode="0.00_ ">
                  <c:v>245.3</c:v>
                </c:pt>
                <c:pt idx="68" c:formatCode="0.00_ ">
                  <c:v>280.9</c:v>
                </c:pt>
                <c:pt idx="69" c:formatCode="0.00_ ">
                  <c:v>305.3</c:v>
                </c:pt>
                <c:pt idx="70" c:formatCode="0.00_ ">
                  <c:v>331.6</c:v>
                </c:pt>
                <c:pt idx="71" c:formatCode="0.00_ ">
                  <c:v>348.9</c:v>
                </c:pt>
                <c:pt idx="72" c:formatCode="0.00_ ">
                  <c:v>242.3</c:v>
                </c:pt>
                <c:pt idx="73" c:formatCode="0.00_ ">
                  <c:v>212.9</c:v>
                </c:pt>
                <c:pt idx="74" c:formatCode="General">
                  <c:v>291.5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6901024"/>
        <c:axId val="1"/>
      </c:lineChart>
      <c:dateAx>
        <c:axId val="10069010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 altLang="en-US"/>
                  <a:t>万辆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00861169079347155"/>
              <c:y val="0.00138881560735295"/>
            </c:manualLayout>
          </c:layout>
          <c:overlay val="0"/>
        </c:title>
        <c:numFmt formatCode="yyyy/mm;@" sourceLinked="1"/>
        <c:majorTickMark val="out"/>
        <c:minorTickMark val="none"/>
        <c:tickLblPos val="nextTo"/>
        <c:spPr>
          <a:ln w="9525" cap="flat" cmpd="sng" algn="ctr">
            <a:solidFill>
              <a:srgbClr val="D7D7D7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"/>
        <c:crosses val="autoZero"/>
        <c:auto val="1"/>
        <c:lblOffset val="100"/>
        <c:baseTimeUnit val="months"/>
        <c:majorUnit val="3"/>
        <c:majorTimeUnit val="months"/>
        <c:minorUnit val="1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D7D7D7"/>
              </a:solidFill>
              <a:prstDash val="dash"/>
              <a:round/>
            </a:ln>
          </c:spPr>
        </c:majorGridlines>
        <c:numFmt formatCode="#,##0_);[Red]\(#,##0\)" sourceLinked="0"/>
        <c:majorTickMark val="out"/>
        <c:minorTickMark val="none"/>
        <c:tickLblPos val="nextTo"/>
        <c:spPr>
          <a:ln w="9525" cap="flat" cmpd="sng" algn="ctr">
            <a:solidFill>
              <a:srgbClr val="D7D7D7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00690102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0752938475665749"/>
          <c:y val="0.0086928741607105"/>
          <c:w val="0.866539849830183"/>
          <c:h val="0.051974225687676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9dcca3-d789-4bd6-b532-515208b09ea2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826391076115486"/>
          <c:y val="0.119185622630505"/>
          <c:w val="0.841666229221347"/>
          <c:h val="0.6898374161563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'新能源汽车销量汇总-中汽协乘联会'!$S$56</c:f>
              <c:strCache>
                <c:ptCount val="1"/>
                <c:pt idx="0">
                  <c:v>新能源乘用车销量（万辆）</c:v>
                </c:pt>
              </c:strCache>
            </c:strRef>
          </c:tx>
          <c:spPr>
            <a:solidFill>
              <a:srgbClr val="5E76AA"/>
            </a:solidFill>
          </c:spPr>
          <c:invertIfNegative val="0"/>
          <c:dLbls>
            <c:delete val="1"/>
          </c:dLbls>
          <c:cat>
            <c:numRef>
              <c:f>'新能源汽车销量汇总-中汽协乘联会'!$Q$57:$Q$124</c:f>
              <c:numCache>
                <c:formatCode>yyyy/mm;@</c:formatCode>
                <c:ptCount val="68"/>
                <c:pt idx="0" c:formatCode="yyyy/mm;@">
                  <c:v>43496</c:v>
                </c:pt>
                <c:pt idx="1" c:formatCode="yyyy/mm;@">
                  <c:v>43524</c:v>
                </c:pt>
                <c:pt idx="2" c:formatCode="yyyy/mm;@">
                  <c:v>43555</c:v>
                </c:pt>
                <c:pt idx="3" c:formatCode="yyyy/mm;@">
                  <c:v>43585</c:v>
                </c:pt>
                <c:pt idx="4" c:formatCode="yyyy/mm;@">
                  <c:v>43616</c:v>
                </c:pt>
                <c:pt idx="5" c:formatCode="yyyy/mm;@">
                  <c:v>43646</c:v>
                </c:pt>
                <c:pt idx="6" c:formatCode="yyyy/mm;@">
                  <c:v>43677</c:v>
                </c:pt>
                <c:pt idx="7" c:formatCode="yyyy/mm;@">
                  <c:v>43708</c:v>
                </c:pt>
                <c:pt idx="8" c:formatCode="yyyy/mm;@">
                  <c:v>43738</c:v>
                </c:pt>
                <c:pt idx="9" c:formatCode="yyyy/mm;@">
                  <c:v>43769</c:v>
                </c:pt>
                <c:pt idx="10" c:formatCode="yyyy/mm;@">
                  <c:v>43799</c:v>
                </c:pt>
                <c:pt idx="11" c:formatCode="yyyy/mm;@">
                  <c:v>43830</c:v>
                </c:pt>
                <c:pt idx="12" c:formatCode="yyyy/mm;@">
                  <c:v>43861</c:v>
                </c:pt>
                <c:pt idx="13" c:formatCode="yyyy/mm;@">
                  <c:v>43890</c:v>
                </c:pt>
                <c:pt idx="14" c:formatCode="yyyy/mm;@">
                  <c:v>43921</c:v>
                </c:pt>
                <c:pt idx="15" c:formatCode="yyyy/mm;@">
                  <c:v>43951</c:v>
                </c:pt>
                <c:pt idx="16" c:formatCode="yyyy/mm;@">
                  <c:v>43982</c:v>
                </c:pt>
                <c:pt idx="17" c:formatCode="yyyy/mm;@">
                  <c:v>44012</c:v>
                </c:pt>
                <c:pt idx="18" c:formatCode="yyyy/mm;@">
                  <c:v>44043</c:v>
                </c:pt>
                <c:pt idx="19" c:formatCode="yyyy/mm;@">
                  <c:v>44074</c:v>
                </c:pt>
                <c:pt idx="20" c:formatCode="yyyy/mm;@">
                  <c:v>44104</c:v>
                </c:pt>
                <c:pt idx="21" c:formatCode="yyyy/mm;@">
                  <c:v>44135</c:v>
                </c:pt>
                <c:pt idx="22" c:formatCode="yyyy/mm;@">
                  <c:v>44165</c:v>
                </c:pt>
                <c:pt idx="23" c:formatCode="yyyy/mm;@">
                  <c:v>44196</c:v>
                </c:pt>
                <c:pt idx="24" c:formatCode="yyyy/mm;@">
                  <c:v>44227</c:v>
                </c:pt>
                <c:pt idx="25" c:formatCode="yyyy/mm;@">
                  <c:v>44255</c:v>
                </c:pt>
                <c:pt idx="26" c:formatCode="yyyy/mm;@">
                  <c:v>44286</c:v>
                </c:pt>
                <c:pt idx="27" c:formatCode="yyyy/mm;@">
                  <c:v>44316</c:v>
                </c:pt>
                <c:pt idx="28" c:formatCode="yyyy/mm;@">
                  <c:v>44347</c:v>
                </c:pt>
                <c:pt idx="29" c:formatCode="yyyy/mm;@">
                  <c:v>44377</c:v>
                </c:pt>
                <c:pt idx="30" c:formatCode="yyyy/mm;@">
                  <c:v>44408</c:v>
                </c:pt>
                <c:pt idx="31" c:formatCode="yyyy/mm;@">
                  <c:v>44439</c:v>
                </c:pt>
                <c:pt idx="32" c:formatCode="yyyy/mm;@">
                  <c:v>44469</c:v>
                </c:pt>
                <c:pt idx="33" c:formatCode="yyyy/mm;@">
                  <c:v>44500</c:v>
                </c:pt>
                <c:pt idx="34" c:formatCode="yyyy/mm;@">
                  <c:v>44530</c:v>
                </c:pt>
                <c:pt idx="35" c:formatCode="yyyy/mm;@">
                  <c:v>44561</c:v>
                </c:pt>
                <c:pt idx="36" c:formatCode="yyyy/mm;@">
                  <c:v>44562</c:v>
                </c:pt>
                <c:pt idx="37" c:formatCode="yyyy/mm;@">
                  <c:v>44593</c:v>
                </c:pt>
                <c:pt idx="38" c:formatCode="yyyy/mm;@">
                  <c:v>44621</c:v>
                </c:pt>
                <c:pt idx="39" c:formatCode="yyyy/mm;@">
                  <c:v>44652</c:v>
                </c:pt>
                <c:pt idx="40" c:formatCode="yyyy/mm;@">
                  <c:v>44682</c:v>
                </c:pt>
                <c:pt idx="41" c:formatCode="yyyy/mm;@">
                  <c:v>44713</c:v>
                </c:pt>
                <c:pt idx="42" c:formatCode="yyyy/mm;@">
                  <c:v>44743</c:v>
                </c:pt>
                <c:pt idx="43" c:formatCode="yyyy/mm;@">
                  <c:v>44774</c:v>
                </c:pt>
                <c:pt idx="44" c:formatCode="yyyy/mm;@">
                  <c:v>44805</c:v>
                </c:pt>
                <c:pt idx="45" c:formatCode="yyyy/mm;@">
                  <c:v>44835</c:v>
                </c:pt>
                <c:pt idx="46" c:formatCode="yyyy/mm;@">
                  <c:v>44866</c:v>
                </c:pt>
                <c:pt idx="47" c:formatCode="yyyy/mm;@">
                  <c:v>44896</c:v>
                </c:pt>
                <c:pt idx="48" c:formatCode="yyyy/mm;@">
                  <c:v>44927</c:v>
                </c:pt>
                <c:pt idx="49" c:formatCode="yyyy/mm;@">
                  <c:v>44958</c:v>
                </c:pt>
                <c:pt idx="50" c:formatCode="yyyy/mm;@">
                  <c:v>44986</c:v>
                </c:pt>
                <c:pt idx="51" c:formatCode="yyyy/mm;@">
                  <c:v>45017</c:v>
                </c:pt>
                <c:pt idx="52" c:formatCode="yyyy/mm;@">
                  <c:v>45047</c:v>
                </c:pt>
                <c:pt idx="53" c:formatCode="yyyy/mm;@">
                  <c:v>45078</c:v>
                </c:pt>
                <c:pt idx="54" c:formatCode="yyyy/mm;@">
                  <c:v>45108</c:v>
                </c:pt>
                <c:pt idx="55" c:formatCode="yyyy/mm;@">
                  <c:v>45139</c:v>
                </c:pt>
                <c:pt idx="56" c:formatCode="yyyy/mm;@">
                  <c:v>45170</c:v>
                </c:pt>
                <c:pt idx="57" c:formatCode="yyyy/mm;@">
                  <c:v>45200</c:v>
                </c:pt>
                <c:pt idx="58" c:formatCode="yyyy/mm;@">
                  <c:v>45231</c:v>
                </c:pt>
                <c:pt idx="59" c:formatCode="yyyy/mm;@">
                  <c:v>45261</c:v>
                </c:pt>
                <c:pt idx="60" c:formatCode="yyyy/mm;@">
                  <c:v>45292</c:v>
                </c:pt>
                <c:pt idx="61" c:formatCode="yyyy/mm;@">
                  <c:v>45323</c:v>
                </c:pt>
                <c:pt idx="62" c:formatCode="yyyy/mm;@">
                  <c:v>45352</c:v>
                </c:pt>
                <c:pt idx="63" c:formatCode="yyyy/mm;@">
                  <c:v>45383</c:v>
                </c:pt>
                <c:pt idx="64" c:formatCode="yyyy/mm;@">
                  <c:v>45413</c:v>
                </c:pt>
                <c:pt idx="65" c:formatCode="yyyy/mm;@">
                  <c:v>45444</c:v>
                </c:pt>
                <c:pt idx="66" c:formatCode="yyyy/mm;@">
                  <c:v>45474</c:v>
                </c:pt>
                <c:pt idx="67" c:formatCode="yyyy/mm;@">
                  <c:v>45505</c:v>
                </c:pt>
              </c:numCache>
            </c:numRef>
          </c:cat>
          <c:val>
            <c:numRef>
              <c:f>'新能源汽车销量汇总-中汽协乘联会'!$S$57:$S$124</c:f>
              <c:numCache>
                <c:formatCode>#,##0.00_ </c:formatCode>
                <c:ptCount val="68"/>
                <c:pt idx="0">
                  <c:v>9.588</c:v>
                </c:pt>
                <c:pt idx="1">
                  <c:v>4.6505</c:v>
                </c:pt>
                <c:pt idx="2">
                  <c:v>10.5502</c:v>
                </c:pt>
                <c:pt idx="3">
                  <c:v>8.5536</c:v>
                </c:pt>
                <c:pt idx="4">
                  <c:v>9.3704</c:v>
                </c:pt>
                <c:pt idx="5">
                  <c:v>13.8421</c:v>
                </c:pt>
                <c:pt idx="6">
                  <c:v>6.5457</c:v>
                </c:pt>
                <c:pt idx="7">
                  <c:v>6.4552</c:v>
                </c:pt>
                <c:pt idx="8">
                  <c:v>6.1818</c:v>
                </c:pt>
                <c:pt idx="9">
                  <c:v>6.3028</c:v>
                </c:pt>
                <c:pt idx="10">
                  <c:v>7.1223</c:v>
                </c:pt>
                <c:pt idx="11">
                  <c:v>13.0679</c:v>
                </c:pt>
                <c:pt idx="12">
                  <c:v>4.0827</c:v>
                </c:pt>
                <c:pt idx="13">
                  <c:v>1.4249</c:v>
                </c:pt>
                <c:pt idx="14">
                  <c:v>5.4354</c:v>
                </c:pt>
                <c:pt idx="15">
                  <c:v>5.5752</c:v>
                </c:pt>
                <c:pt idx="16">
                  <c:v>6.6758</c:v>
                </c:pt>
                <c:pt idx="17">
                  <c:v>8.3278</c:v>
                </c:pt>
                <c:pt idx="18">
                  <c:v>8.2568</c:v>
                </c:pt>
                <c:pt idx="19">
                  <c:v>9.3297</c:v>
                </c:pt>
                <c:pt idx="20">
                  <c:v>11.0416</c:v>
                </c:pt>
                <c:pt idx="21">
                  <c:v>13.3145</c:v>
                </c:pt>
                <c:pt idx="22">
                  <c:v>17.0361</c:v>
                </c:pt>
                <c:pt idx="23">
                  <c:v>20.787</c:v>
                </c:pt>
                <c:pt idx="24">
                  <c:v>15.5388</c:v>
                </c:pt>
                <c:pt idx="25">
                  <c:v>9.7059</c:v>
                </c:pt>
                <c:pt idx="26">
                  <c:v>18.5328</c:v>
                </c:pt>
                <c:pt idx="27">
                  <c:v>16.1418</c:v>
                </c:pt>
                <c:pt idx="28">
                  <c:v>18.7316</c:v>
                </c:pt>
                <c:pt idx="29">
                  <c:v>22.9634</c:v>
                </c:pt>
                <c:pt idx="30">
                  <c:v>22.2233</c:v>
                </c:pt>
                <c:pt idx="31">
                  <c:v>24.9588</c:v>
                </c:pt>
                <c:pt idx="32">
                  <c:v>33.3532</c:v>
                </c:pt>
                <c:pt idx="33">
                  <c:v>31.7029</c:v>
                </c:pt>
                <c:pt idx="34">
                  <c:v>37.8487</c:v>
                </c:pt>
                <c:pt idx="35">
                  <c:v>47.4887</c:v>
                </c:pt>
                <c:pt idx="36">
                  <c:v>35.2329</c:v>
                </c:pt>
                <c:pt idx="37">
                  <c:v>27.2624</c:v>
                </c:pt>
                <c:pt idx="38">
                  <c:v>44.4655</c:v>
                </c:pt>
                <c:pt idx="39">
                  <c:v>28.2487</c:v>
                </c:pt>
                <c:pt idx="40">
                  <c:v>35.9501</c:v>
                </c:pt>
                <c:pt idx="41">
                  <c:v>53.1472</c:v>
                </c:pt>
                <c:pt idx="42">
                  <c:v>48.6044</c:v>
                </c:pt>
                <c:pt idx="43">
                  <c:v>52.9565</c:v>
                </c:pt>
                <c:pt idx="44">
                  <c:v>61.0853</c:v>
                </c:pt>
                <c:pt idx="45">
                  <c:v>55.4664</c:v>
                </c:pt>
                <c:pt idx="46">
                  <c:v>59.8103</c:v>
                </c:pt>
                <c:pt idx="47">
                  <c:v>64.006</c:v>
                </c:pt>
                <c:pt idx="48">
                  <c:v>33.2</c:v>
                </c:pt>
                <c:pt idx="49">
                  <c:v>43.9068</c:v>
                </c:pt>
                <c:pt idx="50">
                  <c:v>54.5739</c:v>
                </c:pt>
                <c:pt idx="51">
                  <c:v>52.473</c:v>
                </c:pt>
                <c:pt idx="52">
                  <c:v>57.9938</c:v>
                </c:pt>
                <c:pt idx="53">
                  <c:v>66.5427</c:v>
                </c:pt>
                <c:pt idx="54">
                  <c:v>64.1005</c:v>
                </c:pt>
                <c:pt idx="55">
                  <c:v>71.6335</c:v>
                </c:pt>
                <c:pt idx="56">
                  <c:v>74.6</c:v>
                </c:pt>
                <c:pt idx="57">
                  <c:v>76.7</c:v>
                </c:pt>
                <c:pt idx="58">
                  <c:v>84.1</c:v>
                </c:pt>
                <c:pt idx="59">
                  <c:v>94.7</c:v>
                </c:pt>
                <c:pt idx="60">
                  <c:v>66.8</c:v>
                </c:pt>
                <c:pt idx="61">
                  <c:v>38.8</c:v>
                </c:pt>
                <c:pt idx="62">
                  <c:v>70.9</c:v>
                </c:pt>
                <c:pt idx="63">
                  <c:v>67.4</c:v>
                </c:pt>
                <c:pt idx="64">
                  <c:v>80.4</c:v>
                </c:pt>
                <c:pt idx="65">
                  <c:v>85.6</c:v>
                </c:pt>
                <c:pt idx="66">
                  <c:v>87.8</c:v>
                </c:pt>
                <c:pt idx="67">
                  <c:v>102.7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06901024"/>
        <c:axId val="1"/>
      </c:barChart>
      <c:lineChart>
        <c:grouping val="standard"/>
        <c:varyColors val="0"/>
        <c:ser>
          <c:idx val="1"/>
          <c:order val="1"/>
          <c:tx>
            <c:strRef>
              <c:f>'新能源汽车销量汇总-中汽协乘联会'!$T$56</c:f>
              <c:strCache>
                <c:ptCount val="1"/>
                <c:pt idx="0">
                  <c:v>渗透率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6350" cap="flat" cmpd="sng" algn="ctr">
                <a:solidFill>
                  <a:srgbClr val="C00000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'新能源汽车销量汇总-中汽协乘联会'!$Q$57:$Q$124</c:f>
              <c:numCache>
                <c:formatCode>yyyy/mm;@</c:formatCode>
                <c:ptCount val="68"/>
                <c:pt idx="0" c:formatCode="yyyy/mm;@">
                  <c:v>43496</c:v>
                </c:pt>
                <c:pt idx="1" c:formatCode="yyyy/mm;@">
                  <c:v>43524</c:v>
                </c:pt>
                <c:pt idx="2" c:formatCode="yyyy/mm;@">
                  <c:v>43555</c:v>
                </c:pt>
                <c:pt idx="3" c:formatCode="yyyy/mm;@">
                  <c:v>43585</c:v>
                </c:pt>
                <c:pt idx="4" c:formatCode="yyyy/mm;@">
                  <c:v>43616</c:v>
                </c:pt>
                <c:pt idx="5" c:formatCode="yyyy/mm;@">
                  <c:v>43646</c:v>
                </c:pt>
                <c:pt idx="6" c:formatCode="yyyy/mm;@">
                  <c:v>43677</c:v>
                </c:pt>
                <c:pt idx="7" c:formatCode="yyyy/mm;@">
                  <c:v>43708</c:v>
                </c:pt>
                <c:pt idx="8" c:formatCode="yyyy/mm;@">
                  <c:v>43738</c:v>
                </c:pt>
                <c:pt idx="9" c:formatCode="yyyy/mm;@">
                  <c:v>43769</c:v>
                </c:pt>
                <c:pt idx="10" c:formatCode="yyyy/mm;@">
                  <c:v>43799</c:v>
                </c:pt>
                <c:pt idx="11" c:formatCode="yyyy/mm;@">
                  <c:v>43830</c:v>
                </c:pt>
                <c:pt idx="12" c:formatCode="yyyy/mm;@">
                  <c:v>43861</c:v>
                </c:pt>
                <c:pt idx="13" c:formatCode="yyyy/mm;@">
                  <c:v>43890</c:v>
                </c:pt>
                <c:pt idx="14" c:formatCode="yyyy/mm;@">
                  <c:v>43921</c:v>
                </c:pt>
                <c:pt idx="15" c:formatCode="yyyy/mm;@">
                  <c:v>43951</c:v>
                </c:pt>
                <c:pt idx="16" c:formatCode="yyyy/mm;@">
                  <c:v>43982</c:v>
                </c:pt>
                <c:pt idx="17" c:formatCode="yyyy/mm;@">
                  <c:v>44012</c:v>
                </c:pt>
                <c:pt idx="18" c:formatCode="yyyy/mm;@">
                  <c:v>44043</c:v>
                </c:pt>
                <c:pt idx="19" c:formatCode="yyyy/mm;@">
                  <c:v>44074</c:v>
                </c:pt>
                <c:pt idx="20" c:formatCode="yyyy/mm;@">
                  <c:v>44104</c:v>
                </c:pt>
                <c:pt idx="21" c:formatCode="yyyy/mm;@">
                  <c:v>44135</c:v>
                </c:pt>
                <c:pt idx="22" c:formatCode="yyyy/mm;@">
                  <c:v>44165</c:v>
                </c:pt>
                <c:pt idx="23" c:formatCode="yyyy/mm;@">
                  <c:v>44196</c:v>
                </c:pt>
                <c:pt idx="24" c:formatCode="yyyy/mm;@">
                  <c:v>44227</c:v>
                </c:pt>
                <c:pt idx="25" c:formatCode="yyyy/mm;@">
                  <c:v>44255</c:v>
                </c:pt>
                <c:pt idx="26" c:formatCode="yyyy/mm;@">
                  <c:v>44286</c:v>
                </c:pt>
                <c:pt idx="27" c:formatCode="yyyy/mm;@">
                  <c:v>44316</c:v>
                </c:pt>
                <c:pt idx="28" c:formatCode="yyyy/mm;@">
                  <c:v>44347</c:v>
                </c:pt>
                <c:pt idx="29" c:formatCode="yyyy/mm;@">
                  <c:v>44377</c:v>
                </c:pt>
                <c:pt idx="30" c:formatCode="yyyy/mm;@">
                  <c:v>44408</c:v>
                </c:pt>
                <c:pt idx="31" c:formatCode="yyyy/mm;@">
                  <c:v>44439</c:v>
                </c:pt>
                <c:pt idx="32" c:formatCode="yyyy/mm;@">
                  <c:v>44469</c:v>
                </c:pt>
                <c:pt idx="33" c:formatCode="yyyy/mm;@">
                  <c:v>44500</c:v>
                </c:pt>
                <c:pt idx="34" c:formatCode="yyyy/mm;@">
                  <c:v>44530</c:v>
                </c:pt>
                <c:pt idx="35" c:formatCode="yyyy/mm;@">
                  <c:v>44561</c:v>
                </c:pt>
                <c:pt idx="36" c:formatCode="yyyy/mm;@">
                  <c:v>44562</c:v>
                </c:pt>
                <c:pt idx="37" c:formatCode="yyyy/mm;@">
                  <c:v>44593</c:v>
                </c:pt>
                <c:pt idx="38" c:formatCode="yyyy/mm;@">
                  <c:v>44621</c:v>
                </c:pt>
                <c:pt idx="39" c:formatCode="yyyy/mm;@">
                  <c:v>44652</c:v>
                </c:pt>
                <c:pt idx="40" c:formatCode="yyyy/mm;@">
                  <c:v>44682</c:v>
                </c:pt>
                <c:pt idx="41" c:formatCode="yyyy/mm;@">
                  <c:v>44713</c:v>
                </c:pt>
                <c:pt idx="42" c:formatCode="yyyy/mm;@">
                  <c:v>44743</c:v>
                </c:pt>
                <c:pt idx="43" c:formatCode="yyyy/mm;@">
                  <c:v>44774</c:v>
                </c:pt>
                <c:pt idx="44" c:formatCode="yyyy/mm;@">
                  <c:v>44805</c:v>
                </c:pt>
                <c:pt idx="45" c:formatCode="yyyy/mm;@">
                  <c:v>44835</c:v>
                </c:pt>
                <c:pt idx="46" c:formatCode="yyyy/mm;@">
                  <c:v>44866</c:v>
                </c:pt>
                <c:pt idx="47" c:formatCode="yyyy/mm;@">
                  <c:v>44896</c:v>
                </c:pt>
                <c:pt idx="48" c:formatCode="yyyy/mm;@">
                  <c:v>44927</c:v>
                </c:pt>
                <c:pt idx="49" c:formatCode="yyyy/mm;@">
                  <c:v>44958</c:v>
                </c:pt>
                <c:pt idx="50" c:formatCode="yyyy/mm;@">
                  <c:v>44986</c:v>
                </c:pt>
                <c:pt idx="51" c:formatCode="yyyy/mm;@">
                  <c:v>45017</c:v>
                </c:pt>
                <c:pt idx="52" c:formatCode="yyyy/mm;@">
                  <c:v>45047</c:v>
                </c:pt>
                <c:pt idx="53" c:formatCode="yyyy/mm;@">
                  <c:v>45078</c:v>
                </c:pt>
                <c:pt idx="54" c:formatCode="yyyy/mm;@">
                  <c:v>45108</c:v>
                </c:pt>
                <c:pt idx="55" c:formatCode="yyyy/mm;@">
                  <c:v>45139</c:v>
                </c:pt>
                <c:pt idx="56" c:formatCode="yyyy/mm;@">
                  <c:v>45170</c:v>
                </c:pt>
                <c:pt idx="57" c:formatCode="yyyy/mm;@">
                  <c:v>45200</c:v>
                </c:pt>
                <c:pt idx="58" c:formatCode="yyyy/mm;@">
                  <c:v>45231</c:v>
                </c:pt>
                <c:pt idx="59" c:formatCode="yyyy/mm;@">
                  <c:v>45261</c:v>
                </c:pt>
                <c:pt idx="60" c:formatCode="yyyy/mm;@">
                  <c:v>45292</c:v>
                </c:pt>
                <c:pt idx="61" c:formatCode="yyyy/mm;@">
                  <c:v>45323</c:v>
                </c:pt>
                <c:pt idx="62" c:formatCode="yyyy/mm;@">
                  <c:v>45352</c:v>
                </c:pt>
                <c:pt idx="63" c:formatCode="yyyy/mm;@">
                  <c:v>45383</c:v>
                </c:pt>
                <c:pt idx="64" c:formatCode="yyyy/mm;@">
                  <c:v>45413</c:v>
                </c:pt>
                <c:pt idx="65" c:formatCode="yyyy/mm;@">
                  <c:v>45444</c:v>
                </c:pt>
                <c:pt idx="66" c:formatCode="yyyy/mm;@">
                  <c:v>45474</c:v>
                </c:pt>
                <c:pt idx="67" c:formatCode="yyyy/mm;@">
                  <c:v>45505</c:v>
                </c:pt>
              </c:numCache>
            </c:numRef>
          </c:cat>
          <c:val>
            <c:numRef>
              <c:f>'新能源汽车销量汇总-中汽协乘联会'!$T$57:$T$124</c:f>
              <c:numCache>
                <c:formatCode>0.00%</c:formatCode>
                <c:ptCount val="68"/>
                <c:pt idx="0">
                  <c:v>0.0443164847801901</c:v>
                </c:pt>
                <c:pt idx="1">
                  <c:v>0.0395991464534049</c:v>
                </c:pt>
                <c:pt idx="2">
                  <c:v>0.0601465267036965</c:v>
                </c:pt>
                <c:pt idx="3">
                  <c:v>0.0565033778762482</c:v>
                </c:pt>
                <c:pt idx="4">
                  <c:v>0.0593070047633454</c:v>
                </c:pt>
                <c:pt idx="5">
                  <c:v>0.0784603027858818</c:v>
                </c:pt>
                <c:pt idx="6">
                  <c:v>0.0441420135102602</c:v>
                </c:pt>
                <c:pt idx="7">
                  <c:v>0.0412836878525473</c:v>
                </c:pt>
                <c:pt idx="8">
                  <c:v>0.0347344626800342</c:v>
                </c:pt>
                <c:pt idx="9">
                  <c:v>0.0341879600102627</c:v>
                </c:pt>
                <c:pt idx="10">
                  <c:v>0.0369626895996604</c:v>
                </c:pt>
                <c:pt idx="11">
                  <c:v>0.0609065961211131</c:v>
                </c:pt>
                <c:pt idx="12">
                  <c:v>0.0237577059647106</c:v>
                </c:pt>
                <c:pt idx="13">
                  <c:v>0.0571196068291783</c:v>
                </c:pt>
                <c:pt idx="14">
                  <c:v>0.0518486721611722</c:v>
                </c:pt>
                <c:pt idx="15">
                  <c:v>0.0389560842678964</c:v>
                </c:pt>
                <c:pt idx="16">
                  <c:v>0.0415240711229873</c:v>
                </c:pt>
                <c:pt idx="17">
                  <c:v>0.0501977094635322</c:v>
                </c:pt>
                <c:pt idx="18">
                  <c:v>0.0516217125294314</c:v>
                </c:pt>
                <c:pt idx="19">
                  <c:v>0.0547649697198092</c:v>
                </c:pt>
                <c:pt idx="20">
                  <c:v>0.0577056144025721</c:v>
                </c:pt>
                <c:pt idx="21">
                  <c:v>0.0668405305274149</c:v>
                </c:pt>
                <c:pt idx="22">
                  <c:v>0.0818674078708736</c:v>
                </c:pt>
                <c:pt idx="23">
                  <c:v>0.0908866332770037</c:v>
                </c:pt>
                <c:pt idx="24">
                  <c:v>0.0719255693390113</c:v>
                </c:pt>
                <c:pt idx="25">
                  <c:v>0.0822953046424492</c:v>
                </c:pt>
                <c:pt idx="26">
                  <c:v>0.105633646272516</c:v>
                </c:pt>
                <c:pt idx="27">
                  <c:v>0.100293079120179</c:v>
                </c:pt>
                <c:pt idx="28">
                  <c:v>0.115222459386476</c:v>
                </c:pt>
                <c:pt idx="29">
                  <c:v>0.145578732422671</c:v>
                </c:pt>
                <c:pt idx="30">
                  <c:v>0.147922404853158</c:v>
                </c:pt>
                <c:pt idx="31">
                  <c:v>0.171946443272513</c:v>
                </c:pt>
                <c:pt idx="32">
                  <c:v>0.210852654370743</c:v>
                </c:pt>
                <c:pt idx="33">
                  <c:v>0.184958799382983</c:v>
                </c:pt>
                <c:pt idx="34">
                  <c:v>0.208356110163338</c:v>
                </c:pt>
                <c:pt idx="35">
                  <c:v>0.225271089323926</c:v>
                </c:pt>
                <c:pt idx="36">
                  <c:v>0.169573271715071</c:v>
                </c:pt>
                <c:pt idx="37">
                  <c:v>0.21677530982782</c:v>
                </c:pt>
                <c:pt idx="38">
                  <c:v>0.281558549779232</c:v>
                </c:pt>
                <c:pt idx="39">
                  <c:v>0.270614077944273</c:v>
                </c:pt>
                <c:pt idx="40">
                  <c:v>0.26550700618973</c:v>
                </c:pt>
                <c:pt idx="41">
                  <c:v>0.273422170638828</c:v>
                </c:pt>
                <c:pt idx="42">
                  <c:v>0.267374466399683</c:v>
                </c:pt>
                <c:pt idx="43">
                  <c:v>0.282633489905699</c:v>
                </c:pt>
                <c:pt idx="44">
                  <c:v>0.317699551368933</c:v>
                </c:pt>
                <c:pt idx="45">
                  <c:v>0.300996004910021</c:v>
                </c:pt>
                <c:pt idx="46">
                  <c:v>0.361862289734017</c:v>
                </c:pt>
                <c:pt idx="47">
                  <c:v>0.294958525345622</c:v>
                </c:pt>
                <c:pt idx="48">
                  <c:v>0.25676720804331</c:v>
                </c:pt>
                <c:pt idx="49">
                  <c:v>0.316993490005422</c:v>
                </c:pt>
                <c:pt idx="50">
                  <c:v>0.343068740228709</c:v>
                </c:pt>
                <c:pt idx="51">
                  <c:v>0.32310960591133</c:v>
                </c:pt>
                <c:pt idx="52">
                  <c:v>0.33290300063775</c:v>
                </c:pt>
                <c:pt idx="53">
                  <c:v>0.351383933946303</c:v>
                </c:pt>
                <c:pt idx="54">
                  <c:v>0.362568002181047</c:v>
                </c:pt>
                <c:pt idx="55">
                  <c:v>0.372507744381586</c:v>
                </c:pt>
                <c:pt idx="56">
                  <c:v>0.369672943508424</c:v>
                </c:pt>
                <c:pt idx="57">
                  <c:v>0.378</c:v>
                </c:pt>
                <c:pt idx="58">
                  <c:v>0.318078668683812</c:v>
                </c:pt>
                <c:pt idx="59">
                  <c:v>0.400592216582064</c:v>
                </c:pt>
                <c:pt idx="60">
                  <c:v>0.328255528255528</c:v>
                </c:pt>
                <c:pt idx="61">
                  <c:v>0.354337899543379</c:v>
                </c:pt>
                <c:pt idx="62">
                  <c:v>0.420272673384707</c:v>
                </c:pt>
                <c:pt idx="63">
                  <c:v>0.439947780678851</c:v>
                </c:pt>
                <c:pt idx="64">
                  <c:v>0.470175438596491</c:v>
                </c:pt>
                <c:pt idx="65">
                  <c:v>0.484436898698359</c:v>
                </c:pt>
                <c:pt idx="66">
                  <c:v>0.51046511627907</c:v>
                </c:pt>
                <c:pt idx="67">
                  <c:v>0.539107611548556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775168"/>
        <c:axId val="991682832"/>
      </c:lineChart>
      <c:dateAx>
        <c:axId val="10069010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 altLang="en-US"/>
                  <a:t>万辆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05583552055993"/>
              <c:y val="0.0199074074074074"/>
            </c:manualLayout>
          </c:layout>
          <c:overlay val="0"/>
        </c:title>
        <c:numFmt formatCode="yyyy/mm;@" sourceLinked="1"/>
        <c:majorTickMark val="out"/>
        <c:minorTickMark val="none"/>
        <c:tickLblPos val="nextTo"/>
        <c:spPr>
          <a:ln w="9525" cap="flat" cmpd="sng" algn="ctr">
            <a:solidFill>
              <a:srgbClr val="D7D7D7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"/>
        <c:crosses val="autoZero"/>
        <c:auto val="1"/>
        <c:lblOffset val="100"/>
        <c:baseTimeUnit val="months"/>
        <c:majorUnit val="3"/>
        <c:majorTimeUnit val="months"/>
        <c:minorUnit val="1"/>
        <c:minorTimeUnit val="days"/>
      </c:dateAx>
      <c:valAx>
        <c:axId val="1"/>
        <c:scaling>
          <c:orientation val="minMax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ln w="9525" cap="flat" cmpd="sng" algn="ctr">
            <a:solidFill>
              <a:srgbClr val="D7D7D7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006901024"/>
        <c:crosses val="autoZero"/>
        <c:crossBetween val="between"/>
      </c:valAx>
      <c:dateAx>
        <c:axId val="967775168"/>
        <c:scaling>
          <c:orientation val="minMax"/>
        </c:scaling>
        <c:delete val="1"/>
        <c:axPos val="b"/>
        <c:numFmt formatCode="yyyy/mm;@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991682832"/>
        <c:crosses val="autoZero"/>
        <c:auto val="1"/>
        <c:lblOffset val="100"/>
        <c:baseTimeUnit val="days"/>
      </c:dateAx>
      <c:valAx>
        <c:axId val="99168283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967775168"/>
        <c:crosses val="max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t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514fd6-5025-469b-98dc-96cc6b379467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815544619422572"/>
          <c:y val="0.128444881889764"/>
          <c:w val="0.910062992125984"/>
          <c:h val="0.680578156897054"/>
        </c:manualLayout>
      </c:layout>
      <c:lineChart>
        <c:grouping val="standard"/>
        <c:varyColors val="0"/>
        <c:ser>
          <c:idx val="0"/>
          <c:order val="0"/>
          <c:tx>
            <c:strRef>
              <c:f>'新能源汽车销量汇总-中汽协乘联会'!$R$56</c:f>
              <c:strCache>
                <c:ptCount val="1"/>
                <c:pt idx="0">
                  <c:v>乘用车销量（万辆）</c:v>
                </c:pt>
              </c:strCache>
            </c:strRef>
          </c:tx>
          <c:spPr>
            <a:ln w="19050" cap="rnd" cmpd="sng" algn="ctr">
              <a:solidFill>
                <a:srgbClr val="5E76AA"/>
              </a:solidFill>
              <a:prstDash val="solid"/>
              <a:round/>
            </a:ln>
          </c:spPr>
          <c:marker>
            <c:symbol val="diamond"/>
            <c:size val="3"/>
            <c:spPr>
              <a:solidFill>
                <a:srgbClr val="5E76AA"/>
              </a:solidFill>
              <a:ln w="6350" cap="flat" cmpd="sng" algn="ctr">
                <a:solidFill>
                  <a:srgbClr val="5E76AA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'新能源汽车销量汇总-中汽协乘联会'!$Q$57:$Q$124</c:f>
              <c:numCache>
                <c:formatCode>yyyy/mm;@</c:formatCode>
                <c:ptCount val="68"/>
                <c:pt idx="0" c:formatCode="yyyy/mm;@">
                  <c:v>43496</c:v>
                </c:pt>
                <c:pt idx="1" c:formatCode="yyyy/mm;@">
                  <c:v>43524</c:v>
                </c:pt>
                <c:pt idx="2" c:formatCode="yyyy/mm;@">
                  <c:v>43555</c:v>
                </c:pt>
                <c:pt idx="3" c:formatCode="yyyy/mm;@">
                  <c:v>43585</c:v>
                </c:pt>
                <c:pt idx="4" c:formatCode="yyyy/mm;@">
                  <c:v>43616</c:v>
                </c:pt>
                <c:pt idx="5" c:formatCode="yyyy/mm;@">
                  <c:v>43646</c:v>
                </c:pt>
                <c:pt idx="6" c:formatCode="yyyy/mm;@">
                  <c:v>43677</c:v>
                </c:pt>
                <c:pt idx="7" c:formatCode="yyyy/mm;@">
                  <c:v>43708</c:v>
                </c:pt>
                <c:pt idx="8" c:formatCode="yyyy/mm;@">
                  <c:v>43738</c:v>
                </c:pt>
                <c:pt idx="9" c:formatCode="yyyy/mm;@">
                  <c:v>43769</c:v>
                </c:pt>
                <c:pt idx="10" c:formatCode="yyyy/mm;@">
                  <c:v>43799</c:v>
                </c:pt>
                <c:pt idx="11" c:formatCode="yyyy/mm;@">
                  <c:v>43830</c:v>
                </c:pt>
                <c:pt idx="12" c:formatCode="yyyy/mm;@">
                  <c:v>43861</c:v>
                </c:pt>
                <c:pt idx="13" c:formatCode="yyyy/mm;@">
                  <c:v>43890</c:v>
                </c:pt>
                <c:pt idx="14" c:formatCode="yyyy/mm;@">
                  <c:v>43921</c:v>
                </c:pt>
                <c:pt idx="15" c:formatCode="yyyy/mm;@">
                  <c:v>43951</c:v>
                </c:pt>
                <c:pt idx="16" c:formatCode="yyyy/mm;@">
                  <c:v>43982</c:v>
                </c:pt>
                <c:pt idx="17" c:formatCode="yyyy/mm;@">
                  <c:v>44012</c:v>
                </c:pt>
                <c:pt idx="18" c:formatCode="yyyy/mm;@">
                  <c:v>44043</c:v>
                </c:pt>
                <c:pt idx="19" c:formatCode="yyyy/mm;@">
                  <c:v>44074</c:v>
                </c:pt>
                <c:pt idx="20" c:formatCode="yyyy/mm;@">
                  <c:v>44104</c:v>
                </c:pt>
                <c:pt idx="21" c:formatCode="yyyy/mm;@">
                  <c:v>44135</c:v>
                </c:pt>
                <c:pt idx="22" c:formatCode="yyyy/mm;@">
                  <c:v>44165</c:v>
                </c:pt>
                <c:pt idx="23" c:formatCode="yyyy/mm;@">
                  <c:v>44196</c:v>
                </c:pt>
                <c:pt idx="24" c:formatCode="yyyy/mm;@">
                  <c:v>44227</c:v>
                </c:pt>
                <c:pt idx="25" c:formatCode="yyyy/mm;@">
                  <c:v>44255</c:v>
                </c:pt>
                <c:pt idx="26" c:formatCode="yyyy/mm;@">
                  <c:v>44286</c:v>
                </c:pt>
                <c:pt idx="27" c:formatCode="yyyy/mm;@">
                  <c:v>44316</c:v>
                </c:pt>
                <c:pt idx="28" c:formatCode="yyyy/mm;@">
                  <c:v>44347</c:v>
                </c:pt>
                <c:pt idx="29" c:formatCode="yyyy/mm;@">
                  <c:v>44377</c:v>
                </c:pt>
                <c:pt idx="30" c:formatCode="yyyy/mm;@">
                  <c:v>44408</c:v>
                </c:pt>
                <c:pt idx="31" c:formatCode="yyyy/mm;@">
                  <c:v>44439</c:v>
                </c:pt>
                <c:pt idx="32" c:formatCode="yyyy/mm;@">
                  <c:v>44469</c:v>
                </c:pt>
                <c:pt idx="33" c:formatCode="yyyy/mm;@">
                  <c:v>44500</c:v>
                </c:pt>
                <c:pt idx="34" c:formatCode="yyyy/mm;@">
                  <c:v>44530</c:v>
                </c:pt>
                <c:pt idx="35" c:formatCode="yyyy/mm;@">
                  <c:v>44561</c:v>
                </c:pt>
                <c:pt idx="36" c:formatCode="yyyy/mm;@">
                  <c:v>44562</c:v>
                </c:pt>
                <c:pt idx="37" c:formatCode="yyyy/mm;@">
                  <c:v>44593</c:v>
                </c:pt>
                <c:pt idx="38" c:formatCode="yyyy/mm;@">
                  <c:v>44621</c:v>
                </c:pt>
                <c:pt idx="39" c:formatCode="yyyy/mm;@">
                  <c:v>44652</c:v>
                </c:pt>
                <c:pt idx="40" c:formatCode="yyyy/mm;@">
                  <c:v>44682</c:v>
                </c:pt>
                <c:pt idx="41" c:formatCode="yyyy/mm;@">
                  <c:v>44713</c:v>
                </c:pt>
                <c:pt idx="42" c:formatCode="yyyy/mm;@">
                  <c:v>44743</c:v>
                </c:pt>
                <c:pt idx="43" c:formatCode="yyyy/mm;@">
                  <c:v>44774</c:v>
                </c:pt>
                <c:pt idx="44" c:formatCode="yyyy/mm;@">
                  <c:v>44805</c:v>
                </c:pt>
                <c:pt idx="45" c:formatCode="yyyy/mm;@">
                  <c:v>44835</c:v>
                </c:pt>
                <c:pt idx="46" c:formatCode="yyyy/mm;@">
                  <c:v>44866</c:v>
                </c:pt>
                <c:pt idx="47" c:formatCode="yyyy/mm;@">
                  <c:v>44896</c:v>
                </c:pt>
                <c:pt idx="48" c:formatCode="yyyy/mm;@">
                  <c:v>44927</c:v>
                </c:pt>
                <c:pt idx="49" c:formatCode="yyyy/mm;@">
                  <c:v>44958</c:v>
                </c:pt>
                <c:pt idx="50" c:formatCode="yyyy/mm;@">
                  <c:v>44986</c:v>
                </c:pt>
                <c:pt idx="51" c:formatCode="yyyy/mm;@">
                  <c:v>45017</c:v>
                </c:pt>
                <c:pt idx="52" c:formatCode="yyyy/mm;@">
                  <c:v>45047</c:v>
                </c:pt>
                <c:pt idx="53" c:formatCode="yyyy/mm;@">
                  <c:v>45078</c:v>
                </c:pt>
                <c:pt idx="54" c:formatCode="yyyy/mm;@">
                  <c:v>45108</c:v>
                </c:pt>
                <c:pt idx="55" c:formatCode="yyyy/mm;@">
                  <c:v>45139</c:v>
                </c:pt>
                <c:pt idx="56" c:formatCode="yyyy/mm;@">
                  <c:v>45170</c:v>
                </c:pt>
                <c:pt idx="57" c:formatCode="yyyy/mm;@">
                  <c:v>45200</c:v>
                </c:pt>
                <c:pt idx="58" c:formatCode="yyyy/mm;@">
                  <c:v>45231</c:v>
                </c:pt>
                <c:pt idx="59" c:formatCode="yyyy/mm;@">
                  <c:v>45261</c:v>
                </c:pt>
                <c:pt idx="60" c:formatCode="yyyy/mm;@">
                  <c:v>45292</c:v>
                </c:pt>
                <c:pt idx="61" c:formatCode="yyyy/mm;@">
                  <c:v>45323</c:v>
                </c:pt>
                <c:pt idx="62" c:formatCode="yyyy/mm;@">
                  <c:v>45352</c:v>
                </c:pt>
                <c:pt idx="63" c:formatCode="yyyy/mm;@">
                  <c:v>45383</c:v>
                </c:pt>
                <c:pt idx="64" c:formatCode="yyyy/mm;@">
                  <c:v>45413</c:v>
                </c:pt>
                <c:pt idx="65" c:formatCode="yyyy/mm;@">
                  <c:v>45444</c:v>
                </c:pt>
                <c:pt idx="66" c:formatCode="yyyy/mm;@">
                  <c:v>45474</c:v>
                </c:pt>
                <c:pt idx="67" c:formatCode="yyyy/mm;@">
                  <c:v>45505</c:v>
                </c:pt>
              </c:numCache>
            </c:numRef>
          </c:cat>
          <c:val>
            <c:numRef>
              <c:f>'新能源汽车销量汇总-中汽协乘联会'!$R$57:$R$124</c:f>
              <c:numCache>
                <c:formatCode>#,##0.00_ </c:formatCode>
                <c:ptCount val="68"/>
                <c:pt idx="0">
                  <c:v>216.3529</c:v>
                </c:pt>
                <c:pt idx="1">
                  <c:v>117.4394</c:v>
                </c:pt>
                <c:pt idx="2">
                  <c:v>175.4083</c:v>
                </c:pt>
                <c:pt idx="3">
                  <c:v>151.3821</c:v>
                </c:pt>
                <c:pt idx="4">
                  <c:v>157.9982</c:v>
                </c:pt>
                <c:pt idx="5">
                  <c:v>176.4217</c:v>
                </c:pt>
                <c:pt idx="6">
                  <c:v>148.2873</c:v>
                </c:pt>
                <c:pt idx="7">
                  <c:v>156.362</c:v>
                </c:pt>
                <c:pt idx="8">
                  <c:v>177.9731</c:v>
                </c:pt>
                <c:pt idx="9">
                  <c:v>184.3573</c:v>
                </c:pt>
                <c:pt idx="10">
                  <c:v>192.6889</c:v>
                </c:pt>
                <c:pt idx="11">
                  <c:v>214.5564</c:v>
                </c:pt>
                <c:pt idx="12">
                  <c:v>171.8474</c:v>
                </c:pt>
                <c:pt idx="13">
                  <c:v>24.9459</c:v>
                </c:pt>
                <c:pt idx="14">
                  <c:v>104.832</c:v>
                </c:pt>
                <c:pt idx="15">
                  <c:v>143.115</c:v>
                </c:pt>
                <c:pt idx="16">
                  <c:v>160.7694</c:v>
                </c:pt>
                <c:pt idx="17">
                  <c:v>165.9</c:v>
                </c:pt>
                <c:pt idx="18">
                  <c:v>159.9482</c:v>
                </c:pt>
                <c:pt idx="19">
                  <c:v>170.3589</c:v>
                </c:pt>
                <c:pt idx="20">
                  <c:v>191.3436</c:v>
                </c:pt>
                <c:pt idx="21">
                  <c:v>199.198</c:v>
                </c:pt>
                <c:pt idx="22">
                  <c:v>208.0938</c:v>
                </c:pt>
                <c:pt idx="23">
                  <c:v>228.7135</c:v>
                </c:pt>
                <c:pt idx="24">
                  <c:v>216.04</c:v>
                </c:pt>
                <c:pt idx="25">
                  <c:v>117.9399</c:v>
                </c:pt>
                <c:pt idx="26">
                  <c:v>175.4441</c:v>
                </c:pt>
                <c:pt idx="27">
                  <c:v>160.9463</c:v>
                </c:pt>
                <c:pt idx="28">
                  <c:v>162.569</c:v>
                </c:pt>
                <c:pt idx="29">
                  <c:v>157.7387</c:v>
                </c:pt>
                <c:pt idx="30">
                  <c:v>150.2362</c:v>
                </c:pt>
                <c:pt idx="31">
                  <c:v>145.1545</c:v>
                </c:pt>
                <c:pt idx="32">
                  <c:v>158.1825</c:v>
                </c:pt>
                <c:pt idx="33">
                  <c:v>171.4052</c:v>
                </c:pt>
                <c:pt idx="34">
                  <c:v>181.6539</c:v>
                </c:pt>
                <c:pt idx="35">
                  <c:v>210.8069</c:v>
                </c:pt>
                <c:pt idx="36">
                  <c:v>207.7739</c:v>
                </c:pt>
                <c:pt idx="37">
                  <c:v>125.7634</c:v>
                </c:pt>
                <c:pt idx="38">
                  <c:v>157.9263</c:v>
                </c:pt>
                <c:pt idx="39">
                  <c:v>104.3874</c:v>
                </c:pt>
                <c:pt idx="40">
                  <c:v>135.4017</c:v>
                </c:pt>
                <c:pt idx="41">
                  <c:v>194.3778</c:v>
                </c:pt>
                <c:pt idx="42">
                  <c:v>181.784</c:v>
                </c:pt>
                <c:pt idx="43">
                  <c:v>187.3681</c:v>
                </c:pt>
                <c:pt idx="44">
                  <c:v>192.2738</c:v>
                </c:pt>
                <c:pt idx="45">
                  <c:v>184.2762</c:v>
                </c:pt>
                <c:pt idx="46">
                  <c:v>165.2847</c:v>
                </c:pt>
                <c:pt idx="47">
                  <c:v>217</c:v>
                </c:pt>
                <c:pt idx="48">
                  <c:v>129.3</c:v>
                </c:pt>
                <c:pt idx="49">
                  <c:v>138.5101</c:v>
                </c:pt>
                <c:pt idx="50">
                  <c:v>159.0757</c:v>
                </c:pt>
                <c:pt idx="51">
                  <c:v>162.4</c:v>
                </c:pt>
                <c:pt idx="52">
                  <c:v>174.2063</c:v>
                </c:pt>
                <c:pt idx="53">
                  <c:v>189.3732</c:v>
                </c:pt>
                <c:pt idx="54">
                  <c:v>176.7958</c:v>
                </c:pt>
                <c:pt idx="55">
                  <c:v>192.3007</c:v>
                </c:pt>
                <c:pt idx="56">
                  <c:v>201.8</c:v>
                </c:pt>
                <c:pt idx="57">
                  <c:v>203.3</c:v>
                </c:pt>
                <c:pt idx="58">
                  <c:v>264.4</c:v>
                </c:pt>
                <c:pt idx="59">
                  <c:v>236.4</c:v>
                </c:pt>
                <c:pt idx="60">
                  <c:v>203.5</c:v>
                </c:pt>
                <c:pt idx="61">
                  <c:v>109.5</c:v>
                </c:pt>
                <c:pt idx="62">
                  <c:v>168.7</c:v>
                </c:pt>
                <c:pt idx="63">
                  <c:v>153.2</c:v>
                </c:pt>
                <c:pt idx="64">
                  <c:v>171</c:v>
                </c:pt>
                <c:pt idx="65">
                  <c:v>176.7</c:v>
                </c:pt>
                <c:pt idx="66">
                  <c:v>172</c:v>
                </c:pt>
                <c:pt idx="67">
                  <c:v>190.5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6901024"/>
        <c:axId val="1"/>
      </c:lineChart>
      <c:dateAx>
        <c:axId val="10069010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 altLang="en-US"/>
                  <a:t>万辆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0107677165354331"/>
              <c:y val="0.00138888888888889"/>
            </c:manualLayout>
          </c:layout>
          <c:overlay val="0"/>
        </c:title>
        <c:numFmt formatCode="yyyy/mm;@" sourceLinked="1"/>
        <c:majorTickMark val="out"/>
        <c:minorTickMark val="none"/>
        <c:tickLblPos val="nextTo"/>
        <c:spPr>
          <a:ln w="9525" cap="flat" cmpd="sng" algn="ctr">
            <a:solidFill>
              <a:srgbClr val="D7D7D7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"/>
        <c:crosses val="autoZero"/>
        <c:auto val="1"/>
        <c:lblOffset val="100"/>
        <c:baseTimeUnit val="months"/>
        <c:majorUnit val="3"/>
        <c:majorTimeUnit val="months"/>
        <c:minorUnit val="1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D7D7D7"/>
              </a:solidFill>
              <a:prstDash val="dash"/>
              <a:round/>
            </a:ln>
          </c:spPr>
        </c:majorGridlines>
        <c:numFmt formatCode="#,##0_);[Red]\(#,##0\)" sourceLinked="0"/>
        <c:majorTickMark val="out"/>
        <c:minorTickMark val="none"/>
        <c:tickLblPos val="nextTo"/>
        <c:spPr>
          <a:ln w="9525" cap="flat" cmpd="sng" algn="ctr">
            <a:solidFill>
              <a:srgbClr val="D7D7D7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00690102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0752938475665749"/>
          <c:y val="0.0086928741607105"/>
          <c:w val="0.866539849830183"/>
          <c:h val="0.051974225687676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06ea1c-c501-48fb-acc6-8d8781b03073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673613298337708"/>
          <c:y val="0.115343394575678"/>
          <c:w val="0.9225260279965"/>
          <c:h val="0.795531860600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'新能源汽车销量汇总-中汽协乘联会'!$F$20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'新能源汽车销量汇总-中汽协乘联会'!$A$21:$A$32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'新能源汽车销量汇总-中汽协乘联会'!$F$21:$F$32</c:f>
              <c:numCache>
                <c:formatCode>0.00_ </c:formatCode>
                <c:ptCount val="12"/>
                <c:pt idx="0">
                  <c:v>5.6</c:v>
                </c:pt>
                <c:pt idx="1">
                  <c:v>4.8</c:v>
                </c:pt>
                <c:pt idx="2">
                  <c:v>1.6</c:v>
                </c:pt>
                <c:pt idx="3">
                  <c:v>1.1</c:v>
                </c:pt>
                <c:pt idx="4">
                  <c:v>4.3</c:v>
                </c:pt>
                <c:pt idx="5">
                  <c:v>2.8</c:v>
                </c:pt>
                <c:pt idx="6">
                  <c:v>5.4</c:v>
                </c:pt>
                <c:pt idx="7">
                  <c:v>8.3</c:v>
                </c:pt>
                <c:pt idx="8">
                  <c:v>5</c:v>
                </c:pt>
                <c:pt idx="9">
                  <c:v>10.9</c:v>
                </c:pt>
                <c:pt idx="10">
                  <c:v>9.5</c:v>
                </c:pt>
                <c:pt idx="11">
                  <c:v>8.2</c:v>
                </c:pt>
              </c:numCache>
            </c:numRef>
          </c:val>
        </c:ser>
        <c:ser>
          <c:idx val="1"/>
          <c:order val="1"/>
          <c:tx>
            <c:strRef>
              <c:f>'新能源汽车销量汇总-中汽协乘联会'!$G$20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'新能源汽车销量汇总-中汽协乘联会'!$A$21:$A$32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'新能源汽车销量汇总-中汽协乘联会'!$G$21:$G$32</c:f>
              <c:numCache>
                <c:formatCode>0.00_ </c:formatCode>
                <c:ptCount val="12"/>
                <c:pt idx="0">
                  <c:v>8.3</c:v>
                </c:pt>
                <c:pt idx="1">
                  <c:v>8.7</c:v>
                </c:pt>
                <c:pt idx="2">
                  <c:v>7.8</c:v>
                </c:pt>
                <c:pt idx="3">
                  <c:v>10</c:v>
                </c:pt>
                <c:pt idx="4">
                  <c:v>10.8</c:v>
                </c:pt>
                <c:pt idx="5">
                  <c:v>7.8</c:v>
                </c:pt>
                <c:pt idx="6">
                  <c:v>10.1</c:v>
                </c:pt>
                <c:pt idx="7">
                  <c:v>9</c:v>
                </c:pt>
                <c:pt idx="8">
                  <c:v>9.6</c:v>
                </c:pt>
                <c:pt idx="9">
                  <c:v>12.4</c:v>
                </c:pt>
                <c:pt idx="10">
                  <c:v>9.7</c:v>
                </c:pt>
                <c:pt idx="11">
                  <c:v>11.1</c:v>
                </c:pt>
              </c:numCache>
            </c:numRef>
          </c:val>
        </c:ser>
        <c:ser>
          <c:idx val="2"/>
          <c:order val="2"/>
          <c:tx>
            <c:strRef>
              <c:f>'新能源汽车销量汇总-中汽协乘联会'!$H$20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dLbls>
            <c:delete val="1"/>
          </c:dLbls>
          <c:cat>
            <c:strRef>
              <c:f>'新能源汽车销量汇总-中汽协乘联会'!$A$21:$A$32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'新能源汽车销量汇总-中汽协乘联会'!$H$21:$H$32</c:f>
              <c:numCache>
                <c:formatCode>0.00_ </c:formatCode>
                <c:ptCount val="12"/>
                <c:pt idx="0">
                  <c:v>10.1</c:v>
                </c:pt>
                <c:pt idx="1">
                  <c:v>8.2</c:v>
                </c:pt>
                <c:pt idx="2">
                  <c:v>12.4</c:v>
                </c:pt>
                <c:pt idx="3">
                  <c:v>11.4</c:v>
                </c:pt>
                <c:pt idx="4">
                  <c:v>9.9</c:v>
                </c:pt>
                <c:pt idx="5">
                  <c:v>8.6</c:v>
                </c:pt>
                <c:pt idx="6">
                  <c:v>10.3</c:v>
                </c:pt>
                <c:pt idx="7">
                  <c:v>11</c:v>
                </c:pt>
                <c:pt idx="8">
                  <c:v>11.1</c:v>
                </c:pt>
                <c:pt idx="9">
                  <c:v>12.8</c:v>
                </c:pt>
                <c:pt idx="10">
                  <c:v>8.3</c:v>
                </c:pt>
                <c:pt idx="11">
                  <c:v>13.4</c:v>
                </c:pt>
              </c:numCache>
            </c:numRef>
          </c:val>
        </c:ser>
        <c:ser>
          <c:idx val="3"/>
          <c:order val="3"/>
          <c:tx>
            <c:strRef>
              <c:f>2025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dLbls>
            <c:delete val="1"/>
          </c:dLbls>
          <c:val>
            <c:numRef>
              <c:f>'新能源汽车销量汇总-中汽协乘联会'!$I$21:$I$22</c:f>
              <c:numCache>
                <c:formatCode>0.00_ </c:formatCode>
                <c:ptCount val="2"/>
                <c:pt idx="0">
                  <c:v>15</c:v>
                </c:pt>
                <c:pt idx="1">
                  <c:v>13.1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6900040"/>
        <c:axId val="1"/>
      </c:barChart>
      <c:catAx>
        <c:axId val="1006900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 altLang="en-US"/>
                  <a:t>万辆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0083595800524934"/>
              <c:y val="0.0013888888888888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D7D7D7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D7D7D7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0069000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586188-9634-47e1-a1c5-f04bba698152}"/>
      </c:ext>
    </c:extLst>
  </c:chart>
  <c:spPr>
    <a:solidFill>
      <a:srgbClr val="FFFFFF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665706416799936"/>
          <c:y val="0.0315909090909091"/>
          <c:w val="0.886199037620298"/>
          <c:h val="0.78473024205307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'新能源汽车销量汇总-中汽协乘联会'!$Q$2:$Q$12</c15:sqref>
                  </c15:fullRef>
                </c:ext>
              </c:extLst>
              <c:f>'新能源汽车销量汇总-中汽协乘联会'!$Q$6:$Q$12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'新能源汽车销量汇总-中汽协乘联会'!$T$2:$T$12</c15:sqref>
                  </c15:fullRef>
                </c:ext>
              </c:extLst>
              <c:f>'新能源汽车销量汇总-中汽协乘联会'!$T$6:$T$12</c:f>
              <c:numCache>
                <c:formatCode>0.00</c:formatCode>
                <c:ptCount val="7"/>
                <c:pt idx="0">
                  <c:v>125.6195</c:v>
                </c:pt>
                <c:pt idx="1">
                  <c:v>120.5961</c:v>
                </c:pt>
                <c:pt idx="2">
                  <c:v>136.7315</c:v>
                </c:pt>
                <c:pt idx="3">
                  <c:v>352.0545</c:v>
                </c:pt>
                <c:pt idx="4">
                  <c:v>688.6647</c:v>
                </c:pt>
                <c:pt idx="5" c:formatCode="General">
                  <c:v>949.5</c:v>
                </c:pt>
                <c:pt idx="6" c:formatCode="General">
                  <c:v>1286.6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776895"/>
        <c:axId val="1970926063"/>
      </c:barChart>
      <c:catAx>
        <c:axId val="1970776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r>
                  <a:rPr lang="zh-CN" altLang="en-US">
                    <a:latin typeface="楷体" panose="02010609060101010101" pitchFamily="49" charset="-122"/>
                    <a:ea typeface="楷体" panose="02010609060101010101" pitchFamily="49" charset="-122"/>
                  </a:rPr>
                  <a:t>万辆</a:t>
                </a:r>
                <a:endParaRPr lang="zh-CN" altLang="en-US">
                  <a:latin typeface="楷体" panose="02010609060101010101" pitchFamily="49" charset="-122"/>
                  <a:ea typeface="楷体" panose="02010609060101010101" pitchFamily="49" charset="-122"/>
                </a:endParaRPr>
              </a:p>
            </c:rich>
          </c:tx>
          <c:layout>
            <c:manualLayout>
              <c:xMode val="edge"/>
              <c:yMode val="edge"/>
              <c:x val="0.00144444444444447"/>
              <c:y val="0.0020833333333332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926063"/>
        <c:crosses val="autoZero"/>
        <c:auto val="1"/>
        <c:lblAlgn val="ctr"/>
        <c:lblOffset val="100"/>
        <c:noMultiLvlLbl val="0"/>
      </c:catAx>
      <c:valAx>
        <c:axId val="1970926063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7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24620c-0786-4d41-902b-79ac7157f022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2155372085261"/>
          <c:y val="0.129212962962963"/>
          <c:w val="0.868793963254593"/>
          <c:h val="0.763387649460484"/>
        </c:manualLayout>
      </c:layout>
      <c:lineChart>
        <c:grouping val="standard"/>
        <c:varyColors val="0"/>
        <c:ser>
          <c:idx val="0"/>
          <c:order val="0"/>
          <c:tx>
            <c:strRef>
              <c:f>'新能源汽车销量汇总-中汽协乘联会'!$V$1</c:f>
              <c:strCache>
                <c:ptCount val="1"/>
                <c:pt idx="0">
                  <c:v>新能源车渗透率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'新能源汽车销量汇总-中汽协乘联会'!$Q$2:$Q$12</c15:sqref>
                  </c15:fullRef>
                </c:ext>
              </c:extLst>
              <c:f>'新能源汽车销量汇总-中汽协乘联会'!$Q$6:$Q$12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'新能源汽车销量汇总-中汽协乘联会'!$V$2:$V$12</c15:sqref>
                  </c15:fullRef>
                </c:ext>
              </c:extLst>
              <c:f>'新能源汽车销量汇总-中汽协乘联会'!$V$6:$V$12</c:f>
              <c:numCache>
                <c:formatCode>0.0%</c:formatCode>
                <c:ptCount val="7"/>
                <c:pt idx="0">
                  <c:v>0.0447353332905992</c:v>
                </c:pt>
                <c:pt idx="1">
                  <c:v>0.0467989056618417</c:v>
                </c:pt>
                <c:pt idx="2">
                  <c:v>0.0540205839358382</c:v>
                </c:pt>
                <c:pt idx="3">
                  <c:v>0.134005708848716</c:v>
                </c:pt>
                <c:pt idx="4">
                  <c:v>0.256352255807028</c:v>
                </c:pt>
                <c:pt idx="5">
                  <c:v>0.31555333998006</c:v>
                </c:pt>
                <c:pt idx="6">
                  <c:v>0.409275989311617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8321695"/>
        <c:axId val="640525215"/>
      </c:lineChart>
      <c:catAx>
        <c:axId val="2078321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525215"/>
        <c:crosses val="autoZero"/>
        <c:auto val="1"/>
        <c:lblAlgn val="ctr"/>
        <c:lblOffset val="100"/>
        <c:noMultiLvlLbl val="0"/>
      </c:catAx>
      <c:valAx>
        <c:axId val="640525215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832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463f1a-3171-42ef-aa03-0cade467d2e3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826391076115486"/>
          <c:y val="0.119185622630505"/>
          <c:w val="0.841666229221347"/>
          <c:h val="0.6898374161563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'新能源汽车销量汇总-中汽协乘联会'!$C$56</c:f>
              <c:strCache>
                <c:ptCount val="1"/>
                <c:pt idx="0">
                  <c:v>新能源汽车销量（万辆）</c:v>
                </c:pt>
              </c:strCache>
            </c:strRef>
          </c:tx>
          <c:spPr>
            <a:solidFill>
              <a:srgbClr val="5E76AA"/>
            </a:solidFill>
          </c:spPr>
          <c:invertIfNegative val="0"/>
          <c:dLbls>
            <c:delete val="1"/>
          </c:dLbls>
          <c:cat>
            <c:numRef>
              <c:f>'新能源汽车销量汇总-中汽协乘联会'!$A$57:$A$131</c:f>
              <c:numCache>
                <c:formatCode>yyyy/mm;@</c:formatCode>
                <c:ptCount val="75"/>
                <c:pt idx="0" c:formatCode="yyyy/mm;@">
                  <c:v>43496</c:v>
                </c:pt>
                <c:pt idx="1" c:formatCode="yyyy/mm;@">
                  <c:v>43524</c:v>
                </c:pt>
                <c:pt idx="2" c:formatCode="yyyy/mm;@">
                  <c:v>43555</c:v>
                </c:pt>
                <c:pt idx="3" c:formatCode="yyyy/mm;@">
                  <c:v>43585</c:v>
                </c:pt>
                <c:pt idx="4" c:formatCode="yyyy/mm;@">
                  <c:v>43616</c:v>
                </c:pt>
                <c:pt idx="5" c:formatCode="yyyy/mm;@">
                  <c:v>43646</c:v>
                </c:pt>
                <c:pt idx="6" c:formatCode="yyyy/mm;@">
                  <c:v>43677</c:v>
                </c:pt>
                <c:pt idx="7" c:formatCode="yyyy/mm;@">
                  <c:v>43708</c:v>
                </c:pt>
                <c:pt idx="8" c:formatCode="yyyy/mm;@">
                  <c:v>43738</c:v>
                </c:pt>
                <c:pt idx="9" c:formatCode="yyyy/mm;@">
                  <c:v>43769</c:v>
                </c:pt>
                <c:pt idx="10" c:formatCode="yyyy/mm;@">
                  <c:v>43799</c:v>
                </c:pt>
                <c:pt idx="11" c:formatCode="yyyy/mm;@">
                  <c:v>43830</c:v>
                </c:pt>
                <c:pt idx="12" c:formatCode="yyyy/mm;@">
                  <c:v>43861</c:v>
                </c:pt>
                <c:pt idx="13" c:formatCode="yyyy/mm;@">
                  <c:v>43890</c:v>
                </c:pt>
                <c:pt idx="14" c:formatCode="yyyy/mm;@">
                  <c:v>43921</c:v>
                </c:pt>
                <c:pt idx="15" c:formatCode="yyyy/mm;@">
                  <c:v>43951</c:v>
                </c:pt>
                <c:pt idx="16" c:formatCode="yyyy/mm;@">
                  <c:v>43982</c:v>
                </c:pt>
                <c:pt idx="17" c:formatCode="yyyy/mm;@">
                  <c:v>44012</c:v>
                </c:pt>
                <c:pt idx="18" c:formatCode="yyyy/mm;@">
                  <c:v>44043</c:v>
                </c:pt>
                <c:pt idx="19" c:formatCode="yyyy/mm;@">
                  <c:v>44074</c:v>
                </c:pt>
                <c:pt idx="20" c:formatCode="yyyy/mm;@">
                  <c:v>44104</c:v>
                </c:pt>
                <c:pt idx="21" c:formatCode="yyyy/mm;@">
                  <c:v>44135</c:v>
                </c:pt>
                <c:pt idx="22" c:formatCode="yyyy/mm;@">
                  <c:v>44165</c:v>
                </c:pt>
                <c:pt idx="23" c:formatCode="yyyy/mm;@">
                  <c:v>44196</c:v>
                </c:pt>
                <c:pt idx="24" c:formatCode="yyyy/mm;@">
                  <c:v>44227</c:v>
                </c:pt>
                <c:pt idx="25" c:formatCode="yyyy/mm;@">
                  <c:v>44255</c:v>
                </c:pt>
                <c:pt idx="26" c:formatCode="yyyy/mm;@">
                  <c:v>44286</c:v>
                </c:pt>
                <c:pt idx="27" c:formatCode="yyyy/mm;@">
                  <c:v>44316</c:v>
                </c:pt>
                <c:pt idx="28" c:formatCode="yyyy/mm;@">
                  <c:v>44347</c:v>
                </c:pt>
                <c:pt idx="29" c:formatCode="yyyy/mm;@">
                  <c:v>44377</c:v>
                </c:pt>
                <c:pt idx="30" c:formatCode="yyyy/mm;@">
                  <c:v>44408</c:v>
                </c:pt>
                <c:pt idx="31" c:formatCode="yyyy/mm;@">
                  <c:v>44439</c:v>
                </c:pt>
                <c:pt idx="32" c:formatCode="yyyy/mm;@">
                  <c:v>44469</c:v>
                </c:pt>
                <c:pt idx="33" c:formatCode="yyyy/mm;@">
                  <c:v>44500</c:v>
                </c:pt>
                <c:pt idx="34" c:formatCode="yyyy/mm;@">
                  <c:v>44530</c:v>
                </c:pt>
                <c:pt idx="35" c:formatCode="yyyy/mm;@">
                  <c:v>44561</c:v>
                </c:pt>
                <c:pt idx="36" c:formatCode="yyyy/mm;@">
                  <c:v>44562</c:v>
                </c:pt>
                <c:pt idx="37" c:formatCode="yyyy/mm;@">
                  <c:v>44593</c:v>
                </c:pt>
                <c:pt idx="38" c:formatCode="yyyy/mm;@">
                  <c:v>44621</c:v>
                </c:pt>
                <c:pt idx="39" c:formatCode="yyyy/mm;@">
                  <c:v>44652</c:v>
                </c:pt>
                <c:pt idx="40" c:formatCode="yyyy/mm;@">
                  <c:v>44682</c:v>
                </c:pt>
                <c:pt idx="41" c:formatCode="yyyy/mm;@">
                  <c:v>44713</c:v>
                </c:pt>
                <c:pt idx="42" c:formatCode="yyyy/mm;@">
                  <c:v>44743</c:v>
                </c:pt>
                <c:pt idx="43" c:formatCode="yyyy/mm;@">
                  <c:v>44774</c:v>
                </c:pt>
                <c:pt idx="44" c:formatCode="yyyy/mm;@">
                  <c:v>44805</c:v>
                </c:pt>
                <c:pt idx="45" c:formatCode="yyyy/mm;@">
                  <c:v>44835</c:v>
                </c:pt>
                <c:pt idx="46" c:formatCode="yyyy/mm;@">
                  <c:v>44866</c:v>
                </c:pt>
                <c:pt idx="47" c:formatCode="yyyy/mm;@">
                  <c:v>44896</c:v>
                </c:pt>
                <c:pt idx="48" c:formatCode="yyyy/mm;@">
                  <c:v>44927</c:v>
                </c:pt>
                <c:pt idx="49" c:formatCode="yyyy/mm;@">
                  <c:v>44958</c:v>
                </c:pt>
                <c:pt idx="50" c:formatCode="yyyy/mm;@">
                  <c:v>44986</c:v>
                </c:pt>
                <c:pt idx="51" c:formatCode="yyyy/mm;@">
                  <c:v>45017</c:v>
                </c:pt>
                <c:pt idx="52" c:formatCode="yyyy/mm;@">
                  <c:v>45047</c:v>
                </c:pt>
                <c:pt idx="53" c:formatCode="yyyy/mm;@">
                  <c:v>45078</c:v>
                </c:pt>
                <c:pt idx="54" c:formatCode="yyyy/mm;@">
                  <c:v>45108</c:v>
                </c:pt>
                <c:pt idx="55" c:formatCode="yyyy/mm;@">
                  <c:v>45139</c:v>
                </c:pt>
                <c:pt idx="56" c:formatCode="yyyy/mm;@">
                  <c:v>45170</c:v>
                </c:pt>
                <c:pt idx="57" c:formatCode="yyyy/mm;@">
                  <c:v>45200</c:v>
                </c:pt>
                <c:pt idx="58" c:formatCode="yyyy/mm;@">
                  <c:v>45231</c:v>
                </c:pt>
                <c:pt idx="59" c:formatCode="yyyy/mm;@">
                  <c:v>45261</c:v>
                </c:pt>
                <c:pt idx="60" c:formatCode="yyyy/mm;@">
                  <c:v>45292</c:v>
                </c:pt>
                <c:pt idx="61" c:formatCode="yyyy/mm;@">
                  <c:v>45323</c:v>
                </c:pt>
                <c:pt idx="62" c:formatCode="yyyy/mm;@">
                  <c:v>45352</c:v>
                </c:pt>
                <c:pt idx="63" c:formatCode="yyyy/mm;@">
                  <c:v>45383</c:v>
                </c:pt>
                <c:pt idx="64" c:formatCode="yyyy/mm;@">
                  <c:v>45414</c:v>
                </c:pt>
                <c:pt idx="65" c:formatCode="yyyy/mm;@">
                  <c:v>45444</c:v>
                </c:pt>
                <c:pt idx="66" c:formatCode="yyyy/mm;@">
                  <c:v>45474</c:v>
                </c:pt>
                <c:pt idx="67" c:formatCode="yyyy/mm;@">
                  <c:v>45505</c:v>
                </c:pt>
                <c:pt idx="68" c:formatCode="yyyy/mm;@">
                  <c:v>45536</c:v>
                </c:pt>
                <c:pt idx="69" c:formatCode="yyyy/mm;@">
                  <c:v>45566</c:v>
                </c:pt>
                <c:pt idx="70" c:formatCode="yyyy/mm;@">
                  <c:v>45597</c:v>
                </c:pt>
                <c:pt idx="71" c:formatCode="yyyy/mm;@">
                  <c:v>45627</c:v>
                </c:pt>
                <c:pt idx="72" c:formatCode="yyyy/mm;@">
                  <c:v>45658</c:v>
                </c:pt>
                <c:pt idx="73" c:formatCode="yyyy/mm;@">
                  <c:v>45689</c:v>
                </c:pt>
                <c:pt idx="74" c:formatCode="yyyy/mm;@">
                  <c:v>45717</c:v>
                </c:pt>
              </c:numCache>
            </c:numRef>
          </c:cat>
          <c:val>
            <c:numRef>
              <c:f>'新能源汽车销量汇总-中汽协乘联会'!$C$57:$C$131</c:f>
              <c:numCache>
                <c:formatCode>#,##0.00_ </c:formatCode>
                <c:ptCount val="75"/>
                <c:pt idx="0">
                  <c:v>9.5696</c:v>
                </c:pt>
                <c:pt idx="1" c:formatCode="0.00_ ">
                  <c:v>5.2867</c:v>
                </c:pt>
                <c:pt idx="2" c:formatCode="0.00_ ">
                  <c:v>12.5631</c:v>
                </c:pt>
                <c:pt idx="3" c:formatCode="0.00_ ">
                  <c:v>9.6771</c:v>
                </c:pt>
                <c:pt idx="4" c:formatCode="0.00_ ">
                  <c:v>10.4422</c:v>
                </c:pt>
                <c:pt idx="5" c:formatCode="0.00_ ">
                  <c:v>15.2062</c:v>
                </c:pt>
                <c:pt idx="6" c:formatCode="0.00_ ">
                  <c:v>7.9784</c:v>
                </c:pt>
                <c:pt idx="7" c:formatCode="0.00_ ">
                  <c:v>8.5255</c:v>
                </c:pt>
                <c:pt idx="8" c:formatCode="0.00_ ">
                  <c:v>7.9755</c:v>
                </c:pt>
                <c:pt idx="9" c:formatCode="0.00_ ">
                  <c:v>7.5058</c:v>
                </c:pt>
                <c:pt idx="10" c:formatCode="0.00_ ">
                  <c:v>9.5375</c:v>
                </c:pt>
                <c:pt idx="11" c:formatCode="0.00_ ">
                  <c:v>16.3448</c:v>
                </c:pt>
                <c:pt idx="12" c:formatCode="0.00_ ">
                  <c:v>4.6373</c:v>
                </c:pt>
                <c:pt idx="13" c:formatCode="0.00_ ">
                  <c:v>1.2908</c:v>
                </c:pt>
                <c:pt idx="14" c:formatCode="0.00_ ">
                  <c:v>5.2873</c:v>
                </c:pt>
                <c:pt idx="15" c:formatCode="0.00_ ">
                  <c:v>7.195</c:v>
                </c:pt>
                <c:pt idx="16" c:formatCode="0.00_ ">
                  <c:v>8.1665</c:v>
                </c:pt>
                <c:pt idx="17" c:formatCode="0.00_ ">
                  <c:v>10.3565</c:v>
                </c:pt>
                <c:pt idx="18" c:formatCode="0.00_ ">
                  <c:v>9.7854</c:v>
                </c:pt>
                <c:pt idx="19" c:formatCode="0.00_ ">
                  <c:v>10.9318</c:v>
                </c:pt>
                <c:pt idx="20" c:formatCode="0.00_ ">
                  <c:v>13.7941</c:v>
                </c:pt>
                <c:pt idx="21" c:formatCode="0.00_ ">
                  <c:v>16.0185</c:v>
                </c:pt>
                <c:pt idx="22" c:formatCode="0.00_ ">
                  <c:v>20.0143</c:v>
                </c:pt>
                <c:pt idx="23" c:formatCode="0.00_ ">
                  <c:v>24.8171</c:v>
                </c:pt>
                <c:pt idx="24" c:formatCode="0.00_ ">
                  <c:v>17.9176</c:v>
                </c:pt>
                <c:pt idx="25" c:formatCode="0.00_ ">
                  <c:v>10.9634</c:v>
                </c:pt>
                <c:pt idx="26" c:formatCode="0.00_ ">
                  <c:v>22.5801</c:v>
                </c:pt>
                <c:pt idx="27" c:formatCode="0.00_ ">
                  <c:v>20.6206</c:v>
                </c:pt>
                <c:pt idx="28" c:formatCode="0.00_ ">
                  <c:v>21.7386</c:v>
                </c:pt>
                <c:pt idx="29" c:formatCode="0.00_ ">
                  <c:v>25.5747</c:v>
                </c:pt>
                <c:pt idx="30" c:formatCode="0.00_ ">
                  <c:v>27.0576</c:v>
                </c:pt>
                <c:pt idx="31" c:formatCode="0.00_ ">
                  <c:v>32.0974</c:v>
                </c:pt>
                <c:pt idx="32" c:formatCode="0.00_ ">
                  <c:v>35.7474</c:v>
                </c:pt>
                <c:pt idx="33" c:formatCode="0.00_ ">
                  <c:v>38.3418</c:v>
                </c:pt>
                <c:pt idx="34" c:formatCode="0.00_ ">
                  <c:v>44.9858</c:v>
                </c:pt>
                <c:pt idx="35" c:formatCode="0.00_ ">
                  <c:v>53.0939</c:v>
                </c:pt>
                <c:pt idx="36" c:formatCode="0.00_ ">
                  <c:v>43.1436</c:v>
                </c:pt>
                <c:pt idx="37" c:formatCode="0.00_ ">
                  <c:v>33.3731</c:v>
                </c:pt>
                <c:pt idx="38" c:formatCode="0.00_ ">
                  <c:v>48.4299</c:v>
                </c:pt>
                <c:pt idx="39" c:formatCode="0.00_ ">
                  <c:v>29.8868</c:v>
                </c:pt>
                <c:pt idx="40" c:formatCode="0.00_ ">
                  <c:v>44.7174</c:v>
                </c:pt>
                <c:pt idx="41" c:formatCode="0.00_ ">
                  <c:v>59.6439</c:v>
                </c:pt>
                <c:pt idx="42" c:formatCode="0.00_ ">
                  <c:v>59.2887</c:v>
                </c:pt>
                <c:pt idx="43" c:formatCode="0.00_ ">
                  <c:v>66.6191</c:v>
                </c:pt>
                <c:pt idx="44" c:formatCode="0.00_ ">
                  <c:v>70.7529</c:v>
                </c:pt>
                <c:pt idx="45" c:formatCode="0.00_ ">
                  <c:v>71.3601</c:v>
                </c:pt>
                <c:pt idx="46" c:formatCode="0.00_ ">
                  <c:v>78.6285</c:v>
                </c:pt>
                <c:pt idx="47" c:formatCode="0.00_ ">
                  <c:v>81.3842</c:v>
                </c:pt>
                <c:pt idx="48" c:formatCode="0.00_ ">
                  <c:v>40.7845</c:v>
                </c:pt>
                <c:pt idx="49" c:formatCode="0.00_ ">
                  <c:v>52.4897</c:v>
                </c:pt>
                <c:pt idx="50" c:formatCode="0.00_ ">
                  <c:v>65.2699</c:v>
                </c:pt>
                <c:pt idx="51" c:formatCode="0.00_ ">
                  <c:v>63.6463</c:v>
                </c:pt>
                <c:pt idx="52" c:formatCode="0.00_ ">
                  <c:v>71.7</c:v>
                </c:pt>
                <c:pt idx="53" c:formatCode="0.00_ ">
                  <c:v>80.6</c:v>
                </c:pt>
                <c:pt idx="54" c:formatCode="0.00_ ">
                  <c:v>78</c:v>
                </c:pt>
                <c:pt idx="55" c:formatCode="0.00_ ">
                  <c:v>84.6</c:v>
                </c:pt>
                <c:pt idx="56" c:formatCode="0.00_ ">
                  <c:v>90.4</c:v>
                </c:pt>
                <c:pt idx="57" c:formatCode="0.00_ ">
                  <c:v>95.6</c:v>
                </c:pt>
                <c:pt idx="58" c:formatCode="0.00_ ">
                  <c:v>102.6</c:v>
                </c:pt>
                <c:pt idx="59" c:formatCode="0.00_ ">
                  <c:v>119.1</c:v>
                </c:pt>
                <c:pt idx="60" c:formatCode="0.00_ ">
                  <c:v>72.9</c:v>
                </c:pt>
                <c:pt idx="61" c:formatCode="0.00_ ">
                  <c:v>47.7</c:v>
                </c:pt>
                <c:pt idx="62" c:formatCode="0.00_ ">
                  <c:v>88.3</c:v>
                </c:pt>
                <c:pt idx="63" c:formatCode="0.00_ ">
                  <c:v>85</c:v>
                </c:pt>
                <c:pt idx="64" c:formatCode="0.00_ ">
                  <c:v>95.5</c:v>
                </c:pt>
                <c:pt idx="65" c:formatCode="0.00_ ">
                  <c:v>104.9</c:v>
                </c:pt>
                <c:pt idx="66" c:formatCode="0.00_ ">
                  <c:v>99.1</c:v>
                </c:pt>
                <c:pt idx="67" c:formatCode="0.00_ ">
                  <c:v>110</c:v>
                </c:pt>
                <c:pt idx="68" c:formatCode="0.00_ ">
                  <c:v>128.7</c:v>
                </c:pt>
                <c:pt idx="69" c:formatCode="0.00_ ">
                  <c:v>143</c:v>
                </c:pt>
                <c:pt idx="70" c:formatCode="0.00_ ">
                  <c:v>151.2</c:v>
                </c:pt>
                <c:pt idx="71" c:formatCode="0.00_ ">
                  <c:v>159.6</c:v>
                </c:pt>
                <c:pt idx="72" c:formatCode="0.00_ ">
                  <c:v>94.4</c:v>
                </c:pt>
                <c:pt idx="73" c:formatCode="0.00_ ">
                  <c:v>89.2</c:v>
                </c:pt>
                <c:pt idx="74" c:formatCode="General">
                  <c:v>123.7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06901024"/>
        <c:axId val="1"/>
      </c:barChart>
      <c:lineChart>
        <c:grouping val="standard"/>
        <c:varyColors val="0"/>
        <c:ser>
          <c:idx val="1"/>
          <c:order val="1"/>
          <c:tx>
            <c:strRef>
              <c:f>'新能源汽车销量汇总-中汽协乘联会'!$D$56</c:f>
              <c:strCache>
                <c:ptCount val="1"/>
                <c:pt idx="0">
                  <c:v>渗透率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6350" cap="flat" cmpd="sng" algn="ctr">
                <a:solidFill>
                  <a:srgbClr val="C00000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'新能源汽车销量汇总-中汽协乘联会'!$A$57:$A$130</c:f>
              <c:numCache>
                <c:formatCode>yyyy/mm;@</c:formatCode>
                <c:ptCount val="74"/>
                <c:pt idx="0" c:formatCode="yyyy/mm;@">
                  <c:v>43496</c:v>
                </c:pt>
                <c:pt idx="1" c:formatCode="yyyy/mm;@">
                  <c:v>43524</c:v>
                </c:pt>
                <c:pt idx="2" c:formatCode="yyyy/mm;@">
                  <c:v>43555</c:v>
                </c:pt>
                <c:pt idx="3" c:formatCode="yyyy/mm;@">
                  <c:v>43585</c:v>
                </c:pt>
                <c:pt idx="4" c:formatCode="yyyy/mm;@">
                  <c:v>43616</c:v>
                </c:pt>
                <c:pt idx="5" c:formatCode="yyyy/mm;@">
                  <c:v>43646</c:v>
                </c:pt>
                <c:pt idx="6" c:formatCode="yyyy/mm;@">
                  <c:v>43677</c:v>
                </c:pt>
                <c:pt idx="7" c:formatCode="yyyy/mm;@">
                  <c:v>43708</c:v>
                </c:pt>
                <c:pt idx="8" c:formatCode="yyyy/mm;@">
                  <c:v>43738</c:v>
                </c:pt>
                <c:pt idx="9" c:formatCode="yyyy/mm;@">
                  <c:v>43769</c:v>
                </c:pt>
                <c:pt idx="10" c:formatCode="yyyy/mm;@">
                  <c:v>43799</c:v>
                </c:pt>
                <c:pt idx="11" c:formatCode="yyyy/mm;@">
                  <c:v>43830</c:v>
                </c:pt>
                <c:pt idx="12" c:formatCode="yyyy/mm;@">
                  <c:v>43861</c:v>
                </c:pt>
                <c:pt idx="13" c:formatCode="yyyy/mm;@">
                  <c:v>43890</c:v>
                </c:pt>
                <c:pt idx="14" c:formatCode="yyyy/mm;@">
                  <c:v>43921</c:v>
                </c:pt>
                <c:pt idx="15" c:formatCode="yyyy/mm;@">
                  <c:v>43951</c:v>
                </c:pt>
                <c:pt idx="16" c:formatCode="yyyy/mm;@">
                  <c:v>43982</c:v>
                </c:pt>
                <c:pt idx="17" c:formatCode="yyyy/mm;@">
                  <c:v>44012</c:v>
                </c:pt>
                <c:pt idx="18" c:formatCode="yyyy/mm;@">
                  <c:v>44043</c:v>
                </c:pt>
                <c:pt idx="19" c:formatCode="yyyy/mm;@">
                  <c:v>44074</c:v>
                </c:pt>
                <c:pt idx="20" c:formatCode="yyyy/mm;@">
                  <c:v>44104</c:v>
                </c:pt>
                <c:pt idx="21" c:formatCode="yyyy/mm;@">
                  <c:v>44135</c:v>
                </c:pt>
                <c:pt idx="22" c:formatCode="yyyy/mm;@">
                  <c:v>44165</c:v>
                </c:pt>
                <c:pt idx="23" c:formatCode="yyyy/mm;@">
                  <c:v>44196</c:v>
                </c:pt>
                <c:pt idx="24" c:formatCode="yyyy/mm;@">
                  <c:v>44227</c:v>
                </c:pt>
                <c:pt idx="25" c:formatCode="yyyy/mm;@">
                  <c:v>44255</c:v>
                </c:pt>
                <c:pt idx="26" c:formatCode="yyyy/mm;@">
                  <c:v>44286</c:v>
                </c:pt>
                <c:pt idx="27" c:formatCode="yyyy/mm;@">
                  <c:v>44316</c:v>
                </c:pt>
                <c:pt idx="28" c:formatCode="yyyy/mm;@">
                  <c:v>44347</c:v>
                </c:pt>
                <c:pt idx="29" c:formatCode="yyyy/mm;@">
                  <c:v>44377</c:v>
                </c:pt>
                <c:pt idx="30" c:formatCode="yyyy/mm;@">
                  <c:v>44408</c:v>
                </c:pt>
                <c:pt idx="31" c:formatCode="yyyy/mm;@">
                  <c:v>44439</c:v>
                </c:pt>
                <c:pt idx="32" c:formatCode="yyyy/mm;@">
                  <c:v>44469</c:v>
                </c:pt>
                <c:pt idx="33" c:formatCode="yyyy/mm;@">
                  <c:v>44500</c:v>
                </c:pt>
                <c:pt idx="34" c:formatCode="yyyy/mm;@">
                  <c:v>44530</c:v>
                </c:pt>
                <c:pt idx="35" c:formatCode="yyyy/mm;@">
                  <c:v>44561</c:v>
                </c:pt>
                <c:pt idx="36" c:formatCode="yyyy/mm;@">
                  <c:v>44562</c:v>
                </c:pt>
                <c:pt idx="37" c:formatCode="yyyy/mm;@">
                  <c:v>44593</c:v>
                </c:pt>
                <c:pt idx="38" c:formatCode="yyyy/mm;@">
                  <c:v>44621</c:v>
                </c:pt>
                <c:pt idx="39" c:formatCode="yyyy/mm;@">
                  <c:v>44652</c:v>
                </c:pt>
                <c:pt idx="40" c:formatCode="yyyy/mm;@">
                  <c:v>44682</c:v>
                </c:pt>
                <c:pt idx="41" c:formatCode="yyyy/mm;@">
                  <c:v>44713</c:v>
                </c:pt>
                <c:pt idx="42" c:formatCode="yyyy/mm;@">
                  <c:v>44743</c:v>
                </c:pt>
                <c:pt idx="43" c:formatCode="yyyy/mm;@">
                  <c:v>44774</c:v>
                </c:pt>
                <c:pt idx="44" c:formatCode="yyyy/mm;@">
                  <c:v>44805</c:v>
                </c:pt>
                <c:pt idx="45" c:formatCode="yyyy/mm;@">
                  <c:v>44835</c:v>
                </c:pt>
                <c:pt idx="46" c:formatCode="yyyy/mm;@">
                  <c:v>44866</c:v>
                </c:pt>
                <c:pt idx="47" c:formatCode="yyyy/mm;@">
                  <c:v>44896</c:v>
                </c:pt>
                <c:pt idx="48" c:formatCode="yyyy/mm;@">
                  <c:v>44927</c:v>
                </c:pt>
                <c:pt idx="49" c:formatCode="yyyy/mm;@">
                  <c:v>44958</c:v>
                </c:pt>
                <c:pt idx="50" c:formatCode="yyyy/mm;@">
                  <c:v>44986</c:v>
                </c:pt>
                <c:pt idx="51" c:formatCode="yyyy/mm;@">
                  <c:v>45017</c:v>
                </c:pt>
                <c:pt idx="52" c:formatCode="yyyy/mm;@">
                  <c:v>45047</c:v>
                </c:pt>
                <c:pt idx="53" c:formatCode="yyyy/mm;@">
                  <c:v>45078</c:v>
                </c:pt>
                <c:pt idx="54" c:formatCode="yyyy/mm;@">
                  <c:v>45108</c:v>
                </c:pt>
                <c:pt idx="55" c:formatCode="yyyy/mm;@">
                  <c:v>45139</c:v>
                </c:pt>
                <c:pt idx="56" c:formatCode="yyyy/mm;@">
                  <c:v>45170</c:v>
                </c:pt>
                <c:pt idx="57" c:formatCode="yyyy/mm;@">
                  <c:v>45200</c:v>
                </c:pt>
                <c:pt idx="58" c:formatCode="yyyy/mm;@">
                  <c:v>45231</c:v>
                </c:pt>
                <c:pt idx="59" c:formatCode="yyyy/mm;@">
                  <c:v>45261</c:v>
                </c:pt>
                <c:pt idx="60" c:formatCode="yyyy/mm;@">
                  <c:v>45292</c:v>
                </c:pt>
                <c:pt idx="61" c:formatCode="yyyy/mm;@">
                  <c:v>45323</c:v>
                </c:pt>
                <c:pt idx="62" c:formatCode="yyyy/mm;@">
                  <c:v>45352</c:v>
                </c:pt>
                <c:pt idx="63" c:formatCode="yyyy/mm;@">
                  <c:v>45383</c:v>
                </c:pt>
                <c:pt idx="64" c:formatCode="yyyy/mm;@">
                  <c:v>45414</c:v>
                </c:pt>
                <c:pt idx="65" c:formatCode="yyyy/mm;@">
                  <c:v>45444</c:v>
                </c:pt>
                <c:pt idx="66" c:formatCode="yyyy/mm;@">
                  <c:v>45474</c:v>
                </c:pt>
                <c:pt idx="67" c:formatCode="yyyy/mm;@">
                  <c:v>45505</c:v>
                </c:pt>
                <c:pt idx="68" c:formatCode="yyyy/mm;@">
                  <c:v>45536</c:v>
                </c:pt>
                <c:pt idx="69" c:formatCode="yyyy/mm;@">
                  <c:v>45566</c:v>
                </c:pt>
                <c:pt idx="70" c:formatCode="yyyy/mm;@">
                  <c:v>45597</c:v>
                </c:pt>
                <c:pt idx="71" c:formatCode="yyyy/mm;@">
                  <c:v>45627</c:v>
                </c:pt>
                <c:pt idx="72" c:formatCode="yyyy/mm;@">
                  <c:v>45658</c:v>
                </c:pt>
                <c:pt idx="73" c:formatCode="yyyy/mm;@">
                  <c:v>45689</c:v>
                </c:pt>
              </c:numCache>
            </c:numRef>
          </c:cat>
          <c:val>
            <c:numRef>
              <c:f>'新能源汽车销量汇总-中汽协乘联会'!$D$57:$D$130</c:f>
              <c:numCache>
                <c:formatCode>0.00%</c:formatCode>
                <c:ptCount val="74"/>
                <c:pt idx="0">
                  <c:v>0.0404244875337835</c:v>
                </c:pt>
                <c:pt idx="1">
                  <c:v>0.0356823222430855</c:v>
                </c:pt>
                <c:pt idx="2">
                  <c:v>0.0498533142487757</c:v>
                </c:pt>
                <c:pt idx="3">
                  <c:v>0.0488619775743159</c:v>
                </c:pt>
                <c:pt idx="4">
                  <c:v>0.0545978829477691</c:v>
                </c:pt>
                <c:pt idx="5">
                  <c:v>0.0739440763336358</c:v>
                </c:pt>
                <c:pt idx="6">
                  <c:v>0.0441168013660151</c:v>
                </c:pt>
                <c:pt idx="7">
                  <c:v>0.0435513993865871</c:v>
                </c:pt>
                <c:pt idx="8">
                  <c:v>0.0351238086178514</c:v>
                </c:pt>
                <c:pt idx="9">
                  <c:v>0.0328600760889076</c:v>
                </c:pt>
                <c:pt idx="10">
                  <c:v>0.0388195755672135</c:v>
                </c:pt>
                <c:pt idx="11">
                  <c:v>0.0614857732706468</c:v>
                </c:pt>
                <c:pt idx="12">
                  <c:v>0.0240623577924669</c:v>
                </c:pt>
                <c:pt idx="13">
                  <c:v>0.0416465016035258</c:v>
                </c:pt>
                <c:pt idx="14">
                  <c:v>0.0369685159664582</c:v>
                </c:pt>
                <c:pt idx="15">
                  <c:v>0.0347590921958954</c:v>
                </c:pt>
                <c:pt idx="16">
                  <c:v>0.0372290958159721</c:v>
                </c:pt>
                <c:pt idx="17">
                  <c:v>0.045034213217747</c:v>
                </c:pt>
                <c:pt idx="18">
                  <c:v>0.0463367084903279</c:v>
                </c:pt>
                <c:pt idx="19">
                  <c:v>0.0500125353873069</c:v>
                </c:pt>
                <c:pt idx="20">
                  <c:v>0.0537739537759419</c:v>
                </c:pt>
                <c:pt idx="21">
                  <c:v>0.0622506050765809</c:v>
                </c:pt>
                <c:pt idx="22">
                  <c:v>0.0722625038542553</c:v>
                </c:pt>
                <c:pt idx="23">
                  <c:v>0.0876543711335473</c:v>
                </c:pt>
                <c:pt idx="24">
                  <c:v>0.0715796942114952</c:v>
                </c:pt>
                <c:pt idx="25">
                  <c:v>0.0753598761621824</c:v>
                </c:pt>
                <c:pt idx="26">
                  <c:v>0.0894016726511676</c:v>
                </c:pt>
                <c:pt idx="27">
                  <c:v>0.0915741773662932</c:v>
                </c:pt>
                <c:pt idx="28">
                  <c:v>0.10216847039626</c:v>
                </c:pt>
                <c:pt idx="29">
                  <c:v>0.126902127663797</c:v>
                </c:pt>
                <c:pt idx="30">
                  <c:v>0.145193850446728</c:v>
                </c:pt>
                <c:pt idx="31">
                  <c:v>0.178433780417502</c:v>
                </c:pt>
                <c:pt idx="32">
                  <c:v>0.172935113412565</c:v>
                </c:pt>
                <c:pt idx="33">
                  <c:v>0.164359497445346</c:v>
                </c:pt>
                <c:pt idx="34">
                  <c:v>0.17840244512294</c:v>
                </c:pt>
                <c:pt idx="35">
                  <c:v>0.190579550439029</c:v>
                </c:pt>
                <c:pt idx="36">
                  <c:v>0.170488709325594</c:v>
                </c:pt>
                <c:pt idx="37">
                  <c:v>0.192097618199285</c:v>
                </c:pt>
                <c:pt idx="38">
                  <c:v>0.21679412617865</c:v>
                </c:pt>
                <c:pt idx="39">
                  <c:v>0.253084292274641</c:v>
                </c:pt>
                <c:pt idx="40">
                  <c:v>0.240161119241665</c:v>
                </c:pt>
                <c:pt idx="41">
                  <c:v>0.238356978978881</c:v>
                </c:pt>
                <c:pt idx="42">
                  <c:v>0.24498875646782</c:v>
                </c:pt>
                <c:pt idx="43">
                  <c:v>0.279518275505863</c:v>
                </c:pt>
                <c:pt idx="44">
                  <c:v>0.271050156589697</c:v>
                </c:pt>
                <c:pt idx="45">
                  <c:v>0.284906712745685</c:v>
                </c:pt>
                <c:pt idx="46">
                  <c:v>0.337791771436525</c:v>
                </c:pt>
                <c:pt idx="47">
                  <c:v>0.318374145817066</c:v>
                </c:pt>
                <c:pt idx="48">
                  <c:v>0.247333783716584</c:v>
                </c:pt>
                <c:pt idx="49">
                  <c:v>0.265612879034376</c:v>
                </c:pt>
                <c:pt idx="50">
                  <c:v>0.266295802172964</c:v>
                </c:pt>
                <c:pt idx="51">
                  <c:v>0.294835697714925</c:v>
                </c:pt>
                <c:pt idx="52">
                  <c:v>0.301007556675063</c:v>
                </c:pt>
                <c:pt idx="53">
                  <c:v>0.307398932112891</c:v>
                </c:pt>
                <c:pt idx="54">
                  <c:v>0.326770004189359</c:v>
                </c:pt>
                <c:pt idx="55">
                  <c:v>0.327652982184353</c:v>
                </c:pt>
                <c:pt idx="56">
                  <c:v>0.316083916083916</c:v>
                </c:pt>
                <c:pt idx="57">
                  <c:v>0.335085874518051</c:v>
                </c:pt>
                <c:pt idx="58">
                  <c:v>0.345454545454545</c:v>
                </c:pt>
                <c:pt idx="59">
                  <c:v>0.377376425855513</c:v>
                </c:pt>
                <c:pt idx="60">
                  <c:v>0.298892988929889</c:v>
                </c:pt>
                <c:pt idx="61">
                  <c:v>0.301136363636364</c:v>
                </c:pt>
                <c:pt idx="62">
                  <c:v>0.327765404602821</c:v>
                </c:pt>
                <c:pt idx="63">
                  <c:v>0.360322170411191</c:v>
                </c:pt>
                <c:pt idx="64">
                  <c:v>0.395117914770376</c:v>
                </c:pt>
                <c:pt idx="65">
                  <c:v>0.411050156739812</c:v>
                </c:pt>
                <c:pt idx="66">
                  <c:v>0.438107869142352</c:v>
                </c:pt>
                <c:pt idx="67">
                  <c:v>0.448430493273543</c:v>
                </c:pt>
                <c:pt idx="68">
                  <c:v>0.458170167319331</c:v>
                </c:pt>
                <c:pt idx="69">
                  <c:v>0.46839174582378</c:v>
                </c:pt>
                <c:pt idx="70">
                  <c:v>0.455971049457177</c:v>
                </c:pt>
                <c:pt idx="71">
                  <c:v>0.45743766122098</c:v>
                </c:pt>
                <c:pt idx="72">
                  <c:v>0.389599669830788</c:v>
                </c:pt>
                <c:pt idx="73">
                  <c:v>0.418976045091592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775168"/>
        <c:axId val="991682832"/>
      </c:lineChart>
      <c:dateAx>
        <c:axId val="10069010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200" b="0" i="0" u="none" strike="noStrike" kern="1200" baseline="0">
                    <a:solidFill>
                      <a:srgbClr val="000000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 altLang="en-US" sz="1200"/>
                  <a:t>万辆</a:t>
                </a:r>
                <a:endParaRPr lang="zh-CN" altLang="en-US" sz="1200"/>
              </a:p>
            </c:rich>
          </c:tx>
          <c:layout>
            <c:manualLayout>
              <c:xMode val="edge"/>
              <c:yMode val="edge"/>
              <c:x val="0.005583552055993"/>
              <c:y val="0.0199074074074074"/>
            </c:manualLayout>
          </c:layout>
          <c:overlay val="0"/>
        </c:title>
        <c:numFmt formatCode="yyyy/mm;@" sourceLinked="1"/>
        <c:majorTickMark val="out"/>
        <c:minorTickMark val="none"/>
        <c:tickLblPos val="nextTo"/>
        <c:spPr>
          <a:ln w="9525" cap="flat" cmpd="sng" algn="ctr">
            <a:solidFill>
              <a:srgbClr val="D7D7D7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"/>
        <c:crosses val="autoZero"/>
        <c:auto val="1"/>
        <c:lblOffset val="100"/>
        <c:baseTimeUnit val="months"/>
        <c:majorUnit val="3"/>
        <c:majorTimeUnit val="months"/>
        <c:minorUnit val="1"/>
        <c:minorTimeUnit val="days"/>
      </c:dateAx>
      <c:valAx>
        <c:axId val="1"/>
        <c:scaling>
          <c:orientation val="minMax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ln w="9525" cap="flat" cmpd="sng" algn="ctr">
            <a:solidFill>
              <a:srgbClr val="D7D7D7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006901024"/>
        <c:crosses val="autoZero"/>
        <c:crossBetween val="between"/>
      </c:valAx>
      <c:dateAx>
        <c:axId val="967775168"/>
        <c:scaling>
          <c:orientation val="minMax"/>
        </c:scaling>
        <c:delete val="1"/>
        <c:axPos val="b"/>
        <c:numFmt formatCode="yyyy/mm;@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991682832"/>
        <c:crosses val="autoZero"/>
        <c:auto val="1"/>
        <c:lblOffset val="100"/>
        <c:baseTimeUnit val="days"/>
      </c:dateAx>
      <c:valAx>
        <c:axId val="99168283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967775168"/>
        <c:crosses val="max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t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rgbClr val="0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d61277-ecdf-4255-a038-67bb0b053742}"/>
      </c:ext>
    </c:extLst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510087712513343"/>
          <c:y val="0.133861913094197"/>
          <c:w val="0.934013779527559"/>
          <c:h val="0.64958187518226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'纯电插混产销占比-中汽协'!$R$4</c:f>
              <c:strCache>
                <c:ptCount val="1"/>
                <c:pt idx="0">
                  <c:v>纯电占比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'纯电插混产销占比-中汽协'!$Q$5:$Q$36</c:f>
              <c:numCache>
                <c:formatCode>yyyy/mm;@</c:formatCode>
                <c:ptCount val="32"/>
                <c:pt idx="0" c:formatCode="yyyy/mm;@">
                  <c:v>44562</c:v>
                </c:pt>
                <c:pt idx="1" c:formatCode="yyyy/mm;@">
                  <c:v>44593</c:v>
                </c:pt>
                <c:pt idx="2" c:formatCode="yyyy/mm;@">
                  <c:v>44621</c:v>
                </c:pt>
                <c:pt idx="3" c:formatCode="yyyy/mm;@">
                  <c:v>44652</c:v>
                </c:pt>
                <c:pt idx="4" c:formatCode="yyyy/mm;@">
                  <c:v>44682</c:v>
                </c:pt>
                <c:pt idx="5" c:formatCode="yyyy/mm;@">
                  <c:v>44713</c:v>
                </c:pt>
                <c:pt idx="6" c:formatCode="yyyy/mm;@">
                  <c:v>44743</c:v>
                </c:pt>
                <c:pt idx="7" c:formatCode="yyyy/mm;@">
                  <c:v>44774</c:v>
                </c:pt>
                <c:pt idx="8" c:formatCode="yyyy/mm;@">
                  <c:v>44805</c:v>
                </c:pt>
                <c:pt idx="9" c:formatCode="yyyy/mm;@">
                  <c:v>44835</c:v>
                </c:pt>
                <c:pt idx="10" c:formatCode="yyyy/mm;@">
                  <c:v>44866</c:v>
                </c:pt>
                <c:pt idx="11" c:formatCode="yyyy/mm;@">
                  <c:v>44896</c:v>
                </c:pt>
                <c:pt idx="12" c:formatCode="yyyy/mm;@">
                  <c:v>44927</c:v>
                </c:pt>
                <c:pt idx="13" c:formatCode="yyyy/mm;@">
                  <c:v>44958</c:v>
                </c:pt>
                <c:pt idx="14" c:formatCode="yyyy/mm;@">
                  <c:v>44986</c:v>
                </c:pt>
                <c:pt idx="15" c:formatCode="yyyy/mm;@">
                  <c:v>45017</c:v>
                </c:pt>
                <c:pt idx="16" c:formatCode="yyyy/mm;@">
                  <c:v>45047</c:v>
                </c:pt>
                <c:pt idx="17" c:formatCode="yyyy/mm;@">
                  <c:v>45078</c:v>
                </c:pt>
                <c:pt idx="18" c:formatCode="yyyy/mm;@">
                  <c:v>45108</c:v>
                </c:pt>
                <c:pt idx="19" c:formatCode="yyyy/mm;@">
                  <c:v>45139</c:v>
                </c:pt>
                <c:pt idx="20" c:formatCode="yyyy/mm;@">
                  <c:v>45170</c:v>
                </c:pt>
                <c:pt idx="21" c:formatCode="yyyy/mm;@">
                  <c:v>45200</c:v>
                </c:pt>
                <c:pt idx="22" c:formatCode="yyyy/mm;@">
                  <c:v>45231</c:v>
                </c:pt>
                <c:pt idx="23" c:formatCode="yyyy/mm;@">
                  <c:v>45261</c:v>
                </c:pt>
                <c:pt idx="24" c:formatCode="yyyy/mm;@">
                  <c:v>45292</c:v>
                </c:pt>
                <c:pt idx="25" c:formatCode="yyyy/mm;@">
                  <c:v>45323</c:v>
                </c:pt>
                <c:pt idx="26" c:formatCode="yyyy/mm;@">
                  <c:v>45352</c:v>
                </c:pt>
                <c:pt idx="27" c:formatCode="yyyy/mm;@">
                  <c:v>45384</c:v>
                </c:pt>
                <c:pt idx="28" c:formatCode="yyyy/mm;@">
                  <c:v>45413</c:v>
                </c:pt>
                <c:pt idx="29" c:formatCode="yyyy/mm;@">
                  <c:v>45444</c:v>
                </c:pt>
                <c:pt idx="30" c:formatCode="yyyy/mm;@">
                  <c:v>45474</c:v>
                </c:pt>
                <c:pt idx="31" c:formatCode="yyyy/mm;@">
                  <c:v>45505</c:v>
                </c:pt>
              </c:numCache>
            </c:numRef>
          </c:cat>
          <c:val>
            <c:numRef>
              <c:f>'纯电插混产销占比-中汽协'!$R$5:$R$36</c:f>
              <c:numCache>
                <c:formatCode>0.0%</c:formatCode>
                <c:ptCount val="32"/>
                <c:pt idx="0">
                  <c:v>0.811946902654867</c:v>
                </c:pt>
                <c:pt idx="1">
                  <c:v>0.77445652173913</c:v>
                </c:pt>
                <c:pt idx="2">
                  <c:v>0.808602150537634</c:v>
                </c:pt>
                <c:pt idx="3">
                  <c:v>0.775641025641026</c:v>
                </c:pt>
                <c:pt idx="4">
                  <c:v>0.781115879828326</c:v>
                </c:pt>
                <c:pt idx="5">
                  <c:v>0.789830508474576</c:v>
                </c:pt>
                <c:pt idx="6">
                  <c:v>0.764991896272285</c:v>
                </c:pt>
                <c:pt idx="7">
                  <c:v>0.775687409551375</c:v>
                </c:pt>
                <c:pt idx="8">
                  <c:v>0.765562913907285</c:v>
                </c:pt>
                <c:pt idx="9">
                  <c:v>0.76246719160105</c:v>
                </c:pt>
                <c:pt idx="10">
                  <c:v>0.766927083333333</c:v>
                </c:pt>
                <c:pt idx="11">
                  <c:v>0.754716981132076</c:v>
                </c:pt>
                <c:pt idx="12">
                  <c:v>0.703529411764706</c:v>
                </c:pt>
                <c:pt idx="13">
                  <c:v>0.704710144927536</c:v>
                </c:pt>
                <c:pt idx="14">
                  <c:v>0.758160237388724</c:v>
                </c:pt>
                <c:pt idx="15">
                  <c:v>0.7546875</c:v>
                </c:pt>
                <c:pt idx="16">
                  <c:v>0.725105189340814</c:v>
                </c:pt>
                <c:pt idx="17">
                  <c:v>0.698979591836735</c:v>
                </c:pt>
                <c:pt idx="18">
                  <c:v>0.68944099378882</c:v>
                </c:pt>
                <c:pt idx="19">
                  <c:v>0.698695136417556</c:v>
                </c:pt>
                <c:pt idx="20">
                  <c:v>0.670079635949943</c:v>
                </c:pt>
                <c:pt idx="21">
                  <c:v>0.663</c:v>
                </c:pt>
                <c:pt idx="22">
                  <c:v>0.677</c:v>
                </c:pt>
                <c:pt idx="23" c:formatCode="0.00%">
                  <c:v>0.692</c:v>
                </c:pt>
                <c:pt idx="24" c:formatCode="0.00%">
                  <c:v>0.6213</c:v>
                </c:pt>
                <c:pt idx="25" c:formatCode="0.00%">
                  <c:v>0.6034</c:v>
                </c:pt>
                <c:pt idx="26" c:formatCode="0.00%">
                  <c:v>0.632676709154114</c:v>
                </c:pt>
                <c:pt idx="27" c:formatCode="0.00%">
                  <c:v>0.614942528735632</c:v>
                </c:pt>
                <c:pt idx="28">
                  <c:v>0.593</c:v>
                </c:pt>
                <c:pt idx="29" c:formatCode="0.00%">
                  <c:v>0.578</c:v>
                </c:pt>
                <c:pt idx="30" c:formatCode="0.00%">
                  <c:v>0.578</c:v>
                </c:pt>
                <c:pt idx="31" c:formatCode="0.00%">
                  <c:v>0.587272727272727</c:v>
                </c:pt>
              </c:numCache>
            </c:numRef>
          </c:val>
        </c:ser>
        <c:ser>
          <c:idx val="1"/>
          <c:order val="1"/>
          <c:tx>
            <c:strRef>
              <c:f>'纯电插混产销占比-中汽协'!$S$4</c:f>
              <c:strCache>
                <c:ptCount val="1"/>
                <c:pt idx="0">
                  <c:v>插电占比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'纯电插混产销占比-中汽协'!$Q$5:$Q$36</c:f>
              <c:numCache>
                <c:formatCode>yyyy/mm;@</c:formatCode>
                <c:ptCount val="32"/>
                <c:pt idx="0" c:formatCode="yyyy/mm;@">
                  <c:v>44562</c:v>
                </c:pt>
                <c:pt idx="1" c:formatCode="yyyy/mm;@">
                  <c:v>44593</c:v>
                </c:pt>
                <c:pt idx="2" c:formatCode="yyyy/mm;@">
                  <c:v>44621</c:v>
                </c:pt>
                <c:pt idx="3" c:formatCode="yyyy/mm;@">
                  <c:v>44652</c:v>
                </c:pt>
                <c:pt idx="4" c:formatCode="yyyy/mm;@">
                  <c:v>44682</c:v>
                </c:pt>
                <c:pt idx="5" c:formatCode="yyyy/mm;@">
                  <c:v>44713</c:v>
                </c:pt>
                <c:pt idx="6" c:formatCode="yyyy/mm;@">
                  <c:v>44743</c:v>
                </c:pt>
                <c:pt idx="7" c:formatCode="yyyy/mm;@">
                  <c:v>44774</c:v>
                </c:pt>
                <c:pt idx="8" c:formatCode="yyyy/mm;@">
                  <c:v>44805</c:v>
                </c:pt>
                <c:pt idx="9" c:formatCode="yyyy/mm;@">
                  <c:v>44835</c:v>
                </c:pt>
                <c:pt idx="10" c:formatCode="yyyy/mm;@">
                  <c:v>44866</c:v>
                </c:pt>
                <c:pt idx="11" c:formatCode="yyyy/mm;@">
                  <c:v>44896</c:v>
                </c:pt>
                <c:pt idx="12" c:formatCode="yyyy/mm;@">
                  <c:v>44927</c:v>
                </c:pt>
                <c:pt idx="13" c:formatCode="yyyy/mm;@">
                  <c:v>44958</c:v>
                </c:pt>
                <c:pt idx="14" c:formatCode="yyyy/mm;@">
                  <c:v>44986</c:v>
                </c:pt>
                <c:pt idx="15" c:formatCode="yyyy/mm;@">
                  <c:v>45017</c:v>
                </c:pt>
                <c:pt idx="16" c:formatCode="yyyy/mm;@">
                  <c:v>45047</c:v>
                </c:pt>
                <c:pt idx="17" c:formatCode="yyyy/mm;@">
                  <c:v>45078</c:v>
                </c:pt>
                <c:pt idx="18" c:formatCode="yyyy/mm;@">
                  <c:v>45108</c:v>
                </c:pt>
                <c:pt idx="19" c:formatCode="yyyy/mm;@">
                  <c:v>45139</c:v>
                </c:pt>
                <c:pt idx="20" c:formatCode="yyyy/mm;@">
                  <c:v>45170</c:v>
                </c:pt>
                <c:pt idx="21" c:formatCode="yyyy/mm;@">
                  <c:v>45200</c:v>
                </c:pt>
                <c:pt idx="22" c:formatCode="yyyy/mm;@">
                  <c:v>45231</c:v>
                </c:pt>
                <c:pt idx="23" c:formatCode="yyyy/mm;@">
                  <c:v>45261</c:v>
                </c:pt>
                <c:pt idx="24" c:formatCode="yyyy/mm;@">
                  <c:v>45292</c:v>
                </c:pt>
                <c:pt idx="25" c:formatCode="yyyy/mm;@">
                  <c:v>45323</c:v>
                </c:pt>
                <c:pt idx="26" c:formatCode="yyyy/mm;@">
                  <c:v>45352</c:v>
                </c:pt>
                <c:pt idx="27" c:formatCode="yyyy/mm;@">
                  <c:v>45384</c:v>
                </c:pt>
                <c:pt idx="28" c:formatCode="yyyy/mm;@">
                  <c:v>45413</c:v>
                </c:pt>
                <c:pt idx="29" c:formatCode="yyyy/mm;@">
                  <c:v>45444</c:v>
                </c:pt>
                <c:pt idx="30" c:formatCode="yyyy/mm;@">
                  <c:v>45474</c:v>
                </c:pt>
                <c:pt idx="31" c:formatCode="yyyy/mm;@">
                  <c:v>45505</c:v>
                </c:pt>
              </c:numCache>
            </c:numRef>
          </c:cat>
          <c:val>
            <c:numRef>
              <c:f>'纯电插混产销占比-中汽协'!$S$5:$S$36</c:f>
              <c:numCache>
                <c:formatCode>0.0%</c:formatCode>
                <c:ptCount val="32"/>
                <c:pt idx="0">
                  <c:v>0.188053097345133</c:v>
                </c:pt>
                <c:pt idx="1">
                  <c:v>0.22554347826087</c:v>
                </c:pt>
                <c:pt idx="2">
                  <c:v>0.191397849462366</c:v>
                </c:pt>
                <c:pt idx="3">
                  <c:v>0.221153846153846</c:v>
                </c:pt>
                <c:pt idx="4">
                  <c:v>0.218884120171674</c:v>
                </c:pt>
                <c:pt idx="5">
                  <c:v>0.208474576271186</c:v>
                </c:pt>
                <c:pt idx="6">
                  <c:v>0.233387358184765</c:v>
                </c:pt>
                <c:pt idx="7">
                  <c:v>0.224312590448625</c:v>
                </c:pt>
                <c:pt idx="8">
                  <c:v>0.234437086092715</c:v>
                </c:pt>
                <c:pt idx="9">
                  <c:v>0.23753280839895</c:v>
                </c:pt>
                <c:pt idx="10">
                  <c:v>0.233072916666667</c:v>
                </c:pt>
                <c:pt idx="11">
                  <c:v>0.244025157232704</c:v>
                </c:pt>
                <c:pt idx="12">
                  <c:v>0.296470588235294</c:v>
                </c:pt>
                <c:pt idx="13">
                  <c:v>0.295289855072464</c:v>
                </c:pt>
                <c:pt idx="14">
                  <c:v>0.241839762611276</c:v>
                </c:pt>
                <c:pt idx="15">
                  <c:v>0.2453125</c:v>
                </c:pt>
                <c:pt idx="16">
                  <c:v>0.273492286115007</c:v>
                </c:pt>
                <c:pt idx="17">
                  <c:v>0.299744897959184</c:v>
                </c:pt>
                <c:pt idx="18">
                  <c:v>0.31055900621118</c:v>
                </c:pt>
                <c:pt idx="19">
                  <c:v>0.30011862396204</c:v>
                </c:pt>
                <c:pt idx="20">
                  <c:v>0.329920364050057</c:v>
                </c:pt>
                <c:pt idx="21">
                  <c:v>0.336</c:v>
                </c:pt>
                <c:pt idx="22">
                  <c:v>0.323</c:v>
                </c:pt>
                <c:pt idx="23" c:formatCode="0.00%">
                  <c:v>0.308</c:v>
                </c:pt>
                <c:pt idx="24" c:formatCode="0.00%">
                  <c:v>0.3774</c:v>
                </c:pt>
                <c:pt idx="25" c:formatCode="0.00%">
                  <c:v>0.3944</c:v>
                </c:pt>
                <c:pt idx="26" c:formatCode="0.00%">
                  <c:v>0.367323290845886</c:v>
                </c:pt>
                <c:pt idx="27" c:formatCode="0.00%">
                  <c:v>0.383908045977012</c:v>
                </c:pt>
                <c:pt idx="28">
                  <c:v>0.407</c:v>
                </c:pt>
                <c:pt idx="29">
                  <c:v>0.421</c:v>
                </c:pt>
                <c:pt idx="30" c:formatCode="0.00%">
                  <c:v>0.419</c:v>
                </c:pt>
                <c:pt idx="31" c:formatCode="0.00%">
                  <c:v>0.408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6900040"/>
        <c:axId val="1"/>
      </c:barChart>
      <c:catAx>
        <c:axId val="1006900040"/>
        <c:scaling>
          <c:orientation val="minMax"/>
        </c:scaling>
        <c:delete val="0"/>
        <c:axPos val="b"/>
        <c:numFmt formatCode="yyyy/mm;@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D7D7D7"/>
            </a:solidFill>
            <a:prstDash val="solid"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noMultiLvlLbl val="0"/>
      </c:catAx>
      <c:valAx>
        <c:axId val="1"/>
        <c:scaling>
          <c:orientation val="minMax"/>
          <c:max val="1"/>
          <c:min val="0.5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D7D7D7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0069000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eecfd1-1f11-4cad-adc5-57cf9db397c6}"/>
      </c:ext>
    </c:extLst>
  </c:chart>
  <c:spPr>
    <a:solidFill>
      <a:srgbClr val="FFFFFF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510087712513343"/>
          <c:y val="0.133861913094197"/>
          <c:w val="0.934013779527559"/>
          <c:h val="0.64958187518226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'纯电插混产销占比-中汽协'!$Z$4</c:f>
              <c:strCache>
                <c:ptCount val="1"/>
                <c:pt idx="0">
                  <c:v>纯电占比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'纯电插混产销占比-中汽协'!$Y$5:$Y$36</c:f>
              <c:numCache>
                <c:formatCode>yyyy/mm;@</c:formatCode>
                <c:ptCount val="32"/>
                <c:pt idx="0" c:formatCode="yyyy/mm;@">
                  <c:v>44562</c:v>
                </c:pt>
                <c:pt idx="1" c:formatCode="yyyy/mm;@">
                  <c:v>44593</c:v>
                </c:pt>
                <c:pt idx="2" c:formatCode="yyyy/mm;@">
                  <c:v>44621</c:v>
                </c:pt>
                <c:pt idx="3" c:formatCode="yyyy/mm;@">
                  <c:v>44652</c:v>
                </c:pt>
                <c:pt idx="4" c:formatCode="yyyy/mm;@">
                  <c:v>44682</c:v>
                </c:pt>
                <c:pt idx="5" c:formatCode="yyyy/mm;@">
                  <c:v>44713</c:v>
                </c:pt>
                <c:pt idx="6" c:formatCode="yyyy/mm;@">
                  <c:v>44743</c:v>
                </c:pt>
                <c:pt idx="7" c:formatCode="yyyy/mm;@">
                  <c:v>44774</c:v>
                </c:pt>
                <c:pt idx="8" c:formatCode="yyyy/mm;@">
                  <c:v>44805</c:v>
                </c:pt>
                <c:pt idx="9" c:formatCode="yyyy/mm;@">
                  <c:v>44835</c:v>
                </c:pt>
                <c:pt idx="10" c:formatCode="yyyy/mm;@">
                  <c:v>44866</c:v>
                </c:pt>
                <c:pt idx="11" c:formatCode="yyyy/mm;@">
                  <c:v>44896</c:v>
                </c:pt>
                <c:pt idx="12" c:formatCode="yyyy/mm;@">
                  <c:v>44927</c:v>
                </c:pt>
                <c:pt idx="13" c:formatCode="yyyy/mm;@">
                  <c:v>44958</c:v>
                </c:pt>
                <c:pt idx="14" c:formatCode="yyyy/mm;@">
                  <c:v>44986</c:v>
                </c:pt>
                <c:pt idx="15" c:formatCode="yyyy/mm;@">
                  <c:v>45017</c:v>
                </c:pt>
                <c:pt idx="16" c:formatCode="yyyy/mm;@">
                  <c:v>45047</c:v>
                </c:pt>
                <c:pt idx="17" c:formatCode="yyyy/mm;@">
                  <c:v>45078</c:v>
                </c:pt>
                <c:pt idx="18" c:formatCode="yyyy/mm;@">
                  <c:v>45108</c:v>
                </c:pt>
                <c:pt idx="19" c:formatCode="yyyy/mm;@">
                  <c:v>45139</c:v>
                </c:pt>
                <c:pt idx="20" c:formatCode="yyyy/mm;@">
                  <c:v>45170</c:v>
                </c:pt>
                <c:pt idx="21" c:formatCode="yyyy/mm;@">
                  <c:v>45200</c:v>
                </c:pt>
                <c:pt idx="22" c:formatCode="yyyy/mm;@">
                  <c:v>45231</c:v>
                </c:pt>
                <c:pt idx="23" c:formatCode="yyyy/mm;@">
                  <c:v>45261</c:v>
                </c:pt>
                <c:pt idx="24" c:formatCode="yyyy/mm;@">
                  <c:v>45292</c:v>
                </c:pt>
                <c:pt idx="25" c:formatCode="yyyy/mm;@">
                  <c:v>45323</c:v>
                </c:pt>
                <c:pt idx="26" c:formatCode="yyyy/mm;@">
                  <c:v>45352</c:v>
                </c:pt>
                <c:pt idx="27" c:formatCode="yyyy/mm;@">
                  <c:v>45384</c:v>
                </c:pt>
                <c:pt idx="28" c:formatCode="yyyy/mm;@">
                  <c:v>45413</c:v>
                </c:pt>
                <c:pt idx="29" c:formatCode="yyyy/mm;@">
                  <c:v>45444</c:v>
                </c:pt>
                <c:pt idx="30" c:formatCode="yyyy/mm;@">
                  <c:v>45474</c:v>
                </c:pt>
                <c:pt idx="31" c:formatCode="yyyy/mm;@">
                  <c:v>45505</c:v>
                </c:pt>
              </c:numCache>
            </c:numRef>
          </c:cat>
          <c:val>
            <c:numRef>
              <c:f>'纯电插混产销占比-中汽协'!$Z$5:$Z$36</c:f>
              <c:numCache>
                <c:formatCode>0.0%</c:formatCode>
                <c:ptCount val="32"/>
                <c:pt idx="0">
                  <c:v>0.802039870190079</c:v>
                </c:pt>
                <c:pt idx="1">
                  <c:v>0.773149535510938</c:v>
                </c:pt>
                <c:pt idx="2">
                  <c:v>0.818181818181818</c:v>
                </c:pt>
                <c:pt idx="3">
                  <c:v>0.772833723653396</c:v>
                </c:pt>
                <c:pt idx="4">
                  <c:v>0.775984292467809</c:v>
                </c:pt>
                <c:pt idx="5">
                  <c:v>0.798069878059617</c:v>
                </c:pt>
                <c:pt idx="6">
                  <c:v>0.770804554662187</c:v>
                </c:pt>
                <c:pt idx="7">
                  <c:v>0.783559069396014</c:v>
                </c:pt>
                <c:pt idx="8">
                  <c:v>0.761806229850649</c:v>
                </c:pt>
                <c:pt idx="9">
                  <c:v>0.758126740293245</c:v>
                </c:pt>
                <c:pt idx="10">
                  <c:v>0.782159140769568</c:v>
                </c:pt>
                <c:pt idx="11">
                  <c:v>0.766733592024005</c:v>
                </c:pt>
                <c:pt idx="12">
                  <c:v>0.70343137254902</c:v>
                </c:pt>
                <c:pt idx="13">
                  <c:v>0.716190476190476</c:v>
                </c:pt>
                <c:pt idx="14">
                  <c:v>0.750382848392037</c:v>
                </c:pt>
                <c:pt idx="15">
                  <c:v>0.740566037735849</c:v>
                </c:pt>
                <c:pt idx="16">
                  <c:v>0.728033472803347</c:v>
                </c:pt>
                <c:pt idx="17">
                  <c:v>0.710918114143921</c:v>
                </c:pt>
                <c:pt idx="18">
                  <c:v>0.693589743589744</c:v>
                </c:pt>
                <c:pt idx="19">
                  <c:v>0.705673758865248</c:v>
                </c:pt>
                <c:pt idx="20">
                  <c:v>0.69358407079646</c:v>
                </c:pt>
                <c:pt idx="21">
                  <c:v>0.676</c:v>
                </c:pt>
                <c:pt idx="22">
                  <c:v>0.684</c:v>
                </c:pt>
                <c:pt idx="23">
                  <c:v>0.693</c:v>
                </c:pt>
                <c:pt idx="24">
                  <c:v>0.61</c:v>
                </c:pt>
                <c:pt idx="25">
                  <c:v>0.616</c:v>
                </c:pt>
                <c:pt idx="26">
                  <c:v>0.640996602491506</c:v>
                </c:pt>
                <c:pt idx="27">
                  <c:v>0.610588235294118</c:v>
                </c:pt>
                <c:pt idx="28">
                  <c:v>0.61</c:v>
                </c:pt>
                <c:pt idx="29" c:formatCode="0.00%">
                  <c:v>0.583</c:v>
                </c:pt>
                <c:pt idx="30" c:formatCode="0.00%">
                  <c:v>0.556</c:v>
                </c:pt>
                <c:pt idx="31" c:formatCode="0.00%">
                  <c:v>0.587</c:v>
                </c:pt>
              </c:numCache>
            </c:numRef>
          </c:val>
        </c:ser>
        <c:ser>
          <c:idx val="1"/>
          <c:order val="1"/>
          <c:tx>
            <c:strRef>
              <c:f>'纯电插混产销占比-中汽协'!$AA$4</c:f>
              <c:strCache>
                <c:ptCount val="1"/>
                <c:pt idx="0">
                  <c:v>插电占比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'纯电插混产销占比-中汽协'!$Y$5:$Y$36</c:f>
              <c:numCache>
                <c:formatCode>yyyy/mm;@</c:formatCode>
                <c:ptCount val="32"/>
                <c:pt idx="0" c:formatCode="yyyy/mm;@">
                  <c:v>44562</c:v>
                </c:pt>
                <c:pt idx="1" c:formatCode="yyyy/mm;@">
                  <c:v>44593</c:v>
                </c:pt>
                <c:pt idx="2" c:formatCode="yyyy/mm;@">
                  <c:v>44621</c:v>
                </c:pt>
                <c:pt idx="3" c:formatCode="yyyy/mm;@">
                  <c:v>44652</c:v>
                </c:pt>
                <c:pt idx="4" c:formatCode="yyyy/mm;@">
                  <c:v>44682</c:v>
                </c:pt>
                <c:pt idx="5" c:formatCode="yyyy/mm;@">
                  <c:v>44713</c:v>
                </c:pt>
                <c:pt idx="6" c:formatCode="yyyy/mm;@">
                  <c:v>44743</c:v>
                </c:pt>
                <c:pt idx="7" c:formatCode="yyyy/mm;@">
                  <c:v>44774</c:v>
                </c:pt>
                <c:pt idx="8" c:formatCode="yyyy/mm;@">
                  <c:v>44805</c:v>
                </c:pt>
                <c:pt idx="9" c:formatCode="yyyy/mm;@">
                  <c:v>44835</c:v>
                </c:pt>
                <c:pt idx="10" c:formatCode="yyyy/mm;@">
                  <c:v>44866</c:v>
                </c:pt>
                <c:pt idx="11" c:formatCode="yyyy/mm;@">
                  <c:v>44896</c:v>
                </c:pt>
                <c:pt idx="12" c:formatCode="yyyy/mm;@">
                  <c:v>44927</c:v>
                </c:pt>
                <c:pt idx="13" c:formatCode="yyyy/mm;@">
                  <c:v>44958</c:v>
                </c:pt>
                <c:pt idx="14" c:formatCode="yyyy/mm;@">
                  <c:v>44986</c:v>
                </c:pt>
                <c:pt idx="15" c:formatCode="yyyy/mm;@">
                  <c:v>45017</c:v>
                </c:pt>
                <c:pt idx="16" c:formatCode="yyyy/mm;@">
                  <c:v>45047</c:v>
                </c:pt>
                <c:pt idx="17" c:formatCode="yyyy/mm;@">
                  <c:v>45078</c:v>
                </c:pt>
                <c:pt idx="18" c:formatCode="yyyy/mm;@">
                  <c:v>45108</c:v>
                </c:pt>
                <c:pt idx="19" c:formatCode="yyyy/mm;@">
                  <c:v>45139</c:v>
                </c:pt>
                <c:pt idx="20" c:formatCode="yyyy/mm;@">
                  <c:v>45170</c:v>
                </c:pt>
                <c:pt idx="21" c:formatCode="yyyy/mm;@">
                  <c:v>45200</c:v>
                </c:pt>
                <c:pt idx="22" c:formatCode="yyyy/mm;@">
                  <c:v>45231</c:v>
                </c:pt>
                <c:pt idx="23" c:formatCode="yyyy/mm;@">
                  <c:v>45261</c:v>
                </c:pt>
                <c:pt idx="24" c:formatCode="yyyy/mm;@">
                  <c:v>45292</c:v>
                </c:pt>
                <c:pt idx="25" c:formatCode="yyyy/mm;@">
                  <c:v>45323</c:v>
                </c:pt>
                <c:pt idx="26" c:formatCode="yyyy/mm;@">
                  <c:v>45352</c:v>
                </c:pt>
                <c:pt idx="27" c:formatCode="yyyy/mm;@">
                  <c:v>45384</c:v>
                </c:pt>
                <c:pt idx="28" c:formatCode="yyyy/mm;@">
                  <c:v>45413</c:v>
                </c:pt>
                <c:pt idx="29" c:formatCode="yyyy/mm;@">
                  <c:v>45444</c:v>
                </c:pt>
                <c:pt idx="30" c:formatCode="yyyy/mm;@">
                  <c:v>45474</c:v>
                </c:pt>
                <c:pt idx="31" c:formatCode="yyyy/mm;@">
                  <c:v>45505</c:v>
                </c:pt>
              </c:numCache>
            </c:numRef>
          </c:cat>
          <c:val>
            <c:numRef>
              <c:f>'纯电插混产销占比-中汽协'!$AA$5:$AA$36</c:f>
              <c:numCache>
                <c:formatCode>0.0%</c:formatCode>
                <c:ptCount val="32"/>
                <c:pt idx="0">
                  <c:v>0.197032916087158</c:v>
                </c:pt>
                <c:pt idx="1">
                  <c:v>0.224752771950854</c:v>
                </c:pt>
                <c:pt idx="2">
                  <c:v>0.181818181818182</c:v>
                </c:pt>
                <c:pt idx="3">
                  <c:v>0.227500836400134</c:v>
                </c:pt>
                <c:pt idx="4">
                  <c:v>0.223626597252971</c:v>
                </c:pt>
                <c:pt idx="5">
                  <c:v>0.201194086905786</c:v>
                </c:pt>
                <c:pt idx="6">
                  <c:v>0.227699376103709</c:v>
                </c:pt>
                <c:pt idx="7">
                  <c:v>0.21615422604028</c:v>
                </c:pt>
                <c:pt idx="8">
                  <c:v>0.238859467244452</c:v>
                </c:pt>
                <c:pt idx="9">
                  <c:v>0.241031052366799</c:v>
                </c:pt>
                <c:pt idx="10">
                  <c:v>0.217478395238368</c:v>
                </c:pt>
                <c:pt idx="11">
                  <c:v>0.232231809122655</c:v>
                </c:pt>
                <c:pt idx="12">
                  <c:v>0.29656862745098</c:v>
                </c:pt>
                <c:pt idx="13">
                  <c:v>0.283809523809524</c:v>
                </c:pt>
                <c:pt idx="14">
                  <c:v>0.249617151607963</c:v>
                </c:pt>
                <c:pt idx="15">
                  <c:v>0.259433962264151</c:v>
                </c:pt>
                <c:pt idx="16">
                  <c:v>0.270571827057183</c:v>
                </c:pt>
                <c:pt idx="17">
                  <c:v>0.287841191066998</c:v>
                </c:pt>
                <c:pt idx="18">
                  <c:v>0.306410256410256</c:v>
                </c:pt>
                <c:pt idx="19">
                  <c:v>0.294326241134752</c:v>
                </c:pt>
                <c:pt idx="20">
                  <c:v>0.30641592920354</c:v>
                </c:pt>
                <c:pt idx="21">
                  <c:v>0.324</c:v>
                </c:pt>
                <c:pt idx="22">
                  <c:v>0.315</c:v>
                </c:pt>
                <c:pt idx="23">
                  <c:v>0.307</c:v>
                </c:pt>
                <c:pt idx="24">
                  <c:v>0.39</c:v>
                </c:pt>
                <c:pt idx="25">
                  <c:v>0.384</c:v>
                </c:pt>
                <c:pt idx="26">
                  <c:v>0.359003397508494</c:v>
                </c:pt>
                <c:pt idx="27">
                  <c:v>0.389411764705882</c:v>
                </c:pt>
                <c:pt idx="28">
                  <c:v>0.388</c:v>
                </c:pt>
                <c:pt idx="29">
                  <c:v>0.416</c:v>
                </c:pt>
                <c:pt idx="30" c:formatCode="0.00%">
                  <c:v>0.442</c:v>
                </c:pt>
                <c:pt idx="31" c:formatCode="0.00%">
                  <c:v>0.412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6900040"/>
        <c:axId val="1"/>
      </c:barChart>
      <c:catAx>
        <c:axId val="1006900040"/>
        <c:scaling>
          <c:orientation val="minMax"/>
        </c:scaling>
        <c:delete val="0"/>
        <c:axPos val="b"/>
        <c:numFmt formatCode="yyyy/mm;@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D7D7D7"/>
            </a:solidFill>
            <a:prstDash val="solid"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noMultiLvlLbl val="0"/>
      </c:catAx>
      <c:valAx>
        <c:axId val="1"/>
        <c:scaling>
          <c:orientation val="minMax"/>
          <c:max val="1"/>
          <c:min val="0.5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D7D7D7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</a:p>
        </c:txPr>
        <c:crossAx val="10069000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6408b9-7931-4a04-8e86-d6683df87a73}"/>
      </c:ext>
    </c:extLst>
  </c:chart>
  <c:spPr>
    <a:solidFill>
      <a:srgbClr val="FFFFFF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722338145231846"/>
          <c:y val="0.103240740740741"/>
          <c:w val="0.868053805774278"/>
          <c:h val="0.7893598716827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'核心新能源车企销量-月度'!$P$2</c:f>
              <c:strCache>
                <c:ptCount val="1"/>
                <c:pt idx="0">
                  <c:v>比亚迪海外销量（辆）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'核心新能源车企销量-月度'!$Q$3:$Q$14</c:f>
              <c:strCache>
                <c:ptCount val="12"/>
                <c:pt idx="0" c:formatCode="#,##0">
                  <c:v>1月</c:v>
                </c:pt>
                <c:pt idx="1" c:formatCode="#,##0">
                  <c:v>2月</c:v>
                </c:pt>
                <c:pt idx="2" c:formatCode="#,##0">
                  <c:v>3月</c:v>
                </c:pt>
                <c:pt idx="3" c:formatCode="#,##0">
                  <c:v>4月</c:v>
                </c:pt>
                <c:pt idx="4" c:formatCode="#,##0">
                  <c:v>5月</c:v>
                </c:pt>
                <c:pt idx="5" c:formatCode="#,##0">
                  <c:v>6月</c:v>
                </c:pt>
                <c:pt idx="6" c:formatCode="#,##0">
                  <c:v>7月</c:v>
                </c:pt>
                <c:pt idx="7" c:formatCode="#,##0">
                  <c:v>8月</c:v>
                </c:pt>
                <c:pt idx="8" c:formatCode="#,##0">
                  <c:v>9月</c:v>
                </c:pt>
                <c:pt idx="9" c:formatCode="#,##0">
                  <c:v>10月</c:v>
                </c:pt>
                <c:pt idx="10" c:formatCode="#,##0">
                  <c:v>11月</c:v>
                </c:pt>
                <c:pt idx="11" c:formatCode="#,##0">
                  <c:v>12月</c:v>
                </c:pt>
              </c:strCache>
            </c:strRef>
          </c:cat>
          <c:val>
            <c:numRef>
              <c:f>'核心新能源车企销量-月度'!$R$3:$R$14</c:f>
              <c:numCache>
                <c:formatCode>#,##0</c:formatCode>
                <c:ptCount val="12"/>
                <c:pt idx="0">
                  <c:v>10409</c:v>
                </c:pt>
                <c:pt idx="1">
                  <c:v>15002</c:v>
                </c:pt>
                <c:pt idx="2">
                  <c:v>13312</c:v>
                </c:pt>
                <c:pt idx="3">
                  <c:v>14827</c:v>
                </c:pt>
                <c:pt idx="4">
                  <c:v>10203</c:v>
                </c:pt>
                <c:pt idx="5">
                  <c:v>10536</c:v>
                </c:pt>
                <c:pt idx="6">
                  <c:v>18169</c:v>
                </c:pt>
                <c:pt idx="7">
                  <c:v>25023</c:v>
                </c:pt>
                <c:pt idx="8">
                  <c:v>28039</c:v>
                </c:pt>
                <c:pt idx="9">
                  <c:v>30521</c:v>
                </c:pt>
                <c:pt idx="10">
                  <c:v>30629</c:v>
                </c:pt>
                <c:pt idx="11">
                  <c:v>57154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776895"/>
        <c:axId val="1970926063"/>
      </c:barChart>
      <c:catAx>
        <c:axId val="197077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926063"/>
        <c:crosses val="autoZero"/>
        <c:auto val="1"/>
        <c:lblAlgn val="ctr"/>
        <c:lblOffset val="100"/>
        <c:noMultiLvlLbl val="0"/>
      </c:catAx>
      <c:valAx>
        <c:axId val="1970926063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7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75fa9b-e9a5-402e-b063-dca480c647bf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722338145231846"/>
          <c:y val="0.103240740740741"/>
          <c:w val="0.868053805774278"/>
          <c:h val="0.7893598716827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'核心新能源车企销量-月度'!$P$2</c:f>
              <c:strCache>
                <c:ptCount val="1"/>
                <c:pt idx="0">
                  <c:v>比亚迪海外销量（辆）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'核心新能源车企销量-月度'!$Q$3:$Q$14</c:f>
              <c:strCache>
                <c:ptCount val="12"/>
                <c:pt idx="0" c:formatCode="#,##0">
                  <c:v>1月</c:v>
                </c:pt>
                <c:pt idx="1" c:formatCode="#,##0">
                  <c:v>2月</c:v>
                </c:pt>
                <c:pt idx="2" c:formatCode="#,##0">
                  <c:v>3月</c:v>
                </c:pt>
                <c:pt idx="3" c:formatCode="#,##0">
                  <c:v>4月</c:v>
                </c:pt>
                <c:pt idx="4" c:formatCode="#,##0">
                  <c:v>5月</c:v>
                </c:pt>
                <c:pt idx="5" c:formatCode="#,##0">
                  <c:v>6月</c:v>
                </c:pt>
                <c:pt idx="6" c:formatCode="#,##0">
                  <c:v>7月</c:v>
                </c:pt>
                <c:pt idx="7" c:formatCode="#,##0">
                  <c:v>8月</c:v>
                </c:pt>
                <c:pt idx="8" c:formatCode="#,##0">
                  <c:v>9月</c:v>
                </c:pt>
                <c:pt idx="9" c:formatCode="#,##0">
                  <c:v>10月</c:v>
                </c:pt>
                <c:pt idx="10" c:formatCode="#,##0">
                  <c:v>11月</c:v>
                </c:pt>
                <c:pt idx="11" c:formatCode="#,##0">
                  <c:v>12月</c:v>
                </c:pt>
              </c:strCache>
            </c:strRef>
          </c:cat>
          <c:val>
            <c:numRef>
              <c:f>'核心新能源车企销量-月度'!$R$3:$R$14</c:f>
              <c:numCache>
                <c:formatCode>#,##0</c:formatCode>
                <c:ptCount val="12"/>
                <c:pt idx="0">
                  <c:v>10409</c:v>
                </c:pt>
                <c:pt idx="1">
                  <c:v>15002</c:v>
                </c:pt>
                <c:pt idx="2">
                  <c:v>13312</c:v>
                </c:pt>
                <c:pt idx="3">
                  <c:v>14827</c:v>
                </c:pt>
                <c:pt idx="4">
                  <c:v>10203</c:v>
                </c:pt>
                <c:pt idx="5">
                  <c:v>10536</c:v>
                </c:pt>
                <c:pt idx="6">
                  <c:v>18169</c:v>
                </c:pt>
                <c:pt idx="7">
                  <c:v>25023</c:v>
                </c:pt>
                <c:pt idx="8">
                  <c:v>28039</c:v>
                </c:pt>
                <c:pt idx="9">
                  <c:v>30521</c:v>
                </c:pt>
                <c:pt idx="10">
                  <c:v>30629</c:v>
                </c:pt>
                <c:pt idx="11">
                  <c:v>57154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776895"/>
        <c:axId val="1970926063"/>
      </c:barChart>
      <c:catAx>
        <c:axId val="197077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926063"/>
        <c:crosses val="autoZero"/>
        <c:auto val="1"/>
        <c:lblAlgn val="ctr"/>
        <c:lblOffset val="100"/>
        <c:noMultiLvlLbl val="0"/>
      </c:catAx>
      <c:valAx>
        <c:axId val="1970926063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7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75fa9b-e9a5-402e-b063-dca480c647bf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充电桩总量（万台）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30727513263744"/>
          <c:y val="0.120854805253733"/>
          <c:w val="0.905643482064742"/>
          <c:h val="0.650470982793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'充电桩-充电联盟'!$C$1</c:f>
              <c:strCache>
                <c:ptCount val="1"/>
                <c:pt idx="0">
                  <c:v>充电桩保有量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multiLvlStrRef>
              <c:f>'充电桩-充电联盟'!$A$2:$B$53</c:f>
              <c:multiLvlStrCache>
                <c:ptCount val="52"/>
                <c:lvl>
                  <c:pt idx="0" c:formatCode="yyyy/mm;@">
                    <c:v>44196</c:v>
                  </c:pt>
                  <c:pt idx="1" c:formatCode="yyyy/mm;@">
                    <c:v>44227</c:v>
                  </c:pt>
                  <c:pt idx="2" c:formatCode="yyyy/mm;@">
                    <c:v>44255</c:v>
                  </c:pt>
                  <c:pt idx="3" c:formatCode="yyyy/mm;@">
                    <c:v>44286</c:v>
                  </c:pt>
                  <c:pt idx="4" c:formatCode="yyyy/mm;@">
                    <c:v>44316</c:v>
                  </c:pt>
                  <c:pt idx="5" c:formatCode="yyyy/mm;@">
                    <c:v>44347</c:v>
                  </c:pt>
                  <c:pt idx="6" c:formatCode="yyyy/mm;@">
                    <c:v>44377</c:v>
                  </c:pt>
                  <c:pt idx="7" c:formatCode="yyyy/mm;@">
                    <c:v>44408</c:v>
                  </c:pt>
                  <c:pt idx="8" c:formatCode="yyyy/mm;@">
                    <c:v>44439</c:v>
                  </c:pt>
                  <c:pt idx="9" c:formatCode="yyyy/mm;@">
                    <c:v>44469</c:v>
                  </c:pt>
                  <c:pt idx="10" c:formatCode="yyyy/mm;@">
                    <c:v>44500</c:v>
                  </c:pt>
                  <c:pt idx="11" c:formatCode="yyyy/mm;@">
                    <c:v>44530</c:v>
                  </c:pt>
                  <c:pt idx="12" c:formatCode="yyyy/mm;@">
                    <c:v>44561</c:v>
                  </c:pt>
                  <c:pt idx="13" c:formatCode="yyyy/mm;@">
                    <c:v>44562</c:v>
                  </c:pt>
                  <c:pt idx="14" c:formatCode="yyyy/mm;@">
                    <c:v>44593</c:v>
                  </c:pt>
                  <c:pt idx="15" c:formatCode="yyyy/mm;@">
                    <c:v>44621</c:v>
                  </c:pt>
                  <c:pt idx="16" c:formatCode="yyyy/mm;@">
                    <c:v>44652</c:v>
                  </c:pt>
                  <c:pt idx="17" c:formatCode="yyyy/mm;@">
                    <c:v>44682</c:v>
                  </c:pt>
                  <c:pt idx="18" c:formatCode="yyyy/mm;@">
                    <c:v>44713</c:v>
                  </c:pt>
                  <c:pt idx="19" c:formatCode="yyyy/mm;@">
                    <c:v>44743</c:v>
                  </c:pt>
                  <c:pt idx="20" c:formatCode="yyyy/mm;@">
                    <c:v>44774</c:v>
                  </c:pt>
                  <c:pt idx="21" c:formatCode="yyyy/mm;@">
                    <c:v>44805</c:v>
                  </c:pt>
                  <c:pt idx="22" c:formatCode="yyyy/mm;@">
                    <c:v>44835</c:v>
                  </c:pt>
                  <c:pt idx="23" c:formatCode="yyyy/mm;@">
                    <c:v>44866</c:v>
                  </c:pt>
                  <c:pt idx="24" c:formatCode="yyyy/mm;@">
                    <c:v>44896</c:v>
                  </c:pt>
                  <c:pt idx="25" c:formatCode="yyyy/mm;@">
                    <c:v>44927</c:v>
                  </c:pt>
                  <c:pt idx="26" c:formatCode="yyyy/mm;@">
                    <c:v>44958</c:v>
                  </c:pt>
                  <c:pt idx="27" c:formatCode="yyyy/mm;@">
                    <c:v>44986</c:v>
                  </c:pt>
                  <c:pt idx="28" c:formatCode="yyyy/mm;@">
                    <c:v>45017</c:v>
                  </c:pt>
                  <c:pt idx="29" c:formatCode="yyyy/mm;@">
                    <c:v>45047</c:v>
                  </c:pt>
                  <c:pt idx="30" c:formatCode="yyyy/mm;@">
                    <c:v>45078</c:v>
                  </c:pt>
                  <c:pt idx="31" c:formatCode="yyyy/mm;@">
                    <c:v>45108</c:v>
                  </c:pt>
                  <c:pt idx="32" c:formatCode="yyyy/mm;@">
                    <c:v>45139</c:v>
                  </c:pt>
                  <c:pt idx="33" c:formatCode="yyyy/mm;@">
                    <c:v>45170</c:v>
                  </c:pt>
                  <c:pt idx="34" c:formatCode="yyyy/mm;@">
                    <c:v>45200</c:v>
                  </c:pt>
                  <c:pt idx="35" c:formatCode="yyyy/mm;@">
                    <c:v>45231</c:v>
                  </c:pt>
                  <c:pt idx="36" c:formatCode="yyyy/mm;@">
                    <c:v>45261</c:v>
                  </c:pt>
                  <c:pt idx="37" c:formatCode="yyyy/mm;@">
                    <c:v>45292</c:v>
                  </c:pt>
                  <c:pt idx="38" c:formatCode="yyyy/mm;@">
                    <c:v>45323</c:v>
                  </c:pt>
                  <c:pt idx="39" c:formatCode="yyyy/mm;@">
                    <c:v>45352</c:v>
                  </c:pt>
                  <c:pt idx="40" c:formatCode="yyyy/mm;@">
                    <c:v>45383</c:v>
                  </c:pt>
                  <c:pt idx="41" c:formatCode="yyyy/mm;@">
                    <c:v>45413</c:v>
                  </c:pt>
                  <c:pt idx="42" c:formatCode="yyyy/mm;@">
                    <c:v>45444</c:v>
                  </c:pt>
                  <c:pt idx="43" c:formatCode="yyyy/mm;@">
                    <c:v>45474</c:v>
                  </c:pt>
                  <c:pt idx="44" c:formatCode="yyyy/mm;@">
                    <c:v>45505</c:v>
                  </c:pt>
                  <c:pt idx="45" c:formatCode="yyyy/mm;@">
                    <c:v>45536</c:v>
                  </c:pt>
                  <c:pt idx="46" c:formatCode="yyyy/mm;@">
                    <c:v>45566</c:v>
                  </c:pt>
                  <c:pt idx="47" c:formatCode="yyyy/mm;@">
                    <c:v>45597</c:v>
                  </c:pt>
                  <c:pt idx="48" c:formatCode="yyyy/mm;@">
                    <c:v>45627</c:v>
                  </c:pt>
                  <c:pt idx="49" c:formatCode="yyyy/mm;@">
                    <c:v>45658</c:v>
                  </c:pt>
                  <c:pt idx="50" c:formatCode="yyyy/mm;@">
                    <c:v>45689</c:v>
                  </c:pt>
                  <c:pt idx="51" c:formatCode="yyyy/mm;@">
                    <c:v>45717</c:v>
                  </c:pt>
                </c:lvl>
                <c:lvl/>
              </c:multiLvlStrCache>
            </c:multiLvlStrRef>
          </c:cat>
          <c:val>
            <c:numRef>
              <c:f>'充电桩-充电联盟'!$C$2:$C$53</c:f>
              <c:numCache>
                <c:formatCode>0.0</c:formatCode>
                <c:ptCount val="52"/>
                <c:pt idx="0">
                  <c:v>168.05</c:v>
                </c:pt>
                <c:pt idx="1">
                  <c:v>171.6</c:v>
                </c:pt>
                <c:pt idx="2">
                  <c:v>175.8</c:v>
                </c:pt>
                <c:pt idx="3">
                  <c:v>178.8</c:v>
                </c:pt>
                <c:pt idx="4">
                  <c:v>182.7</c:v>
                </c:pt>
                <c:pt idx="5">
                  <c:v>187</c:v>
                </c:pt>
                <c:pt idx="6">
                  <c:v>194.7</c:v>
                </c:pt>
                <c:pt idx="7">
                  <c:v>201.4</c:v>
                </c:pt>
                <c:pt idx="8">
                  <c:v>210.5</c:v>
                </c:pt>
                <c:pt idx="9">
                  <c:v>222.3</c:v>
                </c:pt>
                <c:pt idx="10">
                  <c:v>225.3</c:v>
                </c:pt>
                <c:pt idx="11">
                  <c:v>238.5</c:v>
                </c:pt>
                <c:pt idx="12">
                  <c:v>261.7</c:v>
                </c:pt>
                <c:pt idx="13">
                  <c:v>273.1</c:v>
                </c:pt>
                <c:pt idx="14">
                  <c:v>286.4</c:v>
                </c:pt>
                <c:pt idx="15">
                  <c:v>310.9</c:v>
                </c:pt>
                <c:pt idx="16">
                  <c:v>332.4</c:v>
                </c:pt>
                <c:pt idx="17">
                  <c:v>358</c:v>
                </c:pt>
                <c:pt idx="18">
                  <c:v>391.8</c:v>
                </c:pt>
                <c:pt idx="19">
                  <c:v>398</c:v>
                </c:pt>
                <c:pt idx="20">
                  <c:v>431.4</c:v>
                </c:pt>
                <c:pt idx="21">
                  <c:v>448.8</c:v>
                </c:pt>
                <c:pt idx="22">
                  <c:v>470.8</c:v>
                </c:pt>
                <c:pt idx="23">
                  <c:v>494.9</c:v>
                </c:pt>
                <c:pt idx="24">
                  <c:v>520.9</c:v>
                </c:pt>
                <c:pt idx="25">
                  <c:v>541.1</c:v>
                </c:pt>
                <c:pt idx="26">
                  <c:v>558.8</c:v>
                </c:pt>
                <c:pt idx="27">
                  <c:v>584.2</c:v>
                </c:pt>
                <c:pt idx="28">
                  <c:v>609.2</c:v>
                </c:pt>
                <c:pt idx="29">
                  <c:v>635.6</c:v>
                </c:pt>
                <c:pt idx="30">
                  <c:v>665.2</c:v>
                </c:pt>
                <c:pt idx="31">
                  <c:v>692.8</c:v>
                </c:pt>
                <c:pt idx="32">
                  <c:v>720.8</c:v>
                </c:pt>
                <c:pt idx="33">
                  <c:v>764.2</c:v>
                </c:pt>
                <c:pt idx="34">
                  <c:v>795.4</c:v>
                </c:pt>
                <c:pt idx="35">
                  <c:v>826.4</c:v>
                </c:pt>
                <c:pt idx="36">
                  <c:v>859.6</c:v>
                </c:pt>
                <c:pt idx="37">
                  <c:v>886.1</c:v>
                </c:pt>
                <c:pt idx="38">
                  <c:v>902.3</c:v>
                </c:pt>
                <c:pt idx="39">
                  <c:v>931.2</c:v>
                </c:pt>
                <c:pt idx="40">
                  <c:v>961.3</c:v>
                </c:pt>
                <c:pt idx="41">
                  <c:v>992.4</c:v>
                </c:pt>
                <c:pt idx="42">
                  <c:v>1024.3</c:v>
                </c:pt>
                <c:pt idx="43">
                  <c:v>1060.4</c:v>
                </c:pt>
                <c:pt idx="44">
                  <c:v>1099.9</c:v>
                </c:pt>
                <c:pt idx="45">
                  <c:v>1143.3</c:v>
                </c:pt>
                <c:pt idx="46">
                  <c:v>1188.4</c:v>
                </c:pt>
                <c:pt idx="47">
                  <c:v>1235.2</c:v>
                </c:pt>
                <c:pt idx="48">
                  <c:v>1281.8</c:v>
                </c:pt>
                <c:pt idx="49">
                  <c:v>1321.3</c:v>
                </c:pt>
                <c:pt idx="50">
                  <c:v>1345.1</c:v>
                </c:pt>
                <c:pt idx="51">
                  <c:v>1374.9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970776895"/>
        <c:axId val="197092606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"时间"</c15:sqref>
                        </c15:formulaRef>
                      </c:ext>
                    </c:extLst>
                    <c:strCache>
                      <c:ptCount val="1"/>
                      <c:pt idx="0">
                        <c:v>时间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>
                          <a:lumMod val="40000"/>
                          <a:lumOff val="60000"/>
                        </a:schemeClr>
                      </a:gs>
                      <a:gs pos="90000">
                        <a:schemeClr val="accent2"/>
                      </a:gs>
                    </a:gsLst>
                    <a:lin ang="5400000" scaled="0"/>
                  </a:gradFill>
                  <a:ln>
                    <a:gradFill>
                      <a:gsLst>
                        <a:gs pos="0">
                          <a:schemeClr val="accent2"/>
                        </a:gs>
                        <a:gs pos="100000">
                          <a:schemeClr val="accent2">
                            <a:lumMod val="75000"/>
                          </a:schemeClr>
                        </a:gs>
                      </a:gsLst>
                      <a:lin ang="5400000" scaled="1"/>
                    </a:gradFill>
                  </a:ln>
                  <a:effectLst>
                    <a:outerShdw blurRad="76200" dist="25400" dir="2700000" algn="tl" rotWithShape="0">
                      <a:schemeClr val="accent2">
                        <a:lumMod val="50000"/>
                        <a:alpha val="30000"/>
                      </a:schemeClr>
                    </a:outerShdw>
                  </a:effectLst>
                </c:spPr>
                <c:invertIfNegative val="0"/>
                <c:dLbls>
                  <c:delete val="1"/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'充电桩-充电联盟'!$A$2:$B$53</c15:sqref>
                        </c15:formulaRef>
                      </c:ext>
                    </c:extLst>
                    <c:multiLvlStrCache>
                      <c:ptCount val="52"/>
                      <c:lvl>
                        <c:pt idx="0" c:formatCode="yyyy/mm;@">
                          <c:v>44196</c:v>
                        </c:pt>
                        <c:pt idx="1" c:formatCode="yyyy/mm;@">
                          <c:v>44227</c:v>
                        </c:pt>
                        <c:pt idx="2" c:formatCode="yyyy/mm;@">
                          <c:v>44255</c:v>
                        </c:pt>
                        <c:pt idx="3" c:formatCode="yyyy/mm;@">
                          <c:v>44286</c:v>
                        </c:pt>
                        <c:pt idx="4" c:formatCode="yyyy/mm;@">
                          <c:v>44316</c:v>
                        </c:pt>
                        <c:pt idx="5" c:formatCode="yyyy/mm;@">
                          <c:v>44347</c:v>
                        </c:pt>
                        <c:pt idx="6" c:formatCode="yyyy/mm;@">
                          <c:v>44377</c:v>
                        </c:pt>
                        <c:pt idx="7" c:formatCode="yyyy/mm;@">
                          <c:v>44408</c:v>
                        </c:pt>
                        <c:pt idx="8" c:formatCode="yyyy/mm;@">
                          <c:v>44439</c:v>
                        </c:pt>
                        <c:pt idx="9" c:formatCode="yyyy/mm;@">
                          <c:v>44469</c:v>
                        </c:pt>
                        <c:pt idx="10" c:formatCode="yyyy/mm;@">
                          <c:v>44500</c:v>
                        </c:pt>
                        <c:pt idx="11" c:formatCode="yyyy/mm;@">
                          <c:v>44530</c:v>
                        </c:pt>
                        <c:pt idx="12" c:formatCode="yyyy/mm;@">
                          <c:v>44561</c:v>
                        </c:pt>
                        <c:pt idx="13" c:formatCode="yyyy/mm;@">
                          <c:v>44562</c:v>
                        </c:pt>
                        <c:pt idx="14" c:formatCode="yyyy/mm;@">
                          <c:v>44593</c:v>
                        </c:pt>
                        <c:pt idx="15" c:formatCode="yyyy/mm;@">
                          <c:v>44621</c:v>
                        </c:pt>
                        <c:pt idx="16" c:formatCode="yyyy/mm;@">
                          <c:v>44652</c:v>
                        </c:pt>
                        <c:pt idx="17" c:formatCode="yyyy/mm;@">
                          <c:v>44682</c:v>
                        </c:pt>
                        <c:pt idx="18" c:formatCode="yyyy/mm;@">
                          <c:v>44713</c:v>
                        </c:pt>
                        <c:pt idx="19" c:formatCode="yyyy/mm;@">
                          <c:v>44743</c:v>
                        </c:pt>
                        <c:pt idx="20" c:formatCode="yyyy/mm;@">
                          <c:v>44774</c:v>
                        </c:pt>
                        <c:pt idx="21" c:formatCode="yyyy/mm;@">
                          <c:v>44805</c:v>
                        </c:pt>
                        <c:pt idx="22" c:formatCode="yyyy/mm;@">
                          <c:v>44835</c:v>
                        </c:pt>
                        <c:pt idx="23" c:formatCode="yyyy/mm;@">
                          <c:v>44866</c:v>
                        </c:pt>
                        <c:pt idx="24" c:formatCode="yyyy/mm;@">
                          <c:v>44896</c:v>
                        </c:pt>
                        <c:pt idx="25" c:formatCode="yyyy/mm;@">
                          <c:v>44927</c:v>
                        </c:pt>
                        <c:pt idx="26" c:formatCode="yyyy/mm;@">
                          <c:v>44958</c:v>
                        </c:pt>
                        <c:pt idx="27" c:formatCode="yyyy/mm;@">
                          <c:v>44986</c:v>
                        </c:pt>
                        <c:pt idx="28" c:formatCode="yyyy/mm;@">
                          <c:v>45017</c:v>
                        </c:pt>
                        <c:pt idx="29" c:formatCode="yyyy/mm;@">
                          <c:v>45047</c:v>
                        </c:pt>
                        <c:pt idx="30" c:formatCode="yyyy/mm;@">
                          <c:v>45078</c:v>
                        </c:pt>
                        <c:pt idx="31" c:formatCode="yyyy/mm;@">
                          <c:v>45108</c:v>
                        </c:pt>
                        <c:pt idx="32" c:formatCode="yyyy/mm;@">
                          <c:v>45139</c:v>
                        </c:pt>
                        <c:pt idx="33" c:formatCode="yyyy/mm;@">
                          <c:v>45170</c:v>
                        </c:pt>
                        <c:pt idx="34" c:formatCode="yyyy/mm;@">
                          <c:v>45200</c:v>
                        </c:pt>
                        <c:pt idx="35" c:formatCode="yyyy/mm;@">
                          <c:v>45231</c:v>
                        </c:pt>
                        <c:pt idx="36" c:formatCode="yyyy/mm;@">
                          <c:v>45261</c:v>
                        </c:pt>
                        <c:pt idx="37" c:formatCode="yyyy/mm;@">
                          <c:v>45292</c:v>
                        </c:pt>
                        <c:pt idx="38" c:formatCode="yyyy/mm;@">
                          <c:v>45323</c:v>
                        </c:pt>
                        <c:pt idx="39" c:formatCode="yyyy/mm;@">
                          <c:v>45352</c:v>
                        </c:pt>
                        <c:pt idx="40" c:formatCode="yyyy/mm;@">
                          <c:v>45383</c:v>
                        </c:pt>
                        <c:pt idx="41" c:formatCode="yyyy/mm;@">
                          <c:v>45413</c:v>
                        </c:pt>
                        <c:pt idx="42" c:formatCode="yyyy/mm;@">
                          <c:v>45444</c:v>
                        </c:pt>
                        <c:pt idx="43" c:formatCode="yyyy/mm;@">
                          <c:v>45474</c:v>
                        </c:pt>
                        <c:pt idx="44" c:formatCode="yyyy/mm;@">
                          <c:v>45505</c:v>
                        </c:pt>
                        <c:pt idx="45" c:formatCode="yyyy/mm;@">
                          <c:v>45536</c:v>
                        </c:pt>
                        <c:pt idx="46" c:formatCode="yyyy/mm;@">
                          <c:v>45566</c:v>
                        </c:pt>
                        <c:pt idx="47" c:formatCode="yyyy/mm;@">
                          <c:v>45597</c:v>
                        </c:pt>
                        <c:pt idx="48" c:formatCode="yyyy/mm;@">
                          <c:v>45627</c:v>
                        </c:pt>
                        <c:pt idx="49" c:formatCode="yyyy/mm;@">
                          <c:v>45658</c:v>
                        </c:pt>
                        <c:pt idx="50" c:formatCode="yyyy/mm;@">
                          <c:v>45689</c:v>
                        </c:pt>
                        <c:pt idx="51" c:formatCode="yyyy/mm;@">
                          <c:v>45717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'充电桩-充电联盟'!$B$2:$B$34</c15:sqref>
                        </c15:formulaRef>
                      </c:ext>
                    </c:extLst>
                    <c:numCache>
                      <c:formatCode>yyyy/mm;@</c:formatCode>
                      <c:ptCount val="33"/>
                      <c:pt idx="0">
                        <c:v>44196</c:v>
                      </c:pt>
                      <c:pt idx="1">
                        <c:v>44227</c:v>
                      </c:pt>
                      <c:pt idx="2">
                        <c:v>44255</c:v>
                      </c:pt>
                      <c:pt idx="3">
                        <c:v>44286</c:v>
                      </c:pt>
                      <c:pt idx="4">
                        <c:v>44316</c:v>
                      </c:pt>
                      <c:pt idx="5">
                        <c:v>44347</c:v>
                      </c:pt>
                      <c:pt idx="6">
                        <c:v>44377</c:v>
                      </c:pt>
                      <c:pt idx="7">
                        <c:v>44408</c:v>
                      </c:pt>
                      <c:pt idx="8">
                        <c:v>44439</c:v>
                      </c:pt>
                      <c:pt idx="9">
                        <c:v>44469</c:v>
                      </c:pt>
                      <c:pt idx="10">
                        <c:v>44500</c:v>
                      </c:pt>
                      <c:pt idx="11">
                        <c:v>44530</c:v>
                      </c:pt>
                      <c:pt idx="12">
                        <c:v>44561</c:v>
                      </c:pt>
                      <c:pt idx="13">
                        <c:v>44562</c:v>
                      </c:pt>
                      <c:pt idx="14">
                        <c:v>44593</c:v>
                      </c:pt>
                      <c:pt idx="15">
                        <c:v>44621</c:v>
                      </c:pt>
                      <c:pt idx="16">
                        <c:v>44652</c:v>
                      </c:pt>
                      <c:pt idx="17">
                        <c:v>44682</c:v>
                      </c:pt>
                      <c:pt idx="18">
                        <c:v>44713</c:v>
                      </c:pt>
                      <c:pt idx="19">
                        <c:v>44743</c:v>
                      </c:pt>
                      <c:pt idx="20">
                        <c:v>44774</c:v>
                      </c:pt>
                      <c:pt idx="21">
                        <c:v>44805</c:v>
                      </c:pt>
                      <c:pt idx="22">
                        <c:v>44835</c:v>
                      </c:pt>
                      <c:pt idx="23">
                        <c:v>44866</c:v>
                      </c:pt>
                      <c:pt idx="24">
                        <c:v>44896</c:v>
                      </c:pt>
                      <c:pt idx="25">
                        <c:v>44927</c:v>
                      </c:pt>
                      <c:pt idx="26">
                        <c:v>44958</c:v>
                      </c:pt>
                      <c:pt idx="27">
                        <c:v>44986</c:v>
                      </c:pt>
                      <c:pt idx="28">
                        <c:v>45017</c:v>
                      </c:pt>
                      <c:pt idx="29">
                        <c:v>45047</c:v>
                      </c:pt>
                      <c:pt idx="30">
                        <c:v>45078</c:v>
                      </c:pt>
                      <c:pt idx="31">
                        <c:v>45108</c:v>
                      </c:pt>
                      <c:pt idx="32">
                        <c:v>45139</c:v>
                      </c:pt>
                    </c:numCache>
                  </c:numRef>
                </c:val>
              </c15:ser>
            </c15:filteredBarSeries>
          </c:ext>
        </c:extLst>
      </c:barChart>
      <c:dateAx>
        <c:axId val="1970776895"/>
        <c:scaling>
          <c:orientation val="minMax"/>
        </c:scaling>
        <c:delete val="0"/>
        <c:axPos val="b"/>
        <c:numFmt formatCode="yyyy/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926063"/>
        <c:crosses val="autoZero"/>
        <c:auto val="1"/>
        <c:lblAlgn val="ctr"/>
        <c:lblOffset val="100"/>
        <c:baseTimeUnit val="days"/>
      </c:dateAx>
      <c:valAx>
        <c:axId val="197092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0_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7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9159ac-89b9-4eb9-9971-9944bdc6bd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充电桩增量（万台）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22338145231846"/>
          <c:y val="0.119035009358516"/>
          <c:w val="0.916754593175853"/>
          <c:h val="0.645841353164188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'充电桩-充电联盟'!$B$3:$B$53</c:f>
              <c:numCache>
                <c:formatCode>yyyy/mm;@</c:formatCode>
                <c:ptCount val="51"/>
                <c:pt idx="0" c:formatCode="yyyy/mm;@">
                  <c:v>44227</c:v>
                </c:pt>
                <c:pt idx="1" c:formatCode="yyyy/mm;@">
                  <c:v>44255</c:v>
                </c:pt>
                <c:pt idx="2" c:formatCode="yyyy/mm;@">
                  <c:v>44286</c:v>
                </c:pt>
                <c:pt idx="3" c:formatCode="yyyy/mm;@">
                  <c:v>44316</c:v>
                </c:pt>
                <c:pt idx="4" c:formatCode="yyyy/mm;@">
                  <c:v>44347</c:v>
                </c:pt>
                <c:pt idx="5" c:formatCode="yyyy/mm;@">
                  <c:v>44377</c:v>
                </c:pt>
                <c:pt idx="6" c:formatCode="yyyy/mm;@">
                  <c:v>44408</c:v>
                </c:pt>
                <c:pt idx="7" c:formatCode="yyyy/mm;@">
                  <c:v>44439</c:v>
                </c:pt>
                <c:pt idx="8" c:formatCode="yyyy/mm;@">
                  <c:v>44469</c:v>
                </c:pt>
                <c:pt idx="9" c:formatCode="yyyy/mm;@">
                  <c:v>44500</c:v>
                </c:pt>
                <c:pt idx="10" c:formatCode="yyyy/mm;@">
                  <c:v>44530</c:v>
                </c:pt>
                <c:pt idx="11" c:formatCode="yyyy/mm;@">
                  <c:v>44561</c:v>
                </c:pt>
                <c:pt idx="12" c:formatCode="yyyy/mm;@">
                  <c:v>44562</c:v>
                </c:pt>
                <c:pt idx="13" c:formatCode="yyyy/mm;@">
                  <c:v>44593</c:v>
                </c:pt>
                <c:pt idx="14" c:formatCode="yyyy/mm;@">
                  <c:v>44621</c:v>
                </c:pt>
                <c:pt idx="15" c:formatCode="yyyy/mm;@">
                  <c:v>44652</c:v>
                </c:pt>
                <c:pt idx="16" c:formatCode="yyyy/mm;@">
                  <c:v>44682</c:v>
                </c:pt>
                <c:pt idx="17" c:formatCode="yyyy/mm;@">
                  <c:v>44713</c:v>
                </c:pt>
                <c:pt idx="18" c:formatCode="yyyy/mm;@">
                  <c:v>44743</c:v>
                </c:pt>
                <c:pt idx="19" c:formatCode="yyyy/mm;@">
                  <c:v>44774</c:v>
                </c:pt>
                <c:pt idx="20" c:formatCode="yyyy/mm;@">
                  <c:v>44805</c:v>
                </c:pt>
                <c:pt idx="21" c:formatCode="yyyy/mm;@">
                  <c:v>44835</c:v>
                </c:pt>
                <c:pt idx="22" c:formatCode="yyyy/mm;@">
                  <c:v>44866</c:v>
                </c:pt>
                <c:pt idx="23" c:formatCode="yyyy/mm;@">
                  <c:v>44896</c:v>
                </c:pt>
                <c:pt idx="24" c:formatCode="yyyy/mm;@">
                  <c:v>44927</c:v>
                </c:pt>
                <c:pt idx="25" c:formatCode="yyyy/mm;@">
                  <c:v>44958</c:v>
                </c:pt>
                <c:pt idx="26" c:formatCode="yyyy/mm;@">
                  <c:v>44986</c:v>
                </c:pt>
                <c:pt idx="27" c:formatCode="yyyy/mm;@">
                  <c:v>45017</c:v>
                </c:pt>
                <c:pt idx="28" c:formatCode="yyyy/mm;@">
                  <c:v>45047</c:v>
                </c:pt>
                <c:pt idx="29" c:formatCode="yyyy/mm;@">
                  <c:v>45078</c:v>
                </c:pt>
                <c:pt idx="30" c:formatCode="yyyy/mm;@">
                  <c:v>45108</c:v>
                </c:pt>
                <c:pt idx="31" c:formatCode="yyyy/mm;@">
                  <c:v>45139</c:v>
                </c:pt>
                <c:pt idx="32" c:formatCode="yyyy/mm;@">
                  <c:v>45170</c:v>
                </c:pt>
                <c:pt idx="33" c:formatCode="yyyy/mm;@">
                  <c:v>45200</c:v>
                </c:pt>
                <c:pt idx="34" c:formatCode="yyyy/mm;@">
                  <c:v>45231</c:v>
                </c:pt>
                <c:pt idx="35" c:formatCode="yyyy/mm;@">
                  <c:v>45261</c:v>
                </c:pt>
                <c:pt idx="36" c:formatCode="yyyy/mm;@">
                  <c:v>45292</c:v>
                </c:pt>
                <c:pt idx="37" c:formatCode="yyyy/mm;@">
                  <c:v>45323</c:v>
                </c:pt>
                <c:pt idx="38" c:formatCode="yyyy/mm;@">
                  <c:v>45352</c:v>
                </c:pt>
                <c:pt idx="39" c:formatCode="yyyy/mm;@">
                  <c:v>45383</c:v>
                </c:pt>
                <c:pt idx="40" c:formatCode="yyyy/mm;@">
                  <c:v>45413</c:v>
                </c:pt>
                <c:pt idx="41" c:formatCode="yyyy/mm;@">
                  <c:v>45444</c:v>
                </c:pt>
                <c:pt idx="42" c:formatCode="yyyy/mm;@">
                  <c:v>45474</c:v>
                </c:pt>
                <c:pt idx="43" c:formatCode="yyyy/mm;@">
                  <c:v>45505</c:v>
                </c:pt>
                <c:pt idx="44" c:formatCode="yyyy/mm;@">
                  <c:v>45536</c:v>
                </c:pt>
                <c:pt idx="45" c:formatCode="yyyy/mm;@">
                  <c:v>45566</c:v>
                </c:pt>
                <c:pt idx="46" c:formatCode="yyyy/mm;@">
                  <c:v>45597</c:v>
                </c:pt>
                <c:pt idx="47" c:formatCode="yyyy/mm;@">
                  <c:v>45627</c:v>
                </c:pt>
                <c:pt idx="48" c:formatCode="yyyy/mm;@">
                  <c:v>45658</c:v>
                </c:pt>
                <c:pt idx="49" c:formatCode="yyyy/mm;@">
                  <c:v>45689</c:v>
                </c:pt>
                <c:pt idx="50" c:formatCode="yyyy/mm;@">
                  <c:v>45717</c:v>
                </c:pt>
              </c:numCache>
            </c:numRef>
          </c:cat>
          <c:val>
            <c:numRef>
              <c:f>'充电桩-充电联盟'!$I$3:$I$53</c:f>
              <c:numCache>
                <c:formatCode>0.0</c:formatCode>
                <c:ptCount val="51"/>
                <c:pt idx="0">
                  <c:v>3.6</c:v>
                </c:pt>
                <c:pt idx="1">
                  <c:v>4.1</c:v>
                </c:pt>
                <c:pt idx="2">
                  <c:v>3</c:v>
                </c:pt>
                <c:pt idx="3">
                  <c:v>3.9</c:v>
                </c:pt>
                <c:pt idx="4">
                  <c:v>4.3</c:v>
                </c:pt>
                <c:pt idx="5">
                  <c:v>7.8</c:v>
                </c:pt>
                <c:pt idx="6">
                  <c:v>6.7</c:v>
                </c:pt>
                <c:pt idx="7">
                  <c:v>8.9</c:v>
                </c:pt>
                <c:pt idx="8">
                  <c:v>11.9</c:v>
                </c:pt>
                <c:pt idx="9">
                  <c:v>3</c:v>
                </c:pt>
                <c:pt idx="10">
                  <c:v>13.3</c:v>
                </c:pt>
                <c:pt idx="11">
                  <c:v>23.2</c:v>
                </c:pt>
                <c:pt idx="12">
                  <c:v>11.4</c:v>
                </c:pt>
                <c:pt idx="13">
                  <c:v>13.4</c:v>
                </c:pt>
                <c:pt idx="14">
                  <c:v>24.5</c:v>
                </c:pt>
                <c:pt idx="15">
                  <c:v>21.5</c:v>
                </c:pt>
                <c:pt idx="16">
                  <c:v>25.6</c:v>
                </c:pt>
                <c:pt idx="17">
                  <c:v>33.7</c:v>
                </c:pt>
                <c:pt idx="18">
                  <c:v>6.1</c:v>
                </c:pt>
                <c:pt idx="19">
                  <c:v>33.4</c:v>
                </c:pt>
                <c:pt idx="20">
                  <c:v>17.3</c:v>
                </c:pt>
                <c:pt idx="21">
                  <c:v>22</c:v>
                </c:pt>
                <c:pt idx="22">
                  <c:v>23.4</c:v>
                </c:pt>
                <c:pt idx="23">
                  <c:v>26</c:v>
                </c:pt>
                <c:pt idx="24">
                  <c:v>20.2</c:v>
                </c:pt>
                <c:pt idx="25">
                  <c:v>17.6999999999999</c:v>
                </c:pt>
                <c:pt idx="26">
                  <c:v>25.4000000000001</c:v>
                </c:pt>
                <c:pt idx="27">
                  <c:v>25</c:v>
                </c:pt>
                <c:pt idx="28">
                  <c:v>26.4</c:v>
                </c:pt>
                <c:pt idx="29">
                  <c:v>29.6</c:v>
                </c:pt>
                <c:pt idx="30">
                  <c:v>27.5999999999999</c:v>
                </c:pt>
                <c:pt idx="31">
                  <c:v>28</c:v>
                </c:pt>
                <c:pt idx="32">
                  <c:v>43.4000000000001</c:v>
                </c:pt>
                <c:pt idx="33">
                  <c:v>31.1999999999999</c:v>
                </c:pt>
                <c:pt idx="34">
                  <c:v>31</c:v>
                </c:pt>
                <c:pt idx="35">
                  <c:v>33.2</c:v>
                </c:pt>
                <c:pt idx="36">
                  <c:v>26.5</c:v>
                </c:pt>
                <c:pt idx="37">
                  <c:v>16.1999999999999</c:v>
                </c:pt>
                <c:pt idx="38">
                  <c:v>28.9000000000001</c:v>
                </c:pt>
                <c:pt idx="39">
                  <c:v>30.0999999999999</c:v>
                </c:pt>
                <c:pt idx="40">
                  <c:v>31.1</c:v>
                </c:pt>
                <c:pt idx="41">
                  <c:v>31.9</c:v>
                </c:pt>
                <c:pt idx="42">
                  <c:v>36.1000000000001</c:v>
                </c:pt>
                <c:pt idx="43">
                  <c:v>39.5</c:v>
                </c:pt>
                <c:pt idx="44">
                  <c:v>43.3999999999999</c:v>
                </c:pt>
                <c:pt idx="45">
                  <c:v>45.1000000000001</c:v>
                </c:pt>
                <c:pt idx="46">
                  <c:v>46.8</c:v>
                </c:pt>
                <c:pt idx="47">
                  <c:v>46.5999999999999</c:v>
                </c:pt>
                <c:pt idx="48">
                  <c:v>39.5</c:v>
                </c:pt>
                <c:pt idx="49">
                  <c:v>23.8</c:v>
                </c:pt>
                <c:pt idx="50">
                  <c:v>29.8000000000002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970776895"/>
        <c:axId val="1970926063"/>
      </c:barChart>
      <c:dateAx>
        <c:axId val="1970776895"/>
        <c:scaling>
          <c:orientation val="minMax"/>
        </c:scaling>
        <c:delete val="0"/>
        <c:axPos val="b"/>
        <c:numFmt formatCode="yyyy/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926063"/>
        <c:crosses val="autoZero"/>
        <c:auto val="1"/>
        <c:lblOffset val="100"/>
        <c:baseTimeUnit val="days"/>
      </c:dateAx>
      <c:valAx>
        <c:axId val="197092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0_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7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8cec7a-2cef-4a3b-955b-986b04ebca9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6583522297808"/>
          <c:y val="0.0596693642461359"/>
          <c:w val="0.90842125984252"/>
          <c:h val="0.68287839020122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'充电桩-充电联盟'!$B$2:$B$53</c:f>
              <c:numCache>
                <c:formatCode>yyyy/mm;@</c:formatCode>
                <c:ptCount val="52"/>
                <c:pt idx="0" c:formatCode="yyyy/mm;@">
                  <c:v>44196</c:v>
                </c:pt>
                <c:pt idx="1" c:formatCode="yyyy/mm;@">
                  <c:v>44227</c:v>
                </c:pt>
                <c:pt idx="2" c:formatCode="yyyy/mm;@">
                  <c:v>44255</c:v>
                </c:pt>
                <c:pt idx="3" c:formatCode="yyyy/mm;@">
                  <c:v>44286</c:v>
                </c:pt>
                <c:pt idx="4" c:formatCode="yyyy/mm;@">
                  <c:v>44316</c:v>
                </c:pt>
                <c:pt idx="5" c:formatCode="yyyy/mm;@">
                  <c:v>44347</c:v>
                </c:pt>
                <c:pt idx="6" c:formatCode="yyyy/mm;@">
                  <c:v>44377</c:v>
                </c:pt>
                <c:pt idx="7" c:formatCode="yyyy/mm;@">
                  <c:v>44408</c:v>
                </c:pt>
                <c:pt idx="8" c:formatCode="yyyy/mm;@">
                  <c:v>44439</c:v>
                </c:pt>
                <c:pt idx="9" c:formatCode="yyyy/mm;@">
                  <c:v>44469</c:v>
                </c:pt>
                <c:pt idx="10" c:formatCode="yyyy/mm;@">
                  <c:v>44500</c:v>
                </c:pt>
                <c:pt idx="11" c:formatCode="yyyy/mm;@">
                  <c:v>44530</c:v>
                </c:pt>
                <c:pt idx="12" c:formatCode="yyyy/mm;@">
                  <c:v>44561</c:v>
                </c:pt>
                <c:pt idx="13" c:formatCode="yyyy/mm;@">
                  <c:v>44562</c:v>
                </c:pt>
                <c:pt idx="14" c:formatCode="yyyy/mm;@">
                  <c:v>44593</c:v>
                </c:pt>
                <c:pt idx="15" c:formatCode="yyyy/mm;@">
                  <c:v>44621</c:v>
                </c:pt>
                <c:pt idx="16" c:formatCode="yyyy/mm;@">
                  <c:v>44652</c:v>
                </c:pt>
                <c:pt idx="17" c:formatCode="yyyy/mm;@">
                  <c:v>44682</c:v>
                </c:pt>
                <c:pt idx="18" c:formatCode="yyyy/mm;@">
                  <c:v>44713</c:v>
                </c:pt>
                <c:pt idx="19" c:formatCode="yyyy/mm;@">
                  <c:v>44743</c:v>
                </c:pt>
                <c:pt idx="20" c:formatCode="yyyy/mm;@">
                  <c:v>44774</c:v>
                </c:pt>
                <c:pt idx="21" c:formatCode="yyyy/mm;@">
                  <c:v>44805</c:v>
                </c:pt>
                <c:pt idx="22" c:formatCode="yyyy/mm;@">
                  <c:v>44835</c:v>
                </c:pt>
                <c:pt idx="23" c:formatCode="yyyy/mm;@">
                  <c:v>44866</c:v>
                </c:pt>
                <c:pt idx="24" c:formatCode="yyyy/mm;@">
                  <c:v>44896</c:v>
                </c:pt>
                <c:pt idx="25" c:formatCode="yyyy/mm;@">
                  <c:v>44927</c:v>
                </c:pt>
                <c:pt idx="26" c:formatCode="yyyy/mm;@">
                  <c:v>44958</c:v>
                </c:pt>
                <c:pt idx="27" c:formatCode="yyyy/mm;@">
                  <c:v>44986</c:v>
                </c:pt>
                <c:pt idx="28" c:formatCode="yyyy/mm;@">
                  <c:v>45017</c:v>
                </c:pt>
                <c:pt idx="29" c:formatCode="yyyy/mm;@">
                  <c:v>45047</c:v>
                </c:pt>
                <c:pt idx="30" c:formatCode="yyyy/mm;@">
                  <c:v>45078</c:v>
                </c:pt>
                <c:pt idx="31" c:formatCode="yyyy/mm;@">
                  <c:v>45108</c:v>
                </c:pt>
                <c:pt idx="32" c:formatCode="yyyy/mm;@">
                  <c:v>45139</c:v>
                </c:pt>
                <c:pt idx="33" c:formatCode="yyyy/mm;@">
                  <c:v>45170</c:v>
                </c:pt>
                <c:pt idx="34" c:formatCode="yyyy/mm;@">
                  <c:v>45200</c:v>
                </c:pt>
                <c:pt idx="35" c:formatCode="yyyy/mm;@">
                  <c:v>45231</c:v>
                </c:pt>
                <c:pt idx="36" c:formatCode="yyyy/mm;@">
                  <c:v>45261</c:v>
                </c:pt>
                <c:pt idx="37" c:formatCode="yyyy/mm;@">
                  <c:v>45292</c:v>
                </c:pt>
                <c:pt idx="38" c:formatCode="yyyy/mm;@">
                  <c:v>45323</c:v>
                </c:pt>
                <c:pt idx="39" c:formatCode="yyyy/mm;@">
                  <c:v>45352</c:v>
                </c:pt>
                <c:pt idx="40" c:formatCode="yyyy/mm;@">
                  <c:v>45383</c:v>
                </c:pt>
                <c:pt idx="41" c:formatCode="yyyy/mm;@">
                  <c:v>45413</c:v>
                </c:pt>
                <c:pt idx="42" c:formatCode="yyyy/mm;@">
                  <c:v>45444</c:v>
                </c:pt>
                <c:pt idx="43" c:formatCode="yyyy/mm;@">
                  <c:v>45474</c:v>
                </c:pt>
                <c:pt idx="44" c:formatCode="yyyy/mm;@">
                  <c:v>45505</c:v>
                </c:pt>
                <c:pt idx="45" c:formatCode="yyyy/mm;@">
                  <c:v>45536</c:v>
                </c:pt>
                <c:pt idx="46" c:formatCode="yyyy/mm;@">
                  <c:v>45566</c:v>
                </c:pt>
                <c:pt idx="47" c:formatCode="yyyy/mm;@">
                  <c:v>45597</c:v>
                </c:pt>
                <c:pt idx="48" c:formatCode="yyyy/mm;@">
                  <c:v>45627</c:v>
                </c:pt>
                <c:pt idx="49" c:formatCode="yyyy/mm;@">
                  <c:v>45658</c:v>
                </c:pt>
                <c:pt idx="50" c:formatCode="yyyy/mm;@">
                  <c:v>45689</c:v>
                </c:pt>
                <c:pt idx="51" c:formatCode="yyyy/mm;@">
                  <c:v>45717</c:v>
                </c:pt>
              </c:numCache>
            </c:numRef>
          </c:cat>
          <c:val>
            <c:numRef>
              <c:f>'充电桩-充电联盟'!$G$2:$G$53</c:f>
              <c:numCache>
                <c:formatCode>0.0</c:formatCode>
                <c:ptCount val="52"/>
                <c:pt idx="1" c:formatCode="0%">
                  <c:v>0.424167694204686</c:v>
                </c:pt>
                <c:pt idx="2" c:formatCode="0%">
                  <c:v>0.416965352449223</c:v>
                </c:pt>
                <c:pt idx="3" c:formatCode="0%">
                  <c:v>0.417156286721504</c:v>
                </c:pt>
                <c:pt idx="4" c:formatCode="0%">
                  <c:v>0.418202764976959</c:v>
                </c:pt>
                <c:pt idx="5" c:formatCode="0%">
                  <c:v>0.416289592760181</c:v>
                </c:pt>
                <c:pt idx="6" c:formatCode="0%">
                  <c:v>0.405200433369447</c:v>
                </c:pt>
                <c:pt idx="7" c:formatCode="0%">
                  <c:v>0.403157894736842</c:v>
                </c:pt>
                <c:pt idx="8" c:formatCode="0%">
                  <c:v>0.40507614213198</c:v>
                </c:pt>
                <c:pt idx="9" c:formatCode="0%">
                  <c:v>0.409961685823755</c:v>
                </c:pt>
                <c:pt idx="10" c:formatCode="0%">
                  <c:v>0.410546139359699</c:v>
                </c:pt>
                <c:pt idx="11" c:formatCode="0%">
                  <c:v>0.412087912087912</c:v>
                </c:pt>
                <c:pt idx="12" c:formatCode="0%">
                  <c:v>0.40976460331299</c:v>
                </c:pt>
                <c:pt idx="13" c:formatCode="0%">
                  <c:v>0.412563667232598</c:v>
                </c:pt>
                <c:pt idx="14" c:formatCode="0%">
                  <c:v>0.408903544929926</c:v>
                </c:pt>
                <c:pt idx="15" c:formatCode="0%">
                  <c:v>0.407467532467532</c:v>
                </c:pt>
                <c:pt idx="16" c:formatCode="0%">
                  <c:v>0.433183183183183</c:v>
                </c:pt>
                <c:pt idx="17" c:formatCode="0%">
                  <c:v>0.43199436222692</c:v>
                </c:pt>
                <c:pt idx="18" c:formatCode="0%">
                  <c:v>0.43520942408377</c:v>
                </c:pt>
                <c:pt idx="19" c:formatCode="0%">
                  <c:v>0.434285714285714</c:v>
                </c:pt>
                <c:pt idx="20" c:formatCode="0%">
                  <c:v>0.432532347504621</c:v>
                </c:pt>
                <c:pt idx="21" c:formatCode="0%">
                  <c:v>0.430317848410758</c:v>
                </c:pt>
                <c:pt idx="22" c:formatCode="0%">
                  <c:v>0.422619047619048</c:v>
                </c:pt>
                <c:pt idx="23" c:formatCode="0%">
                  <c:v>0.422876949740035</c:v>
                </c:pt>
                <c:pt idx="24" c:formatCode="0%">
                  <c:v>0.423483583750696</c:v>
                </c:pt>
                <c:pt idx="25" c:formatCode="0%">
                  <c:v>0.426862425231104</c:v>
                </c:pt>
                <c:pt idx="26" c:formatCode="0%">
                  <c:v>0.4258962011771</c:v>
                </c:pt>
                <c:pt idx="27" c:formatCode="0%">
                  <c:v>0.419816138917262</c:v>
                </c:pt>
                <c:pt idx="28" c:formatCode="0%">
                  <c:v>0.422222222222222</c:v>
                </c:pt>
                <c:pt idx="29" c:formatCode="0%">
                  <c:v>0.420825335892514</c:v>
                </c:pt>
                <c:pt idx="30" c:formatCode="0%">
                  <c:v>0.422522103303862</c:v>
                </c:pt>
                <c:pt idx="31" c:formatCode="0%">
                  <c:v>0.424242424242424</c:v>
                </c:pt>
                <c:pt idx="32" c:formatCode="0%">
                  <c:v>0.423855633802817</c:v>
                </c:pt>
                <c:pt idx="33" c:formatCode="0%">
                  <c:v>0.430950446791227</c:v>
                </c:pt>
                <c:pt idx="34" c:formatCode="0%">
                  <c:v>0.431683168316832</c:v>
                </c:pt>
                <c:pt idx="35" c:formatCode="0%">
                  <c:v>0.434424980959634</c:v>
                </c:pt>
                <c:pt idx="36" c:formatCode="0%">
                  <c:v>0.441305942773294</c:v>
                </c:pt>
                <c:pt idx="37" c:formatCode="0%">
                  <c:v>0.436376707404745</c:v>
                </c:pt>
                <c:pt idx="38" c:formatCode="0%">
                  <c:v>0.438428874734607</c:v>
                </c:pt>
                <c:pt idx="39" c:formatCode="0%">
                  <c:v>0.439326228944655</c:v>
                </c:pt>
                <c:pt idx="40" c:formatCode="0%">
                  <c:v>0.441719852200202</c:v>
                </c:pt>
                <c:pt idx="41" c:formatCode="0%">
                  <c:v>0.441784191538209</c:v>
                </c:pt>
                <c:pt idx="42" c:formatCode="0%">
                  <c:v>0.445868033311979</c:v>
                </c:pt>
                <c:pt idx="43" c:formatCode="0%">
                  <c:v>0.445933312558429</c:v>
                </c:pt>
                <c:pt idx="44" c:formatCode="0%">
                  <c:v>0.447747471651854</c:v>
                </c:pt>
                <c:pt idx="45" c:formatCode="0%">
                  <c:v>0.450886151997597</c:v>
                </c:pt>
                <c:pt idx="46" c:formatCode="0%">
                  <c:v>0.452668829253907</c:v>
                </c:pt>
                <c:pt idx="47" c:formatCode="0%">
                  <c:v>0.455202312138728</c:v>
                </c:pt>
                <c:pt idx="48" c:formatCode="0%">
                  <c:v>0.459066778429729</c:v>
                </c:pt>
                <c:pt idx="49" c:formatCode="0%">
                  <c:v>0.455851063829787</c:v>
                </c:pt>
                <c:pt idx="50" c:formatCode="0%">
                  <c:v>0.458768267223382</c:v>
                </c:pt>
                <c:pt idx="51" c:formatCode="0%">
                  <c:v>0.457809694793537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970776895"/>
        <c:axId val="1970926063"/>
      </c:barChart>
      <c:dateAx>
        <c:axId val="1970776895"/>
        <c:scaling>
          <c:orientation val="minMax"/>
        </c:scaling>
        <c:delete val="0"/>
        <c:axPos val="b"/>
        <c:numFmt formatCode="yyyy/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926063"/>
        <c:crosses val="autoZero"/>
        <c:auto val="1"/>
        <c:lblOffset val="100"/>
        <c:baseTimeUnit val="days"/>
      </c:dateAx>
      <c:valAx>
        <c:axId val="197092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7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029852-e683-4cf6-b992-fd534d3e80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833449256342957"/>
          <c:y val="0.100178623505395"/>
          <c:w val="0.897310148731409"/>
          <c:h val="0.650470982793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'充电桩-充电联盟'!$R$1</c:f>
              <c:strCache>
                <c:ptCount val="1"/>
                <c:pt idx="0">
                  <c:v>公共充电桩占比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'充电桩-充电联盟'!$B$2:$B$53</c:f>
              <c:numCache>
                <c:formatCode>yyyy/mm;@</c:formatCode>
                <c:ptCount val="52"/>
                <c:pt idx="0" c:formatCode="yyyy/mm;@">
                  <c:v>44196</c:v>
                </c:pt>
                <c:pt idx="1" c:formatCode="yyyy/mm;@">
                  <c:v>44227</c:v>
                </c:pt>
                <c:pt idx="2" c:formatCode="yyyy/mm;@">
                  <c:v>44255</c:v>
                </c:pt>
                <c:pt idx="3" c:formatCode="yyyy/mm;@">
                  <c:v>44286</c:v>
                </c:pt>
                <c:pt idx="4" c:formatCode="yyyy/mm;@">
                  <c:v>44316</c:v>
                </c:pt>
                <c:pt idx="5" c:formatCode="yyyy/mm;@">
                  <c:v>44347</c:v>
                </c:pt>
                <c:pt idx="6" c:formatCode="yyyy/mm;@">
                  <c:v>44377</c:v>
                </c:pt>
                <c:pt idx="7" c:formatCode="yyyy/mm;@">
                  <c:v>44408</c:v>
                </c:pt>
                <c:pt idx="8" c:formatCode="yyyy/mm;@">
                  <c:v>44439</c:v>
                </c:pt>
                <c:pt idx="9" c:formatCode="yyyy/mm;@">
                  <c:v>44469</c:v>
                </c:pt>
                <c:pt idx="10" c:formatCode="yyyy/mm;@">
                  <c:v>44500</c:v>
                </c:pt>
                <c:pt idx="11" c:formatCode="yyyy/mm;@">
                  <c:v>44530</c:v>
                </c:pt>
                <c:pt idx="12" c:formatCode="yyyy/mm;@">
                  <c:v>44561</c:v>
                </c:pt>
                <c:pt idx="13" c:formatCode="yyyy/mm;@">
                  <c:v>44562</c:v>
                </c:pt>
                <c:pt idx="14" c:formatCode="yyyy/mm;@">
                  <c:v>44593</c:v>
                </c:pt>
                <c:pt idx="15" c:formatCode="yyyy/mm;@">
                  <c:v>44621</c:v>
                </c:pt>
                <c:pt idx="16" c:formatCode="yyyy/mm;@">
                  <c:v>44652</c:v>
                </c:pt>
                <c:pt idx="17" c:formatCode="yyyy/mm;@">
                  <c:v>44682</c:v>
                </c:pt>
                <c:pt idx="18" c:formatCode="yyyy/mm;@">
                  <c:v>44713</c:v>
                </c:pt>
                <c:pt idx="19" c:formatCode="yyyy/mm;@">
                  <c:v>44743</c:v>
                </c:pt>
                <c:pt idx="20" c:formatCode="yyyy/mm;@">
                  <c:v>44774</c:v>
                </c:pt>
                <c:pt idx="21" c:formatCode="yyyy/mm;@">
                  <c:v>44805</c:v>
                </c:pt>
                <c:pt idx="22" c:formatCode="yyyy/mm;@">
                  <c:v>44835</c:v>
                </c:pt>
                <c:pt idx="23" c:formatCode="yyyy/mm;@">
                  <c:v>44866</c:v>
                </c:pt>
                <c:pt idx="24" c:formatCode="yyyy/mm;@">
                  <c:v>44896</c:v>
                </c:pt>
                <c:pt idx="25" c:formatCode="yyyy/mm;@">
                  <c:v>44927</c:v>
                </c:pt>
                <c:pt idx="26" c:formatCode="yyyy/mm;@">
                  <c:v>44958</c:v>
                </c:pt>
                <c:pt idx="27" c:formatCode="yyyy/mm;@">
                  <c:v>44986</c:v>
                </c:pt>
                <c:pt idx="28" c:formatCode="yyyy/mm;@">
                  <c:v>45017</c:v>
                </c:pt>
                <c:pt idx="29" c:formatCode="yyyy/mm;@">
                  <c:v>45047</c:v>
                </c:pt>
                <c:pt idx="30" c:formatCode="yyyy/mm;@">
                  <c:v>45078</c:v>
                </c:pt>
                <c:pt idx="31" c:formatCode="yyyy/mm;@">
                  <c:v>45108</c:v>
                </c:pt>
                <c:pt idx="32" c:formatCode="yyyy/mm;@">
                  <c:v>45139</c:v>
                </c:pt>
                <c:pt idx="33" c:formatCode="yyyy/mm;@">
                  <c:v>45170</c:v>
                </c:pt>
                <c:pt idx="34" c:formatCode="yyyy/mm;@">
                  <c:v>45200</c:v>
                </c:pt>
                <c:pt idx="35" c:formatCode="yyyy/mm;@">
                  <c:v>45231</c:v>
                </c:pt>
                <c:pt idx="36" c:formatCode="yyyy/mm;@">
                  <c:v>45261</c:v>
                </c:pt>
                <c:pt idx="37" c:formatCode="yyyy/mm;@">
                  <c:v>45292</c:v>
                </c:pt>
                <c:pt idx="38" c:formatCode="yyyy/mm;@">
                  <c:v>45323</c:v>
                </c:pt>
                <c:pt idx="39" c:formatCode="yyyy/mm;@">
                  <c:v>45352</c:v>
                </c:pt>
                <c:pt idx="40" c:formatCode="yyyy/mm;@">
                  <c:v>45383</c:v>
                </c:pt>
                <c:pt idx="41" c:formatCode="yyyy/mm;@">
                  <c:v>45413</c:v>
                </c:pt>
                <c:pt idx="42" c:formatCode="yyyy/mm;@">
                  <c:v>45444</c:v>
                </c:pt>
                <c:pt idx="43" c:formatCode="yyyy/mm;@">
                  <c:v>45474</c:v>
                </c:pt>
                <c:pt idx="44" c:formatCode="yyyy/mm;@">
                  <c:v>45505</c:v>
                </c:pt>
                <c:pt idx="45" c:formatCode="yyyy/mm;@">
                  <c:v>45536</c:v>
                </c:pt>
                <c:pt idx="46" c:formatCode="yyyy/mm;@">
                  <c:v>45566</c:v>
                </c:pt>
                <c:pt idx="47" c:formatCode="yyyy/mm;@">
                  <c:v>45597</c:v>
                </c:pt>
                <c:pt idx="48" c:formatCode="yyyy/mm;@">
                  <c:v>45627</c:v>
                </c:pt>
                <c:pt idx="49" c:formatCode="yyyy/mm;@">
                  <c:v>45658</c:v>
                </c:pt>
                <c:pt idx="50" c:formatCode="yyyy/mm;@">
                  <c:v>45689</c:v>
                </c:pt>
                <c:pt idx="51" c:formatCode="yyyy/mm;@">
                  <c:v>45717</c:v>
                </c:pt>
              </c:numCache>
            </c:numRef>
          </c:cat>
          <c:val>
            <c:numRef>
              <c:f>'充电桩-充电联盟'!$R$2:$R$53</c:f>
              <c:numCache>
                <c:formatCode>0%</c:formatCode>
                <c:ptCount val="52"/>
                <c:pt idx="0">
                  <c:v>0.480214221957751</c:v>
                </c:pt>
                <c:pt idx="1">
                  <c:v>0.472610722610723</c:v>
                </c:pt>
                <c:pt idx="2">
                  <c:v>0.476109215017065</c:v>
                </c:pt>
                <c:pt idx="3">
                  <c:v>0.475950782997763</c:v>
                </c:pt>
                <c:pt idx="4">
                  <c:v>0.475095785440613</c:v>
                </c:pt>
                <c:pt idx="5">
                  <c:v>0.472727272727273</c:v>
                </c:pt>
                <c:pt idx="6">
                  <c:v>0.474062660503339</c:v>
                </c:pt>
                <c:pt idx="7">
                  <c:v>0.471698113207547</c:v>
                </c:pt>
                <c:pt idx="8">
                  <c:v>0.467933491686461</c:v>
                </c:pt>
                <c:pt idx="9">
                  <c:v>0.469635627530364</c:v>
                </c:pt>
                <c:pt idx="10">
                  <c:v>0.471371504660453</c:v>
                </c:pt>
                <c:pt idx="11">
                  <c:v>0.457861635220126</c:v>
                </c:pt>
                <c:pt idx="12">
                  <c:v>0.438288116163546</c:v>
                </c:pt>
                <c:pt idx="13">
                  <c:v>0.431343830098865</c:v>
                </c:pt>
                <c:pt idx="14">
                  <c:v>0.423533519553073</c:v>
                </c:pt>
                <c:pt idx="15">
                  <c:v>0.396268896751367</c:v>
                </c:pt>
                <c:pt idx="16">
                  <c:v>0.40072202166065</c:v>
                </c:pt>
                <c:pt idx="17">
                  <c:v>0.396368715083799</c:v>
                </c:pt>
                <c:pt idx="18">
                  <c:v>0.389994895354773</c:v>
                </c:pt>
                <c:pt idx="19">
                  <c:v>0.39572864321608</c:v>
                </c:pt>
                <c:pt idx="20">
                  <c:v>0.376216968011127</c:v>
                </c:pt>
                <c:pt idx="21">
                  <c:v>0.364527629233512</c:v>
                </c:pt>
                <c:pt idx="22">
                  <c:v>0.356839422259983</c:v>
                </c:pt>
                <c:pt idx="23">
                  <c:v>0.349767629824207</c:v>
                </c:pt>
                <c:pt idx="24">
                  <c:v>0.34497984258015</c:v>
                </c:pt>
                <c:pt idx="25">
                  <c:v>0.339863241545001</c:v>
                </c:pt>
                <c:pt idx="26">
                  <c:v>0.334466714387974</c:v>
                </c:pt>
                <c:pt idx="27">
                  <c:v>0.335159192057515</c:v>
                </c:pt>
                <c:pt idx="28">
                  <c:v>0.332403151674327</c:v>
                </c:pt>
                <c:pt idx="29">
                  <c:v>0.327879169288861</c:v>
                </c:pt>
                <c:pt idx="30">
                  <c:v>0.323060733613951</c:v>
                </c:pt>
                <c:pt idx="31">
                  <c:v>0.319139722863741</c:v>
                </c:pt>
                <c:pt idx="32">
                  <c:v>0.315205327413984</c:v>
                </c:pt>
                <c:pt idx="33">
                  <c:v>0.322166971996859</c:v>
                </c:pt>
                <c:pt idx="34">
                  <c:v>0.317450339451848</c:v>
                </c:pt>
                <c:pt idx="35">
                  <c:v>0.317763794772507</c:v>
                </c:pt>
                <c:pt idx="36">
                  <c:v>0.317124243834342</c:v>
                </c:pt>
                <c:pt idx="37">
                  <c:v>0.313960049655795</c:v>
                </c:pt>
                <c:pt idx="38">
                  <c:v>0.313199601019617</c:v>
                </c:pt>
                <c:pt idx="39">
                  <c:v>0.312392611683849</c:v>
                </c:pt>
                <c:pt idx="40">
                  <c:v>0.309684801830854</c:v>
                </c:pt>
                <c:pt idx="41">
                  <c:v>0.307234985892785</c:v>
                </c:pt>
                <c:pt idx="42">
                  <c:v>0.304793517524163</c:v>
                </c:pt>
                <c:pt idx="43">
                  <c:v>0.302621652206714</c:v>
                </c:pt>
                <c:pt idx="44">
                  <c:v>0.296663333030275</c:v>
                </c:pt>
                <c:pt idx="45">
                  <c:v>0.291174669815446</c:v>
                </c:pt>
                <c:pt idx="46">
                  <c:v>0.285341635812858</c:v>
                </c:pt>
                <c:pt idx="47">
                  <c:v>0.280116580310881</c:v>
                </c:pt>
                <c:pt idx="48">
                  <c:v>0.27921672647839</c:v>
                </c:pt>
                <c:pt idx="49">
                  <c:v>0.284568228260047</c:v>
                </c:pt>
                <c:pt idx="50">
                  <c:v>0.284885882090551</c:v>
                </c:pt>
                <c:pt idx="51">
                  <c:v>0.283584260673504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970776895"/>
        <c:axId val="1970926063"/>
      </c:barChart>
      <c:dateAx>
        <c:axId val="1970776895"/>
        <c:scaling>
          <c:orientation val="minMax"/>
        </c:scaling>
        <c:delete val="0"/>
        <c:axPos val="b"/>
        <c:numFmt formatCode="yyyy/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926063"/>
        <c:crosses val="autoZero"/>
        <c:auto val="1"/>
        <c:lblOffset val="100"/>
        <c:baseTimeUnit val="days"/>
      </c:dateAx>
      <c:valAx>
        <c:axId val="1970926063"/>
        <c:scaling>
          <c:orientation val="minMax"/>
          <c:min val="0.3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7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f2f0a6-f64a-4cb3-8b6d-bda6ceb4d8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96950826029124"/>
          <c:y val="0.0608114973839473"/>
          <c:w val="0.891754593175853"/>
          <c:h val="0.780100612423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'充电桩-充电联盟'!$C$83</c:f>
              <c:strCache>
                <c:ptCount val="1"/>
                <c:pt idx="0">
                  <c:v>充电桩保有量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'充电桩-充电联盟'!$B$84:$B$90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'充电桩-充电联盟'!$C$84:$C$90</c:f>
              <c:numCache>
                <c:formatCode>0.0_);[Red]\(0.0\)</c:formatCode>
                <c:ptCount val="7"/>
                <c:pt idx="0">
                  <c:v>77.7</c:v>
                </c:pt>
                <c:pt idx="1">
                  <c:v>121.9</c:v>
                </c:pt>
                <c:pt idx="2">
                  <c:v>168.1</c:v>
                </c:pt>
                <c:pt idx="3">
                  <c:v>261.7</c:v>
                </c:pt>
                <c:pt idx="4">
                  <c:v>521</c:v>
                </c:pt>
                <c:pt idx="5">
                  <c:v>859.6</c:v>
                </c:pt>
                <c:pt idx="6" c:formatCode="General">
                  <c:v>1281.8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776895"/>
        <c:axId val="1970926063"/>
      </c:barChart>
      <c:catAx>
        <c:axId val="1970776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r>
                  <a:rPr lang="zh-CN" altLang="en-US">
                    <a:latin typeface="楷体" panose="02010609060101010101" pitchFamily="49" charset="-122"/>
                    <a:ea typeface="楷体" panose="02010609060101010101" pitchFamily="49" charset="-122"/>
                  </a:rPr>
                  <a:t>万个</a:t>
                </a:r>
                <a:endParaRPr lang="zh-CN" altLang="en-US">
                  <a:latin typeface="楷体" panose="02010609060101010101" pitchFamily="49" charset="-122"/>
                  <a:ea typeface="楷体" panose="02010609060101010101" pitchFamily="49" charset="-122"/>
                </a:endParaRPr>
              </a:p>
            </c:rich>
          </c:tx>
          <c:layout>
            <c:manualLayout>
              <c:xMode val="edge"/>
              <c:yMode val="edge"/>
              <c:x val="0.00144444444444447"/>
              <c:y val="0.0020833333333332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926063"/>
        <c:crosses val="autoZero"/>
        <c:auto val="1"/>
        <c:lblAlgn val="ctr"/>
        <c:lblOffset val="100"/>
        <c:noMultiLvlLbl val="0"/>
      </c:catAx>
      <c:valAx>
        <c:axId val="1970926063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7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0e3be7-889c-497c-a366-e5d5c7c2ed2a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916782589676291"/>
          <c:y val="0.121759259259259"/>
          <c:w val="0.880643482064742"/>
          <c:h val="0.7708413531641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'充电桩-充电联盟'!$D$83</c:f>
              <c:strCache>
                <c:ptCount val="1"/>
                <c:pt idx="0">
                  <c:v>充电桩新增量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'充电桩-充电联盟'!$B$84:$B$90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'充电桩-充电联盟'!$D$84:$D$90</c:f>
              <c:numCache>
                <c:formatCode>0.0_);[Red]\(0.0\)</c:formatCode>
                <c:ptCount val="7"/>
                <c:pt idx="0">
                  <c:v>33.1</c:v>
                </c:pt>
                <c:pt idx="1">
                  <c:v>41.1</c:v>
                </c:pt>
                <c:pt idx="2">
                  <c:v>46.2</c:v>
                </c:pt>
                <c:pt idx="3">
                  <c:v>93.6</c:v>
                </c:pt>
                <c:pt idx="4">
                  <c:v>259.3</c:v>
                </c:pt>
                <c:pt idx="5">
                  <c:v>338.6</c:v>
                </c:pt>
                <c:pt idx="6">
                  <c:v>422.2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776895"/>
        <c:axId val="1970926063"/>
      </c:barChart>
      <c:catAx>
        <c:axId val="1970776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r>
                  <a:rPr lang="zh-CN" altLang="en-US">
                    <a:latin typeface="楷体" panose="02010609060101010101" pitchFamily="49" charset="-122"/>
                    <a:ea typeface="楷体" panose="02010609060101010101" pitchFamily="49" charset="-122"/>
                  </a:rPr>
                  <a:t>万个</a:t>
                </a:r>
                <a:endParaRPr lang="zh-CN" altLang="en-US">
                  <a:latin typeface="楷体" panose="02010609060101010101" pitchFamily="49" charset="-122"/>
                  <a:ea typeface="楷体" panose="02010609060101010101" pitchFamily="49" charset="-122"/>
                </a:endParaRPr>
              </a:p>
            </c:rich>
          </c:tx>
          <c:layout>
            <c:manualLayout>
              <c:xMode val="edge"/>
              <c:yMode val="edge"/>
              <c:x val="0.00144444444444447"/>
              <c:y val="0.0020833333333332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926063"/>
        <c:crosses val="autoZero"/>
        <c:auto val="1"/>
        <c:lblAlgn val="ctr"/>
        <c:lblOffset val="100"/>
        <c:noMultiLvlLbl val="0"/>
      </c:catAx>
      <c:valAx>
        <c:axId val="1970926063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7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b95911-3bd1-4948-b966-c1ff8a9026ca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722338145231846"/>
          <c:y val="0.1125"/>
          <c:w val="0.902865704286964"/>
          <c:h val="0.780100612423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'充电桩-充电联盟'!$E$83</c:f>
              <c:strCache>
                <c:ptCount val="1"/>
                <c:pt idx="0">
                  <c:v>公共充电桩增量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'充电桩-充电联盟'!$B$84:$B$90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'充电桩-充电联盟'!$E$84:$E$90</c:f>
              <c:numCache>
                <c:formatCode>0.0_);[Red]\(0.0\)</c:formatCode>
                <c:ptCount val="7"/>
                <c:pt idx="0">
                  <c:v>8.6</c:v>
                </c:pt>
                <c:pt idx="1">
                  <c:v>18.5</c:v>
                </c:pt>
                <c:pt idx="2">
                  <c:v>29.1</c:v>
                </c:pt>
                <c:pt idx="3">
                  <c:v>34</c:v>
                </c:pt>
                <c:pt idx="4">
                  <c:v>65.1</c:v>
                </c:pt>
                <c:pt idx="5">
                  <c:v>92.9</c:v>
                </c:pt>
                <c:pt idx="6">
                  <c:v>85.3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776895"/>
        <c:axId val="1970926063"/>
      </c:barChart>
      <c:catAx>
        <c:axId val="1970776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r>
                  <a:rPr lang="zh-CN" altLang="en-US">
                    <a:latin typeface="楷体" panose="02010609060101010101" pitchFamily="49" charset="-122"/>
                    <a:ea typeface="楷体" panose="02010609060101010101" pitchFamily="49" charset="-122"/>
                  </a:rPr>
                  <a:t>万个</a:t>
                </a:r>
                <a:endParaRPr lang="zh-CN" altLang="en-US">
                  <a:latin typeface="楷体" panose="02010609060101010101" pitchFamily="49" charset="-122"/>
                  <a:ea typeface="楷体" panose="02010609060101010101" pitchFamily="49" charset="-122"/>
                </a:endParaRPr>
              </a:p>
            </c:rich>
          </c:tx>
          <c:layout>
            <c:manualLayout>
              <c:xMode val="edge"/>
              <c:yMode val="edge"/>
              <c:x val="0.00144444444444447"/>
              <c:y val="0.0020833333333332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926063"/>
        <c:crosses val="autoZero"/>
        <c:auto val="1"/>
        <c:lblAlgn val="ctr"/>
        <c:lblOffset val="100"/>
        <c:noMultiLvlLbl val="0"/>
      </c:catAx>
      <c:valAx>
        <c:axId val="1970926063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7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841cff-787a-477a-97c9-1b29def5a98a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889004811898513"/>
          <c:y val="0.1125"/>
          <c:w val="0.869532370953631"/>
          <c:h val="0.780100612423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'充电桩-充电联盟'!$F$83</c:f>
              <c:strCache>
                <c:ptCount val="1"/>
                <c:pt idx="0">
                  <c:v>私人充电桩增量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'充电桩-充电联盟'!$B$84:$B$90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'充电桩-充电联盟'!$F$84:$F$90</c:f>
              <c:numCache>
                <c:formatCode>0.0_);[Red]\(0.0\)</c:formatCode>
                <c:ptCount val="7"/>
                <c:pt idx="0">
                  <c:v>24.5</c:v>
                </c:pt>
                <c:pt idx="1">
                  <c:v>22.6</c:v>
                </c:pt>
                <c:pt idx="2">
                  <c:v>17.1</c:v>
                </c:pt>
                <c:pt idx="3">
                  <c:v>59.7</c:v>
                </c:pt>
                <c:pt idx="4">
                  <c:v>194.2</c:v>
                </c:pt>
                <c:pt idx="5">
                  <c:v>245.8</c:v>
                </c:pt>
                <c:pt idx="6" c:formatCode="0.0_ ">
                  <c:v>336.8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776895"/>
        <c:axId val="1970926063"/>
      </c:barChart>
      <c:catAx>
        <c:axId val="1970776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r>
                  <a:rPr lang="zh-CN" altLang="en-US">
                    <a:latin typeface="楷体" panose="02010609060101010101" pitchFamily="49" charset="-122"/>
                    <a:ea typeface="楷体" panose="02010609060101010101" pitchFamily="49" charset="-122"/>
                  </a:rPr>
                  <a:t>万个</a:t>
                </a:r>
                <a:endParaRPr lang="zh-CN" altLang="en-US">
                  <a:latin typeface="楷体" panose="02010609060101010101" pitchFamily="49" charset="-122"/>
                  <a:ea typeface="楷体" panose="02010609060101010101" pitchFamily="49" charset="-122"/>
                </a:endParaRPr>
              </a:p>
            </c:rich>
          </c:tx>
          <c:layout>
            <c:manualLayout>
              <c:xMode val="edge"/>
              <c:yMode val="edge"/>
              <c:x val="0.00144444444444447"/>
              <c:y val="0.0020833333333332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926063"/>
        <c:crosses val="autoZero"/>
        <c:auto val="1"/>
        <c:lblAlgn val="ctr"/>
        <c:lblOffset val="100"/>
        <c:noMultiLvlLbl val="0"/>
      </c:catAx>
      <c:valAx>
        <c:axId val="1970926063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7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6f327d-1cc1-4b41-8769-504edb1b63d3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844560367454068"/>
          <c:y val="0.138472222222222"/>
          <c:w val="0.884988407699038"/>
          <c:h val="0.744869130941966"/>
        </c:manualLayout>
      </c:layout>
      <c:lineChart>
        <c:grouping val="standard"/>
        <c:varyColors val="0"/>
        <c:ser>
          <c:idx val="0"/>
          <c:order val="0"/>
          <c:tx>
            <c:strRef>
              <c:f>'充电桩-充电联盟'!$G$83</c:f>
              <c:strCache>
                <c:ptCount val="1"/>
                <c:pt idx="0">
                  <c:v>公共充电桩占比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'充电桩-充电联盟'!$B$84:$B$90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'充电桩-充电联盟'!$G$84:$G$90</c:f>
              <c:numCache>
                <c:formatCode>0.00%</c:formatCode>
                <c:ptCount val="7"/>
                <c:pt idx="0">
                  <c:v>0.3861</c:v>
                </c:pt>
                <c:pt idx="1">
                  <c:v>0.4233</c:v>
                </c:pt>
                <c:pt idx="2">
                  <c:v>0.4801</c:v>
                </c:pt>
                <c:pt idx="3">
                  <c:v>0.4383</c:v>
                </c:pt>
                <c:pt idx="4">
                  <c:v>0.3449</c:v>
                </c:pt>
                <c:pt idx="5">
                  <c:v>0.317124243834342</c:v>
                </c:pt>
                <c:pt idx="6">
                  <c:v>0.27921672647839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8321695"/>
        <c:axId val="640525215"/>
      </c:lineChart>
      <c:catAx>
        <c:axId val="2078321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525215"/>
        <c:crosses val="autoZero"/>
        <c:auto val="1"/>
        <c:lblAlgn val="ctr"/>
        <c:lblOffset val="100"/>
        <c:noMultiLvlLbl val="0"/>
      </c:catAx>
      <c:valAx>
        <c:axId val="640525215"/>
        <c:scaling>
          <c:orientation val="minMax"/>
          <c:min val="0.3"/>
        </c:scaling>
        <c:delete val="0"/>
        <c:axPos val="l"/>
        <c:numFmt formatCode="0%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8321695"/>
        <c:crosses val="autoZero"/>
        <c:crossBetween val="between"/>
        <c:majorUnit val="0.05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9cec17-a7ab-45a1-a12b-b14fc80b9cfd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'充电桩-充电联盟'!$H$83</c:f>
              <c:strCache>
                <c:ptCount val="1"/>
                <c:pt idx="0">
                  <c:v>公共充电桩直流占比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'充电桩-充电联盟'!$B$84:$B$90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'充电桩-充电联盟'!$H$84:$H$90</c:f>
              <c:numCache>
                <c:formatCode>0.00%</c:formatCode>
                <c:ptCount val="7"/>
                <c:pt idx="0">
                  <c:v>0.3667</c:v>
                </c:pt>
                <c:pt idx="1">
                  <c:v>0.4167</c:v>
                </c:pt>
                <c:pt idx="2">
                  <c:v>0.3829</c:v>
                </c:pt>
                <c:pt idx="3">
                  <c:v>0.4098</c:v>
                </c:pt>
                <c:pt idx="4">
                  <c:v>0.4235</c:v>
                </c:pt>
                <c:pt idx="5">
                  <c:v>0.4413</c:v>
                </c:pt>
                <c:pt idx="6">
                  <c:v>0.459066778429729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8321695"/>
        <c:axId val="640525215"/>
      </c:lineChart>
      <c:catAx>
        <c:axId val="2078321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525215"/>
        <c:crosses val="autoZero"/>
        <c:auto val="1"/>
        <c:lblAlgn val="ctr"/>
        <c:lblOffset val="100"/>
        <c:noMultiLvlLbl val="0"/>
      </c:catAx>
      <c:valAx>
        <c:axId val="640525215"/>
        <c:scaling>
          <c:orientation val="minMax"/>
          <c:max val="0.45"/>
          <c:min val="0.3"/>
        </c:scaling>
        <c:delete val="0"/>
        <c:axPos val="l"/>
        <c:numFmt formatCode="0%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8321695"/>
        <c:crosses val="autoZero"/>
        <c:crossBetween val="between"/>
        <c:majorUnit val="0.03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f8b422-d238-4c7a-8e79-f2f01a519f5d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485079106708545"/>
          <c:y val="0.126389019881381"/>
          <c:w val="0.916087916666667"/>
          <c:h val="0.689743055555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"充电桩新增-公共"</c:f>
              <c:strCache>
                <c:ptCount val="1"/>
                <c:pt idx="0">
                  <c:v>充电桩新增-公共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'充电桩-充电联盟'!$B$15:$B$53</c:f>
              <c:numCache>
                <c:formatCode>yyyy/mm;@</c:formatCode>
                <c:ptCount val="39"/>
                <c:pt idx="0" c:formatCode="yyyy/mm;@">
                  <c:v>44562</c:v>
                </c:pt>
                <c:pt idx="1" c:formatCode="yyyy/mm;@">
                  <c:v>44593</c:v>
                </c:pt>
                <c:pt idx="2" c:formatCode="yyyy/mm;@">
                  <c:v>44621</c:v>
                </c:pt>
                <c:pt idx="3" c:formatCode="yyyy/mm;@">
                  <c:v>44652</c:v>
                </c:pt>
                <c:pt idx="4" c:formatCode="yyyy/mm;@">
                  <c:v>44682</c:v>
                </c:pt>
                <c:pt idx="5" c:formatCode="yyyy/mm;@">
                  <c:v>44713</c:v>
                </c:pt>
                <c:pt idx="6" c:formatCode="yyyy/mm;@">
                  <c:v>44743</c:v>
                </c:pt>
                <c:pt idx="7" c:formatCode="yyyy/mm;@">
                  <c:v>44774</c:v>
                </c:pt>
                <c:pt idx="8" c:formatCode="yyyy/mm;@">
                  <c:v>44805</c:v>
                </c:pt>
                <c:pt idx="9" c:formatCode="yyyy/mm;@">
                  <c:v>44835</c:v>
                </c:pt>
                <c:pt idx="10" c:formatCode="yyyy/mm;@">
                  <c:v>44866</c:v>
                </c:pt>
                <c:pt idx="11" c:formatCode="yyyy/mm;@">
                  <c:v>44896</c:v>
                </c:pt>
                <c:pt idx="12" c:formatCode="yyyy/mm;@">
                  <c:v>44927</c:v>
                </c:pt>
                <c:pt idx="13" c:formatCode="yyyy/mm;@">
                  <c:v>44958</c:v>
                </c:pt>
                <c:pt idx="14" c:formatCode="yyyy/mm;@">
                  <c:v>44986</c:v>
                </c:pt>
                <c:pt idx="15" c:formatCode="yyyy/mm;@">
                  <c:v>45017</c:v>
                </c:pt>
                <c:pt idx="16" c:formatCode="yyyy/mm;@">
                  <c:v>45047</c:v>
                </c:pt>
                <c:pt idx="17" c:formatCode="yyyy/mm;@">
                  <c:v>45078</c:v>
                </c:pt>
                <c:pt idx="18" c:formatCode="yyyy/mm;@">
                  <c:v>45108</c:v>
                </c:pt>
                <c:pt idx="19" c:formatCode="yyyy/mm;@">
                  <c:v>45139</c:v>
                </c:pt>
                <c:pt idx="20" c:formatCode="yyyy/mm;@">
                  <c:v>45170</c:v>
                </c:pt>
                <c:pt idx="21" c:formatCode="yyyy/mm;@">
                  <c:v>45200</c:v>
                </c:pt>
                <c:pt idx="22" c:formatCode="yyyy/mm;@">
                  <c:v>45231</c:v>
                </c:pt>
                <c:pt idx="23" c:formatCode="yyyy/mm;@">
                  <c:v>45261</c:v>
                </c:pt>
                <c:pt idx="24" c:formatCode="yyyy/mm;@">
                  <c:v>45292</c:v>
                </c:pt>
                <c:pt idx="25" c:formatCode="yyyy/mm;@">
                  <c:v>45323</c:v>
                </c:pt>
                <c:pt idx="26" c:formatCode="yyyy/mm;@">
                  <c:v>45352</c:v>
                </c:pt>
                <c:pt idx="27" c:formatCode="yyyy/mm;@">
                  <c:v>45383</c:v>
                </c:pt>
                <c:pt idx="28" c:formatCode="yyyy/mm;@">
                  <c:v>45413</c:v>
                </c:pt>
                <c:pt idx="29" c:formatCode="yyyy/mm;@">
                  <c:v>45444</c:v>
                </c:pt>
                <c:pt idx="30" c:formatCode="yyyy/mm;@">
                  <c:v>45474</c:v>
                </c:pt>
                <c:pt idx="31" c:formatCode="yyyy/mm;@">
                  <c:v>45505</c:v>
                </c:pt>
                <c:pt idx="32" c:formatCode="yyyy/mm;@">
                  <c:v>45536</c:v>
                </c:pt>
                <c:pt idx="33" c:formatCode="yyyy/mm;@">
                  <c:v>45566</c:v>
                </c:pt>
                <c:pt idx="34" c:formatCode="yyyy/mm;@">
                  <c:v>45597</c:v>
                </c:pt>
                <c:pt idx="35" c:formatCode="yyyy/mm;@">
                  <c:v>45627</c:v>
                </c:pt>
                <c:pt idx="36" c:formatCode="yyyy/mm;@">
                  <c:v>45658</c:v>
                </c:pt>
                <c:pt idx="37" c:formatCode="yyyy/mm;@">
                  <c:v>45689</c:v>
                </c:pt>
                <c:pt idx="38" c:formatCode="yyyy/mm;@">
                  <c:v>45717</c:v>
                </c:pt>
              </c:numCache>
            </c:numRef>
          </c:cat>
          <c:val>
            <c:numRef>
              <c:f>'充电桩-充电联盟'!$L$15:$L$52</c:f>
              <c:numCache>
                <c:formatCode>0.0</c:formatCode>
                <c:ptCount val="38"/>
                <c:pt idx="0">
                  <c:v>3.1</c:v>
                </c:pt>
                <c:pt idx="1">
                  <c:v>3.6</c:v>
                </c:pt>
                <c:pt idx="2">
                  <c:v>1.9</c:v>
                </c:pt>
                <c:pt idx="3">
                  <c:v>10</c:v>
                </c:pt>
                <c:pt idx="4">
                  <c:v>8.7</c:v>
                </c:pt>
                <c:pt idx="5">
                  <c:v>10.8</c:v>
                </c:pt>
                <c:pt idx="6">
                  <c:v>4.7</c:v>
                </c:pt>
                <c:pt idx="7">
                  <c:v>4.8</c:v>
                </c:pt>
                <c:pt idx="8">
                  <c:v>1.2</c:v>
                </c:pt>
                <c:pt idx="9">
                  <c:v>4.4</c:v>
                </c:pt>
                <c:pt idx="10">
                  <c:v>4.4</c:v>
                </c:pt>
                <c:pt idx="11">
                  <c:v>6.6</c:v>
                </c:pt>
                <c:pt idx="12">
                  <c:v>6.6</c:v>
                </c:pt>
                <c:pt idx="13">
                  <c:v>3.1</c:v>
                </c:pt>
                <c:pt idx="14">
                  <c:v>8.9</c:v>
                </c:pt>
                <c:pt idx="15">
                  <c:v>6.7</c:v>
                </c:pt>
                <c:pt idx="16">
                  <c:v>5.9</c:v>
                </c:pt>
                <c:pt idx="17">
                  <c:v>6.5</c:v>
                </c:pt>
                <c:pt idx="18">
                  <c:v>6.2</c:v>
                </c:pt>
                <c:pt idx="19">
                  <c:v>6.1</c:v>
                </c:pt>
                <c:pt idx="20">
                  <c:v>19</c:v>
                </c:pt>
                <c:pt idx="21">
                  <c:v>6.3</c:v>
                </c:pt>
                <c:pt idx="22">
                  <c:v>10.1</c:v>
                </c:pt>
                <c:pt idx="23">
                  <c:v>10</c:v>
                </c:pt>
                <c:pt idx="24">
                  <c:v>5.61</c:v>
                </c:pt>
                <c:pt idx="25">
                  <c:v>4.4</c:v>
                </c:pt>
                <c:pt idx="26">
                  <c:v>8.3</c:v>
                </c:pt>
                <c:pt idx="27">
                  <c:v>6.80000000000001</c:v>
                </c:pt>
                <c:pt idx="28">
                  <c:v>7.19999999999999</c:v>
                </c:pt>
                <c:pt idx="29">
                  <c:v>7.30000000000001</c:v>
                </c:pt>
                <c:pt idx="30">
                  <c:v>8.69999999999999</c:v>
                </c:pt>
                <c:pt idx="31">
                  <c:v>5.40000000000003</c:v>
                </c:pt>
                <c:pt idx="32">
                  <c:v>6.59999999999997</c:v>
                </c:pt>
                <c:pt idx="33">
                  <c:v>6.20000000000005</c:v>
                </c:pt>
                <c:pt idx="34">
                  <c:v>6.89999999999998</c:v>
                </c:pt>
                <c:pt idx="35">
                  <c:v>11.9</c:v>
                </c:pt>
                <c:pt idx="36">
                  <c:v>18.1</c:v>
                </c:pt>
                <c:pt idx="37">
                  <c:v>7.19999999999999</c:v>
                </c:pt>
              </c:numCache>
            </c:numRef>
          </c:val>
        </c:ser>
        <c:ser>
          <c:idx val="1"/>
          <c:order val="1"/>
          <c:tx>
            <c:strRef>
              <c:f>"充电桩新增-私人"</c:f>
              <c:strCache>
                <c:ptCount val="1"/>
                <c:pt idx="0">
                  <c:v>充电桩新增-私人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'充电桩-充电联盟'!$B$15:$B$53</c:f>
              <c:numCache>
                <c:formatCode>yyyy/mm;@</c:formatCode>
                <c:ptCount val="39"/>
                <c:pt idx="0" c:formatCode="yyyy/mm;@">
                  <c:v>44562</c:v>
                </c:pt>
                <c:pt idx="1" c:formatCode="yyyy/mm;@">
                  <c:v>44593</c:v>
                </c:pt>
                <c:pt idx="2" c:formatCode="yyyy/mm;@">
                  <c:v>44621</c:v>
                </c:pt>
                <c:pt idx="3" c:formatCode="yyyy/mm;@">
                  <c:v>44652</c:v>
                </c:pt>
                <c:pt idx="4" c:formatCode="yyyy/mm;@">
                  <c:v>44682</c:v>
                </c:pt>
                <c:pt idx="5" c:formatCode="yyyy/mm;@">
                  <c:v>44713</c:v>
                </c:pt>
                <c:pt idx="6" c:formatCode="yyyy/mm;@">
                  <c:v>44743</c:v>
                </c:pt>
                <c:pt idx="7" c:formatCode="yyyy/mm;@">
                  <c:v>44774</c:v>
                </c:pt>
                <c:pt idx="8" c:formatCode="yyyy/mm;@">
                  <c:v>44805</c:v>
                </c:pt>
                <c:pt idx="9" c:formatCode="yyyy/mm;@">
                  <c:v>44835</c:v>
                </c:pt>
                <c:pt idx="10" c:formatCode="yyyy/mm;@">
                  <c:v>44866</c:v>
                </c:pt>
                <c:pt idx="11" c:formatCode="yyyy/mm;@">
                  <c:v>44896</c:v>
                </c:pt>
                <c:pt idx="12" c:formatCode="yyyy/mm;@">
                  <c:v>44927</c:v>
                </c:pt>
                <c:pt idx="13" c:formatCode="yyyy/mm;@">
                  <c:v>44958</c:v>
                </c:pt>
                <c:pt idx="14" c:formatCode="yyyy/mm;@">
                  <c:v>44986</c:v>
                </c:pt>
                <c:pt idx="15" c:formatCode="yyyy/mm;@">
                  <c:v>45017</c:v>
                </c:pt>
                <c:pt idx="16" c:formatCode="yyyy/mm;@">
                  <c:v>45047</c:v>
                </c:pt>
                <c:pt idx="17" c:formatCode="yyyy/mm;@">
                  <c:v>45078</c:v>
                </c:pt>
                <c:pt idx="18" c:formatCode="yyyy/mm;@">
                  <c:v>45108</c:v>
                </c:pt>
                <c:pt idx="19" c:formatCode="yyyy/mm;@">
                  <c:v>45139</c:v>
                </c:pt>
                <c:pt idx="20" c:formatCode="yyyy/mm;@">
                  <c:v>45170</c:v>
                </c:pt>
                <c:pt idx="21" c:formatCode="yyyy/mm;@">
                  <c:v>45200</c:v>
                </c:pt>
                <c:pt idx="22" c:formatCode="yyyy/mm;@">
                  <c:v>45231</c:v>
                </c:pt>
                <c:pt idx="23" c:formatCode="yyyy/mm;@">
                  <c:v>45261</c:v>
                </c:pt>
                <c:pt idx="24" c:formatCode="yyyy/mm;@">
                  <c:v>45292</c:v>
                </c:pt>
                <c:pt idx="25" c:formatCode="yyyy/mm;@">
                  <c:v>45323</c:v>
                </c:pt>
                <c:pt idx="26" c:formatCode="yyyy/mm;@">
                  <c:v>45352</c:v>
                </c:pt>
                <c:pt idx="27" c:formatCode="yyyy/mm;@">
                  <c:v>45383</c:v>
                </c:pt>
                <c:pt idx="28" c:formatCode="yyyy/mm;@">
                  <c:v>45413</c:v>
                </c:pt>
                <c:pt idx="29" c:formatCode="yyyy/mm;@">
                  <c:v>45444</c:v>
                </c:pt>
                <c:pt idx="30" c:formatCode="yyyy/mm;@">
                  <c:v>45474</c:v>
                </c:pt>
                <c:pt idx="31" c:formatCode="yyyy/mm;@">
                  <c:v>45505</c:v>
                </c:pt>
                <c:pt idx="32" c:formatCode="yyyy/mm;@">
                  <c:v>45536</c:v>
                </c:pt>
                <c:pt idx="33" c:formatCode="yyyy/mm;@">
                  <c:v>45566</c:v>
                </c:pt>
                <c:pt idx="34" c:formatCode="yyyy/mm;@">
                  <c:v>45597</c:v>
                </c:pt>
                <c:pt idx="35" c:formatCode="yyyy/mm;@">
                  <c:v>45627</c:v>
                </c:pt>
                <c:pt idx="36" c:formatCode="yyyy/mm;@">
                  <c:v>45658</c:v>
                </c:pt>
                <c:pt idx="37" c:formatCode="yyyy/mm;@">
                  <c:v>45689</c:v>
                </c:pt>
                <c:pt idx="38" c:formatCode="yyyy/mm;@">
                  <c:v>45717</c:v>
                </c:pt>
              </c:numCache>
            </c:numRef>
          </c:cat>
          <c:val>
            <c:numRef>
              <c:f>'充电桩-充电联盟'!$O$15:$O$53</c:f>
              <c:numCache>
                <c:formatCode>0.0</c:formatCode>
                <c:ptCount val="39"/>
                <c:pt idx="0">
                  <c:v>8.3</c:v>
                </c:pt>
                <c:pt idx="1">
                  <c:v>9.8</c:v>
                </c:pt>
                <c:pt idx="2">
                  <c:v>22.6</c:v>
                </c:pt>
                <c:pt idx="3">
                  <c:v>11.5</c:v>
                </c:pt>
                <c:pt idx="4">
                  <c:v>16.9</c:v>
                </c:pt>
                <c:pt idx="5">
                  <c:v>22.9</c:v>
                </c:pt>
                <c:pt idx="6">
                  <c:v>1.4</c:v>
                </c:pt>
                <c:pt idx="7">
                  <c:v>28.6</c:v>
                </c:pt>
                <c:pt idx="8">
                  <c:v>16.1</c:v>
                </c:pt>
                <c:pt idx="9">
                  <c:v>17.6</c:v>
                </c:pt>
                <c:pt idx="10">
                  <c:v>19</c:v>
                </c:pt>
                <c:pt idx="11">
                  <c:v>19.4</c:v>
                </c:pt>
                <c:pt idx="12">
                  <c:v>16.1</c:v>
                </c:pt>
                <c:pt idx="13">
                  <c:v>14.6</c:v>
                </c:pt>
                <c:pt idx="14">
                  <c:v>16.5</c:v>
                </c:pt>
                <c:pt idx="15">
                  <c:v>18.3</c:v>
                </c:pt>
                <c:pt idx="16">
                  <c:v>20.5</c:v>
                </c:pt>
                <c:pt idx="17">
                  <c:v>23.1000000000001</c:v>
                </c:pt>
                <c:pt idx="18">
                  <c:v>21.3999999999999</c:v>
                </c:pt>
                <c:pt idx="19">
                  <c:v>21.9</c:v>
                </c:pt>
                <c:pt idx="20">
                  <c:v>24.4</c:v>
                </c:pt>
                <c:pt idx="21">
                  <c:v>24.9</c:v>
                </c:pt>
                <c:pt idx="22">
                  <c:v>20.9</c:v>
                </c:pt>
                <c:pt idx="23">
                  <c:v>23.2</c:v>
                </c:pt>
                <c:pt idx="24">
                  <c:v>20.9000000000001</c:v>
                </c:pt>
                <c:pt idx="25">
                  <c:v>11.7999999999998</c:v>
                </c:pt>
                <c:pt idx="26">
                  <c:v>20.6000000000001</c:v>
                </c:pt>
                <c:pt idx="27">
                  <c:v>57.5999999999999</c:v>
                </c:pt>
                <c:pt idx="28">
                  <c:v>-10.5</c:v>
                </c:pt>
                <c:pt idx="29">
                  <c:v>24.8000000000001</c:v>
                </c:pt>
                <c:pt idx="30">
                  <c:v>27.1999999999999</c:v>
                </c:pt>
                <c:pt idx="31">
                  <c:v>34.2</c:v>
                </c:pt>
                <c:pt idx="32">
                  <c:v>36.8</c:v>
                </c:pt>
                <c:pt idx="33">
                  <c:v>48.9</c:v>
                </c:pt>
                <c:pt idx="34">
                  <c:v>29.9000000000001</c:v>
                </c:pt>
                <c:pt idx="35">
                  <c:v>34.5999999999999</c:v>
                </c:pt>
                <c:pt idx="36">
                  <c:v>21.4000000000001</c:v>
                </c:pt>
                <c:pt idx="37">
                  <c:v>38.0999999999999</c:v>
                </c:pt>
                <c:pt idx="38">
                  <c:v>1.60000000000002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0776895"/>
        <c:axId val="1970926063"/>
      </c:barChart>
      <c:lineChart>
        <c:grouping val="standard"/>
        <c:varyColors val="0"/>
        <c:ser>
          <c:idx val="2"/>
          <c:order val="2"/>
          <c:tx>
            <c:strRef>
              <c:f>"车增量/桩增量"</c:f>
              <c:strCache>
                <c:ptCount val="1"/>
                <c:pt idx="0">
                  <c:v>车增量/桩增量</c:v>
                </c:pt>
              </c:strCache>
            </c:strRef>
          </c:tx>
          <c:spPr>
            <a:ln w="28575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'充电桩-充电联盟'!$B$15:$B$53</c:f>
              <c:numCache>
                <c:formatCode>yyyy/mm;@</c:formatCode>
                <c:ptCount val="39"/>
                <c:pt idx="0" c:formatCode="yyyy/mm;@">
                  <c:v>44562</c:v>
                </c:pt>
                <c:pt idx="1" c:formatCode="yyyy/mm;@">
                  <c:v>44593</c:v>
                </c:pt>
                <c:pt idx="2" c:formatCode="yyyy/mm;@">
                  <c:v>44621</c:v>
                </c:pt>
                <c:pt idx="3" c:formatCode="yyyy/mm;@">
                  <c:v>44652</c:v>
                </c:pt>
                <c:pt idx="4" c:formatCode="yyyy/mm;@">
                  <c:v>44682</c:v>
                </c:pt>
                <c:pt idx="5" c:formatCode="yyyy/mm;@">
                  <c:v>44713</c:v>
                </c:pt>
                <c:pt idx="6" c:formatCode="yyyy/mm;@">
                  <c:v>44743</c:v>
                </c:pt>
                <c:pt idx="7" c:formatCode="yyyy/mm;@">
                  <c:v>44774</c:v>
                </c:pt>
                <c:pt idx="8" c:formatCode="yyyy/mm;@">
                  <c:v>44805</c:v>
                </c:pt>
                <c:pt idx="9" c:formatCode="yyyy/mm;@">
                  <c:v>44835</c:v>
                </c:pt>
                <c:pt idx="10" c:formatCode="yyyy/mm;@">
                  <c:v>44866</c:v>
                </c:pt>
                <c:pt idx="11" c:formatCode="yyyy/mm;@">
                  <c:v>44896</c:v>
                </c:pt>
                <c:pt idx="12" c:formatCode="yyyy/mm;@">
                  <c:v>44927</c:v>
                </c:pt>
                <c:pt idx="13" c:formatCode="yyyy/mm;@">
                  <c:v>44958</c:v>
                </c:pt>
                <c:pt idx="14" c:formatCode="yyyy/mm;@">
                  <c:v>44986</c:v>
                </c:pt>
                <c:pt idx="15" c:formatCode="yyyy/mm;@">
                  <c:v>45017</c:v>
                </c:pt>
                <c:pt idx="16" c:formatCode="yyyy/mm;@">
                  <c:v>45047</c:v>
                </c:pt>
                <c:pt idx="17" c:formatCode="yyyy/mm;@">
                  <c:v>45078</c:v>
                </c:pt>
                <c:pt idx="18" c:formatCode="yyyy/mm;@">
                  <c:v>45108</c:v>
                </c:pt>
                <c:pt idx="19" c:formatCode="yyyy/mm;@">
                  <c:v>45139</c:v>
                </c:pt>
                <c:pt idx="20" c:formatCode="yyyy/mm;@">
                  <c:v>45170</c:v>
                </c:pt>
                <c:pt idx="21" c:formatCode="yyyy/mm;@">
                  <c:v>45200</c:v>
                </c:pt>
                <c:pt idx="22" c:formatCode="yyyy/mm;@">
                  <c:v>45231</c:v>
                </c:pt>
                <c:pt idx="23" c:formatCode="yyyy/mm;@">
                  <c:v>45261</c:v>
                </c:pt>
                <c:pt idx="24" c:formatCode="yyyy/mm;@">
                  <c:v>45292</c:v>
                </c:pt>
                <c:pt idx="25" c:formatCode="yyyy/mm;@">
                  <c:v>45323</c:v>
                </c:pt>
                <c:pt idx="26" c:formatCode="yyyy/mm;@">
                  <c:v>45352</c:v>
                </c:pt>
                <c:pt idx="27" c:formatCode="yyyy/mm;@">
                  <c:v>45383</c:v>
                </c:pt>
                <c:pt idx="28" c:formatCode="yyyy/mm;@">
                  <c:v>45413</c:v>
                </c:pt>
                <c:pt idx="29" c:formatCode="yyyy/mm;@">
                  <c:v>45444</c:v>
                </c:pt>
                <c:pt idx="30" c:formatCode="yyyy/mm;@">
                  <c:v>45474</c:v>
                </c:pt>
                <c:pt idx="31" c:formatCode="yyyy/mm;@">
                  <c:v>45505</c:v>
                </c:pt>
                <c:pt idx="32" c:formatCode="yyyy/mm;@">
                  <c:v>45536</c:v>
                </c:pt>
                <c:pt idx="33" c:formatCode="yyyy/mm;@">
                  <c:v>45566</c:v>
                </c:pt>
                <c:pt idx="34" c:formatCode="yyyy/mm;@">
                  <c:v>45597</c:v>
                </c:pt>
                <c:pt idx="35" c:formatCode="yyyy/mm;@">
                  <c:v>45627</c:v>
                </c:pt>
                <c:pt idx="36" c:formatCode="yyyy/mm;@">
                  <c:v>45658</c:v>
                </c:pt>
                <c:pt idx="37" c:formatCode="yyyy/mm;@">
                  <c:v>45689</c:v>
                </c:pt>
                <c:pt idx="38" c:formatCode="yyyy/mm;@">
                  <c:v>45717</c:v>
                </c:pt>
              </c:numCache>
            </c:numRef>
          </c:cat>
          <c:val>
            <c:numRef>
              <c:f>'充电桩-充电联盟'!$Q$15:$Q$53</c:f>
              <c:numCache>
                <c:formatCode>0.0</c:formatCode>
                <c:ptCount val="39"/>
                <c:pt idx="0">
                  <c:v>3.78452631578947</c:v>
                </c:pt>
                <c:pt idx="1">
                  <c:v>2.49052985074627</c:v>
                </c:pt>
                <c:pt idx="2">
                  <c:v>1.9767306122449</c:v>
                </c:pt>
                <c:pt idx="3">
                  <c:v>1.39008372093023</c:v>
                </c:pt>
                <c:pt idx="4">
                  <c:v>1.7467734375</c:v>
                </c:pt>
                <c:pt idx="5">
                  <c:v>1.76984866468843</c:v>
                </c:pt>
                <c:pt idx="6">
                  <c:v>9.71945901639344</c:v>
                </c:pt>
                <c:pt idx="7">
                  <c:v>1.99458383233533</c:v>
                </c:pt>
                <c:pt idx="8">
                  <c:v>4.08976300578035</c:v>
                </c:pt>
                <c:pt idx="9">
                  <c:v>3.24364090909091</c:v>
                </c:pt>
                <c:pt idx="10">
                  <c:v>3.36019230769231</c:v>
                </c:pt>
                <c:pt idx="11">
                  <c:v>3.13016153846154</c:v>
                </c:pt>
                <c:pt idx="12">
                  <c:v>2.01903465346534</c:v>
                </c:pt>
                <c:pt idx="13">
                  <c:v>2.96551977401131</c:v>
                </c:pt>
                <c:pt idx="14">
                  <c:v>2.5696811023622</c:v>
                </c:pt>
                <c:pt idx="15">
                  <c:v>2.545852</c:v>
                </c:pt>
                <c:pt idx="16">
                  <c:v>2.71590909090909</c:v>
                </c:pt>
                <c:pt idx="17">
                  <c:v>2.72297297297297</c:v>
                </c:pt>
                <c:pt idx="18">
                  <c:v>2.82608695652175</c:v>
                </c:pt>
                <c:pt idx="19">
                  <c:v>3.02142857142857</c:v>
                </c:pt>
                <c:pt idx="20">
                  <c:v>2.08294930875576</c:v>
                </c:pt>
                <c:pt idx="21">
                  <c:v>3.21153846153847</c:v>
                </c:pt>
                <c:pt idx="22">
                  <c:v>3.30967741935484</c:v>
                </c:pt>
                <c:pt idx="23">
                  <c:v>3.59065060240963</c:v>
                </c:pt>
                <c:pt idx="24">
                  <c:v>2.75094339622641</c:v>
                </c:pt>
                <c:pt idx="25">
                  <c:v>2.94444444444446</c:v>
                </c:pt>
                <c:pt idx="26">
                  <c:v>3.0553633217993</c:v>
                </c:pt>
                <c:pt idx="27">
                  <c:v>2.82392026578074</c:v>
                </c:pt>
                <c:pt idx="28">
                  <c:v>2.7652733118971</c:v>
                </c:pt>
                <c:pt idx="29">
                  <c:v>3.2884012539185</c:v>
                </c:pt>
                <c:pt idx="30">
                  <c:v>2.74515235457063</c:v>
                </c:pt>
                <c:pt idx="31">
                  <c:v>2.78481012658228</c:v>
                </c:pt>
                <c:pt idx="32">
                  <c:v>2.96543778801844</c:v>
                </c:pt>
                <c:pt idx="33">
                  <c:v>3.17073170731706</c:v>
                </c:pt>
                <c:pt idx="34">
                  <c:v>3.23076923076923</c:v>
                </c:pt>
                <c:pt idx="35">
                  <c:v>3.24463519313305</c:v>
                </c:pt>
                <c:pt idx="36">
                  <c:v>2.00759493670886</c:v>
                </c:pt>
                <c:pt idx="37">
                  <c:v>6.52941176470589</c:v>
                </c:pt>
                <c:pt idx="38">
                  <c:v>5.24832214765097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1636447"/>
        <c:axId val="542392719"/>
      </c:lineChart>
      <c:dateAx>
        <c:axId val="197077689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万个</a:t>
                </a:r>
                <a:endParaRPr lang="zh-CN" altLang="en-US">
                  <a:solidFill>
                    <a:sysClr val="windowText" lastClr="000000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endParaRPr>
              </a:p>
            </c:rich>
          </c:tx>
          <c:layout>
            <c:manualLayout>
              <c:xMode val="edge"/>
              <c:yMode val="edge"/>
              <c:x val="0.00158333333333333"/>
              <c:y val="0.0130055555555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yyyy/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" lastClr="FFFFFF">
                <a:lumMod val="75000"/>
              </a:sysClr>
            </a:solidFill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70926063"/>
        <c:crosses val="autoZero"/>
        <c:auto val="1"/>
        <c:lblOffset val="100"/>
        <c:baseTimeUnit val="months"/>
      </c:dateAx>
      <c:valAx>
        <c:axId val="1970926063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ysClr val="window" lastClr="FFFFFF">
                <a:lumMod val="7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70776895"/>
        <c:crosses val="autoZero"/>
        <c:crossBetween val="between"/>
      </c:valAx>
      <c:dateAx>
        <c:axId val="451636447"/>
        <c:scaling>
          <c:orientation val="minMax"/>
        </c:scaling>
        <c:delete val="1"/>
        <c:axPos val="b"/>
        <c:numFmt formatCode="yyyy/mm;@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2392719"/>
        <c:crosses val="autoZero"/>
        <c:auto val="1"/>
        <c:lblOffset val="100"/>
        <c:baseTimeUnit val="months"/>
      </c:dateAx>
      <c:valAx>
        <c:axId val="542392719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solidFill>
              <a:sysClr val="window" lastClr="FFFFFF">
                <a:lumMod val="8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1636447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3c0f3f-b915-4b82-b557-91186d8e937c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722338145231846"/>
          <c:y val="0.135648148148148"/>
          <c:w val="0.85242125984252"/>
          <c:h val="0.75695246427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'充电桩-充电联盟'!$C$144</c:f>
              <c:strCache>
                <c:ptCount val="1"/>
                <c:pt idx="0">
                  <c:v>公共充电桩保有量（万台）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'充电桩-充电联盟'!$B$145:$B$151</c:f>
              <c:strCache>
                <c:ptCount val="7"/>
                <c:pt idx="0">
                  <c:v>2018年</c:v>
                </c:pt>
                <c:pt idx="1">
                  <c:v>2019年</c:v>
                </c:pt>
                <c:pt idx="2">
                  <c:v>2020年</c:v>
                </c:pt>
                <c:pt idx="3">
                  <c:v>2021年</c:v>
                </c:pt>
                <c:pt idx="4">
                  <c:v>2022年</c:v>
                </c:pt>
                <c:pt idx="5" c:formatCode="yyyy&quot;年&quot;m&quot;月&quot;">
                  <c:v>2023年</c:v>
                </c:pt>
                <c:pt idx="6" c:formatCode="yyyy&quot;年&quot;m&quot;月&quot;">
                  <c:v>2024年</c:v>
                </c:pt>
              </c:strCache>
            </c:strRef>
          </c:cat>
          <c:val>
            <c:numRef>
              <c:f>'充电桩-充电联盟'!$C$145:$C$151</c:f>
              <c:numCache>
                <c:formatCode>0.00_ </c:formatCode>
                <c:ptCount val="7"/>
                <c:pt idx="0">
                  <c:v>29.99997</c:v>
                </c:pt>
                <c:pt idx="1">
                  <c:v>51.60027</c:v>
                </c:pt>
                <c:pt idx="2">
                  <c:v>80.70481</c:v>
                </c:pt>
                <c:pt idx="3">
                  <c:v>114.70311</c:v>
                </c:pt>
                <c:pt idx="4">
                  <c:v>179.6929</c:v>
                </c:pt>
                <c:pt idx="5">
                  <c:v>272.6</c:v>
                </c:pt>
                <c:pt idx="6">
                  <c:v>357.9</c:v>
                </c:pt>
              </c:numCache>
            </c:numRef>
          </c:val>
        </c:ser>
        <c:ser>
          <c:idx val="1"/>
          <c:order val="1"/>
          <c:tx>
            <c:strRef>
              <c:f>'充电桩-充电联盟'!$D$144</c:f>
              <c:strCache>
                <c:ptCount val="1"/>
                <c:pt idx="0">
                  <c:v>私人充电桩保有量（万台）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'充电桩-充电联盟'!$B$145:$B$151</c:f>
              <c:strCache>
                <c:ptCount val="7"/>
                <c:pt idx="0">
                  <c:v>2018年</c:v>
                </c:pt>
                <c:pt idx="1">
                  <c:v>2019年</c:v>
                </c:pt>
                <c:pt idx="2">
                  <c:v>2020年</c:v>
                </c:pt>
                <c:pt idx="3">
                  <c:v>2021年</c:v>
                </c:pt>
                <c:pt idx="4">
                  <c:v>2022年</c:v>
                </c:pt>
                <c:pt idx="5" c:formatCode="yyyy&quot;年&quot;m&quot;月&quot;">
                  <c:v>2023年</c:v>
                </c:pt>
                <c:pt idx="6" c:formatCode="yyyy&quot;年&quot;m&quot;月&quot;">
                  <c:v>2024年</c:v>
                </c:pt>
              </c:strCache>
            </c:strRef>
          </c:cat>
          <c:val>
            <c:numRef>
              <c:f>'充电桩-充电联盟'!$D$145:$D$151</c:f>
              <c:numCache>
                <c:formatCode>0.00_ </c:formatCode>
                <c:ptCount val="7"/>
                <c:pt idx="0">
                  <c:v>47.70003</c:v>
                </c:pt>
                <c:pt idx="1">
                  <c:v>70.29973</c:v>
                </c:pt>
                <c:pt idx="2">
                  <c:v>87.39519</c:v>
                </c:pt>
                <c:pt idx="3">
                  <c:v>146.99689</c:v>
                </c:pt>
                <c:pt idx="4">
                  <c:v>341.3071</c:v>
                </c:pt>
                <c:pt idx="5">
                  <c:v>587</c:v>
                </c:pt>
                <c:pt idx="6">
                  <c:v>923.8</c:v>
                </c:pt>
              </c:numCache>
            </c:numRef>
          </c:val>
        </c:ser>
        <c:ser>
          <c:idx val="2"/>
          <c:order val="2"/>
          <c:tx>
            <c:strRef>
              <c:f>'充电桩-充电联盟'!$E$144</c:f>
              <c:strCache>
                <c:ptCount val="1"/>
                <c:pt idx="0">
                  <c:v>新能源汽车保有量（万辆）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'充电桩-充电联盟'!$B$145:$B$151</c:f>
              <c:strCache>
                <c:ptCount val="7"/>
                <c:pt idx="0">
                  <c:v>2018年</c:v>
                </c:pt>
                <c:pt idx="1">
                  <c:v>2019年</c:v>
                </c:pt>
                <c:pt idx="2">
                  <c:v>2020年</c:v>
                </c:pt>
                <c:pt idx="3">
                  <c:v>2021年</c:v>
                </c:pt>
                <c:pt idx="4">
                  <c:v>2022年</c:v>
                </c:pt>
                <c:pt idx="5" c:formatCode="yyyy&quot;年&quot;m&quot;月&quot;">
                  <c:v>2023年</c:v>
                </c:pt>
                <c:pt idx="6" c:formatCode="yyyy&quot;年&quot;m&quot;月&quot;">
                  <c:v>2024年</c:v>
                </c:pt>
              </c:strCache>
            </c:strRef>
          </c:cat>
          <c:val>
            <c:numRef>
              <c:f>'充电桩-充电联盟'!$E$145:$E$151</c:f>
              <c:numCache>
                <c:formatCode>0.00_ </c:formatCode>
                <c:ptCount val="7"/>
                <c:pt idx="0">
                  <c:v>311.999688</c:v>
                </c:pt>
                <c:pt idx="1">
                  <c:v>412.80216</c:v>
                </c:pt>
                <c:pt idx="2">
                  <c:v>492</c:v>
                </c:pt>
                <c:pt idx="3">
                  <c:v>784</c:v>
                </c:pt>
                <c:pt idx="4">
                  <c:v>1310</c:v>
                </c:pt>
                <c:pt idx="5">
                  <c:v>2041</c:v>
                </c:pt>
                <c:pt idx="6">
                  <c:v>2472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0776895"/>
        <c:axId val="1970926063"/>
      </c:barChart>
      <c:lineChart>
        <c:grouping val="standard"/>
        <c:varyColors val="0"/>
        <c:ser>
          <c:idx val="3"/>
          <c:order val="3"/>
          <c:tx>
            <c:strRef>
              <c:f>'充电桩-充电联盟'!$F$144</c:f>
              <c:strCache>
                <c:ptCount val="1"/>
                <c:pt idx="0">
                  <c:v>公共车桩比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'充电桩-充电联盟'!$B$145:$B$151</c:f>
              <c:strCache>
                <c:ptCount val="7"/>
                <c:pt idx="0">
                  <c:v>2018年</c:v>
                </c:pt>
                <c:pt idx="1">
                  <c:v>2019年</c:v>
                </c:pt>
                <c:pt idx="2">
                  <c:v>2020年</c:v>
                </c:pt>
                <c:pt idx="3">
                  <c:v>2021年</c:v>
                </c:pt>
                <c:pt idx="4">
                  <c:v>2022年</c:v>
                </c:pt>
                <c:pt idx="5" c:formatCode="yyyy&quot;年&quot;m&quot;月&quot;">
                  <c:v>2023年</c:v>
                </c:pt>
                <c:pt idx="6" c:formatCode="yyyy&quot;年&quot;m&quot;月&quot;">
                  <c:v>2024年</c:v>
                </c:pt>
              </c:strCache>
            </c:strRef>
          </c:cat>
          <c:val>
            <c:numRef>
              <c:f>'充电桩-充电联盟'!$F$145:$F$151</c:f>
              <c:numCache>
                <c:formatCode>0.00_ </c:formatCode>
                <c:ptCount val="7"/>
                <c:pt idx="0">
                  <c:v>10.4</c:v>
                </c:pt>
                <c:pt idx="1">
                  <c:v>8</c:v>
                </c:pt>
                <c:pt idx="2">
                  <c:v>6.09629091500246</c:v>
                </c:pt>
                <c:pt idx="3">
                  <c:v>6.83503699245818</c:v>
                </c:pt>
                <c:pt idx="4">
                  <c:v>7.29021569577874</c:v>
                </c:pt>
                <c:pt idx="5">
                  <c:v>7.48716067498166</c:v>
                </c:pt>
                <c:pt idx="6">
                  <c:v>8.77340039117072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'充电桩-充电联盟'!$G$144</c:f>
              <c:strCache>
                <c:ptCount val="1"/>
                <c:pt idx="0">
                  <c:v>车桩比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'充电桩-充电联盟'!$B$145:$B$151</c:f>
              <c:strCache>
                <c:ptCount val="7"/>
                <c:pt idx="0">
                  <c:v>2018年</c:v>
                </c:pt>
                <c:pt idx="1">
                  <c:v>2019年</c:v>
                </c:pt>
                <c:pt idx="2">
                  <c:v>2020年</c:v>
                </c:pt>
                <c:pt idx="3">
                  <c:v>2021年</c:v>
                </c:pt>
                <c:pt idx="4">
                  <c:v>2022年</c:v>
                </c:pt>
                <c:pt idx="5" c:formatCode="yyyy&quot;年&quot;m&quot;月&quot;">
                  <c:v>2023年</c:v>
                </c:pt>
                <c:pt idx="6" c:formatCode="yyyy&quot;年&quot;m&quot;月&quot;">
                  <c:v>2024年</c:v>
                </c:pt>
              </c:strCache>
            </c:strRef>
          </c:cat>
          <c:val>
            <c:numRef>
              <c:f>'充电桩-充电联盟'!$G$145:$G$151</c:f>
              <c:numCache>
                <c:formatCode>0.00_ </c:formatCode>
                <c:ptCount val="7"/>
                <c:pt idx="0">
                  <c:v>4.01544</c:v>
                </c:pt>
                <c:pt idx="1">
                  <c:v>3.3864</c:v>
                </c:pt>
                <c:pt idx="2">
                  <c:v>2.92682926829268</c:v>
                </c:pt>
                <c:pt idx="3">
                  <c:v>2.99579671379442</c:v>
                </c:pt>
                <c:pt idx="4">
                  <c:v>2.51439539347409</c:v>
                </c:pt>
                <c:pt idx="5">
                  <c:v>2.37436016751978</c:v>
                </c:pt>
                <c:pt idx="6">
                  <c:v>2.44968013730691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70783295"/>
        <c:axId val="1970905679"/>
      </c:lineChart>
      <c:catAx>
        <c:axId val="197077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</a:p>
        </c:txPr>
        <c:crossAx val="1970926063"/>
        <c:crosses val="autoZero"/>
        <c:auto val="1"/>
        <c:lblAlgn val="ctr"/>
        <c:lblOffset val="100"/>
        <c:noMultiLvlLbl val="0"/>
      </c:catAx>
      <c:valAx>
        <c:axId val="1970926063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70776895"/>
        <c:crosses val="autoZero"/>
        <c:crossBetween val="between"/>
      </c:valAx>
      <c:catAx>
        <c:axId val="1970783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905679"/>
        <c:crosses val="autoZero"/>
        <c:auto val="1"/>
        <c:lblAlgn val="ctr"/>
        <c:lblOffset val="100"/>
        <c:noMultiLvlLbl val="0"/>
      </c:catAx>
      <c:valAx>
        <c:axId val="1970905679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70783295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10611211091115"/>
          <c:y val="0.0211666666666667"/>
          <c:w val="0.780893821235753"/>
          <c:h val="0.162983333333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afb5d6-db8c-4c93-8b68-4f23853b016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png"/><Relationship Id="rId4" Type="http://schemas.openxmlformats.org/officeDocument/2006/relationships/image" Target="../media/image1.png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2.xml"/><Relationship Id="rId8" Type="http://schemas.openxmlformats.org/officeDocument/2006/relationships/chart" Target="../charts/chart11.xml"/><Relationship Id="rId7" Type="http://schemas.openxmlformats.org/officeDocument/2006/relationships/chart" Target="../charts/chart10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0" Type="http://schemas.openxmlformats.org/officeDocument/2006/relationships/chart" Target="../charts/chart13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6.xml"/><Relationship Id="rId8" Type="http://schemas.openxmlformats.org/officeDocument/2006/relationships/chart" Target="../charts/chart25.xml"/><Relationship Id="rId7" Type="http://schemas.openxmlformats.org/officeDocument/2006/relationships/chart" Target="../charts/chart24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2" Type="http://schemas.openxmlformats.org/officeDocument/2006/relationships/chart" Target="../charts/chart29.xml"/><Relationship Id="rId11" Type="http://schemas.openxmlformats.org/officeDocument/2006/relationships/chart" Target="../charts/chart28.xml"/><Relationship Id="rId10" Type="http://schemas.openxmlformats.org/officeDocument/2006/relationships/chart" Target="../charts/chart27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396875</xdr:colOff>
      <xdr:row>21</xdr:row>
      <xdr:rowOff>28575</xdr:rowOff>
    </xdr:from>
    <xdr:to>
      <xdr:col>5</xdr:col>
      <xdr:colOff>1254125</xdr:colOff>
      <xdr:row>36</xdr:row>
      <xdr:rowOff>104775</xdr:rowOff>
    </xdr:to>
    <xdr:graphicFrame>
      <xdr:nvGraphicFramePr>
        <xdr:cNvPr id="3" name="图表 2"/>
        <xdr:cNvGraphicFramePr/>
      </xdr:nvGraphicFramePr>
      <xdr:xfrm>
        <a:off x="1082675" y="3762375"/>
        <a:ext cx="4953000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403225</xdr:colOff>
      <xdr:row>39</xdr:row>
      <xdr:rowOff>53975</xdr:rowOff>
    </xdr:from>
    <xdr:to>
      <xdr:col>5</xdr:col>
      <xdr:colOff>1260475</xdr:colOff>
      <xdr:row>54</xdr:row>
      <xdr:rowOff>130175</xdr:rowOff>
    </xdr:to>
    <xdr:graphicFrame>
      <xdr:nvGraphicFramePr>
        <xdr:cNvPr id="4" name="图表 3"/>
        <xdr:cNvGraphicFramePr/>
      </xdr:nvGraphicFramePr>
      <xdr:xfrm>
        <a:off x="1089025" y="6873875"/>
        <a:ext cx="4953000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16807</xdr:colOff>
      <xdr:row>30</xdr:row>
      <xdr:rowOff>129988</xdr:rowOff>
    </xdr:from>
    <xdr:to>
      <xdr:col>15</xdr:col>
      <xdr:colOff>548336</xdr:colOff>
      <xdr:row>52</xdr:row>
      <xdr:rowOff>32047</xdr:rowOff>
    </xdr:to>
    <xdr:graphicFrame>
      <xdr:nvGraphicFramePr>
        <xdr:cNvPr id="5" name="图表 4"/>
        <xdr:cNvGraphicFramePr>
          <a:graphicFrameLocks noChangeAspect="1"/>
        </xdr:cNvGraphicFramePr>
      </xdr:nvGraphicFramePr>
      <xdr:xfrm>
        <a:off x="6874510" y="5406390"/>
        <a:ext cx="6017895" cy="3674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167005</xdr:colOff>
      <xdr:row>1</xdr:row>
      <xdr:rowOff>0</xdr:rowOff>
    </xdr:from>
    <xdr:to>
      <xdr:col>29</xdr:col>
      <xdr:colOff>371475</xdr:colOff>
      <xdr:row>25</xdr:row>
      <xdr:rowOff>124460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197205" y="171450"/>
          <a:ext cx="9119870" cy="4372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206179</xdr:colOff>
      <xdr:row>1</xdr:row>
      <xdr:rowOff>11205</xdr:rowOff>
    </xdr:from>
    <xdr:to>
      <xdr:col>14</xdr:col>
      <xdr:colOff>190500</xdr:colOff>
      <xdr:row>21</xdr:row>
      <xdr:rowOff>8196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77940" y="182245"/>
          <a:ext cx="5471160" cy="355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307340</xdr:colOff>
      <xdr:row>26</xdr:row>
      <xdr:rowOff>74930</xdr:rowOff>
    </xdr:from>
    <xdr:to>
      <xdr:col>22</xdr:col>
      <xdr:colOff>571500</xdr:colOff>
      <xdr:row>41</xdr:row>
      <xdr:rowOff>130175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75565" y="4761230"/>
          <a:ext cx="4445635" cy="27698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2800350</xdr:colOff>
      <xdr:row>49</xdr:row>
      <xdr:rowOff>99490</xdr:rowOff>
    </xdr:from>
    <xdr:to>
      <xdr:col>23</xdr:col>
      <xdr:colOff>570131</xdr:colOff>
      <xdr:row>64</xdr:row>
      <xdr:rowOff>62837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11325" y="8976360"/>
          <a:ext cx="5732145" cy="2677795"/>
        </a:xfrm>
        <a:prstGeom prst="rect">
          <a:avLst/>
        </a:prstGeom>
      </xdr:spPr>
    </xdr:pic>
    <xdr:clientData/>
  </xdr:twoCellAnchor>
  <xdr:twoCellAnchor editAs="oneCell">
    <xdr:from>
      <xdr:col>17</xdr:col>
      <xdr:colOff>146050</xdr:colOff>
      <xdr:row>27</xdr:row>
      <xdr:rowOff>111978</xdr:rowOff>
    </xdr:from>
    <xdr:to>
      <xdr:col>25</xdr:col>
      <xdr:colOff>106621</xdr:colOff>
      <xdr:row>42</xdr:row>
      <xdr:rowOff>91414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500350" y="4998085"/>
          <a:ext cx="5513070" cy="27031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508000</xdr:colOff>
      <xdr:row>0</xdr:row>
      <xdr:rowOff>53975</xdr:rowOff>
    </xdr:from>
    <xdr:to>
      <xdr:col>15</xdr:col>
      <xdr:colOff>221615</xdr:colOff>
      <xdr:row>16</xdr:row>
      <xdr:rowOff>53975</xdr:rowOff>
    </xdr:to>
    <xdr:graphicFrame>
      <xdr:nvGraphicFramePr>
        <xdr:cNvPr id="2" name="图表 1"/>
        <xdr:cNvGraphicFramePr/>
      </xdr:nvGraphicFramePr>
      <xdr:xfrm>
        <a:off x="9109075" y="53975"/>
        <a:ext cx="45713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113665</xdr:colOff>
      <xdr:row>34</xdr:row>
      <xdr:rowOff>150495</xdr:rowOff>
    </xdr:from>
    <xdr:to>
      <xdr:col>15</xdr:col>
      <xdr:colOff>227965</xdr:colOff>
      <xdr:row>50</xdr:row>
      <xdr:rowOff>41695</xdr:rowOff>
    </xdr:to>
    <xdr:graphicFrame>
      <xdr:nvGraphicFramePr>
        <xdr:cNvPr id="3" name="图表 2"/>
        <xdr:cNvGraphicFramePr/>
      </xdr:nvGraphicFramePr>
      <xdr:xfrm>
        <a:off x="8714740" y="5979795"/>
        <a:ext cx="4972050" cy="2633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419733</xdr:colOff>
      <xdr:row>62</xdr:row>
      <xdr:rowOff>27939</xdr:rowOff>
    </xdr:from>
    <xdr:to>
      <xdr:col>18</xdr:col>
      <xdr:colOff>190233</xdr:colOff>
      <xdr:row>78</xdr:row>
      <xdr:rowOff>63139</xdr:rowOff>
    </xdr:to>
    <xdr:graphicFrame>
      <xdr:nvGraphicFramePr>
        <xdr:cNvPr id="4" name="图表 3"/>
        <xdr:cNvGraphicFramePr/>
      </xdr:nvGraphicFramePr>
      <xdr:xfrm>
        <a:off x="8210550" y="10657205"/>
        <a:ext cx="7867015" cy="2778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698497</xdr:colOff>
      <xdr:row>80</xdr:row>
      <xdr:rowOff>88899</xdr:rowOff>
    </xdr:from>
    <xdr:to>
      <xdr:col>15</xdr:col>
      <xdr:colOff>300038</xdr:colOff>
      <xdr:row>95</xdr:row>
      <xdr:rowOff>165099</xdr:rowOff>
    </xdr:to>
    <xdr:graphicFrame>
      <xdr:nvGraphicFramePr>
        <xdr:cNvPr id="5" name="图表 4"/>
        <xdr:cNvGraphicFramePr/>
      </xdr:nvGraphicFramePr>
      <xdr:xfrm>
        <a:off x="8489315" y="13804265"/>
        <a:ext cx="5269230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421955</xdr:colOff>
      <xdr:row>63</xdr:row>
      <xdr:rowOff>126681</xdr:rowOff>
    </xdr:from>
    <xdr:to>
      <xdr:col>31</xdr:col>
      <xdr:colOff>364805</xdr:colOff>
      <xdr:row>79</xdr:row>
      <xdr:rowOff>25081</xdr:rowOff>
    </xdr:to>
    <xdr:graphicFrame>
      <xdr:nvGraphicFramePr>
        <xdr:cNvPr id="6" name="图表 5"/>
        <xdr:cNvGraphicFramePr/>
      </xdr:nvGraphicFramePr>
      <xdr:xfrm>
        <a:off x="23824565" y="10927715"/>
        <a:ext cx="4991100" cy="264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688974</xdr:colOff>
      <xdr:row>85</xdr:row>
      <xdr:rowOff>76200</xdr:rowOff>
    </xdr:from>
    <xdr:to>
      <xdr:col>32</xdr:col>
      <xdr:colOff>3174</xdr:colOff>
      <xdr:row>100</xdr:row>
      <xdr:rowOff>152400</xdr:rowOff>
    </xdr:to>
    <xdr:graphicFrame>
      <xdr:nvGraphicFramePr>
        <xdr:cNvPr id="7" name="图表 6"/>
        <xdr:cNvGraphicFramePr/>
      </xdr:nvGraphicFramePr>
      <xdr:xfrm>
        <a:off x="24091265" y="14649450"/>
        <a:ext cx="5048250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122555</xdr:colOff>
      <xdr:row>17</xdr:row>
      <xdr:rowOff>41275</xdr:rowOff>
    </xdr:from>
    <xdr:to>
      <xdr:col>14</xdr:col>
      <xdr:colOff>579120</xdr:colOff>
      <xdr:row>33</xdr:row>
      <xdr:rowOff>41275</xdr:rowOff>
    </xdr:to>
    <xdr:graphicFrame>
      <xdr:nvGraphicFramePr>
        <xdr:cNvPr id="8" name="图表 7"/>
        <xdr:cNvGraphicFramePr/>
      </xdr:nvGraphicFramePr>
      <xdr:xfrm>
        <a:off x="8723630" y="2955925"/>
        <a:ext cx="450469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147320</xdr:colOff>
      <xdr:row>18</xdr:row>
      <xdr:rowOff>48895</xdr:rowOff>
    </xdr:from>
    <xdr:to>
      <xdr:col>21</xdr:col>
      <xdr:colOff>671195</xdr:colOff>
      <xdr:row>34</xdr:row>
      <xdr:rowOff>48895</xdr:rowOff>
    </xdr:to>
    <xdr:graphicFrame>
      <xdr:nvGraphicFramePr>
        <xdr:cNvPr id="9" name="图表 8"/>
        <xdr:cNvGraphicFramePr/>
      </xdr:nvGraphicFramePr>
      <xdr:xfrm>
        <a:off x="14415770" y="3134995"/>
        <a:ext cx="59055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166687</xdr:colOff>
      <xdr:row>28</xdr:row>
      <xdr:rowOff>23812</xdr:rowOff>
    </xdr:from>
    <xdr:to>
      <xdr:col>21</xdr:col>
      <xdr:colOff>690562</xdr:colOff>
      <xdr:row>44</xdr:row>
      <xdr:rowOff>23812</xdr:rowOff>
    </xdr:to>
    <xdr:graphicFrame>
      <xdr:nvGraphicFramePr>
        <xdr:cNvPr id="10" name="图表 9"/>
        <xdr:cNvGraphicFramePr/>
      </xdr:nvGraphicFramePr>
      <xdr:xfrm>
        <a:off x="14434820" y="4824095"/>
        <a:ext cx="59055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380365</xdr:colOff>
      <xdr:row>95</xdr:row>
      <xdr:rowOff>78105</xdr:rowOff>
    </xdr:from>
    <xdr:to>
      <xdr:col>15</xdr:col>
      <xdr:colOff>714190</xdr:colOff>
      <xdr:row>116</xdr:row>
      <xdr:rowOff>77655</xdr:rowOff>
    </xdr:to>
    <xdr:graphicFrame>
      <xdr:nvGraphicFramePr>
        <xdr:cNvPr id="12" name="图表 11"/>
        <xdr:cNvGraphicFramePr/>
      </xdr:nvGraphicFramePr>
      <xdr:xfrm>
        <a:off x="8171815" y="16365855"/>
        <a:ext cx="6000750" cy="359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88900</xdr:colOff>
      <xdr:row>44</xdr:row>
      <xdr:rowOff>57785</xdr:rowOff>
    </xdr:from>
    <xdr:to>
      <xdr:col>23</xdr:col>
      <xdr:colOff>393700</xdr:colOff>
      <xdr:row>59</xdr:row>
      <xdr:rowOff>133985</xdr:rowOff>
    </xdr:to>
    <xdr:graphicFrame>
      <xdr:nvGraphicFramePr>
        <xdr:cNvPr id="3" name="图表 2"/>
        <xdr:cNvGraphicFramePr/>
      </xdr:nvGraphicFramePr>
      <xdr:xfrm>
        <a:off x="12528550" y="8011160"/>
        <a:ext cx="5029200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40005</xdr:colOff>
      <xdr:row>45</xdr:row>
      <xdr:rowOff>170815</xdr:rowOff>
    </xdr:from>
    <xdr:to>
      <xdr:col>32</xdr:col>
      <xdr:colOff>344805</xdr:colOff>
      <xdr:row>61</xdr:row>
      <xdr:rowOff>66040</xdr:rowOff>
    </xdr:to>
    <xdr:graphicFrame>
      <xdr:nvGraphicFramePr>
        <xdr:cNvPr id="4" name="图表 3"/>
        <xdr:cNvGraphicFramePr/>
      </xdr:nvGraphicFramePr>
      <xdr:xfrm>
        <a:off x="18537555" y="8305165"/>
        <a:ext cx="4972050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509587</xdr:colOff>
      <xdr:row>1</xdr:row>
      <xdr:rowOff>90487</xdr:rowOff>
    </xdr:from>
    <xdr:to>
      <xdr:col>24</xdr:col>
      <xdr:colOff>623887</xdr:colOff>
      <xdr:row>16</xdr:row>
      <xdr:rowOff>119062</xdr:rowOff>
    </xdr:to>
    <xdr:graphicFrame>
      <xdr:nvGraphicFramePr>
        <xdr:cNvPr id="3" name="图表 2"/>
        <xdr:cNvGraphicFramePr/>
      </xdr:nvGraphicFramePr>
      <xdr:xfrm>
        <a:off x="17701895" y="2711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509587</xdr:colOff>
      <xdr:row>1</xdr:row>
      <xdr:rowOff>90487</xdr:rowOff>
    </xdr:from>
    <xdr:to>
      <xdr:col>24</xdr:col>
      <xdr:colOff>623887</xdr:colOff>
      <xdr:row>16</xdr:row>
      <xdr:rowOff>119062</xdr:rowOff>
    </xdr:to>
    <xdr:graphicFrame>
      <xdr:nvGraphicFramePr>
        <xdr:cNvPr id="2" name="图表 1"/>
        <xdr:cNvGraphicFramePr/>
      </xdr:nvGraphicFramePr>
      <xdr:xfrm>
        <a:off x="17701895" y="2711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340360</xdr:colOff>
      <xdr:row>55</xdr:row>
      <xdr:rowOff>124460</xdr:rowOff>
    </xdr:from>
    <xdr:to>
      <xdr:col>6</xdr:col>
      <xdr:colOff>350520</xdr:colOff>
      <xdr:row>71</xdr:row>
      <xdr:rowOff>124459</xdr:rowOff>
    </xdr:to>
    <xdr:graphicFrame>
      <xdr:nvGraphicFramePr>
        <xdr:cNvPr id="2" name="图表 1"/>
        <xdr:cNvGraphicFramePr/>
      </xdr:nvGraphicFramePr>
      <xdr:xfrm>
        <a:off x="340360" y="10447655"/>
        <a:ext cx="4591685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572135</xdr:colOff>
      <xdr:row>57</xdr:row>
      <xdr:rowOff>27305</xdr:rowOff>
    </xdr:from>
    <xdr:to>
      <xdr:col>15</xdr:col>
      <xdr:colOff>138521</xdr:colOff>
      <xdr:row>74</xdr:row>
      <xdr:rowOff>27304</xdr:rowOff>
    </xdr:to>
    <xdr:graphicFrame>
      <xdr:nvGraphicFramePr>
        <xdr:cNvPr id="3" name="图表 2"/>
        <xdr:cNvGraphicFramePr/>
      </xdr:nvGraphicFramePr>
      <xdr:xfrm>
        <a:off x="5153660" y="10693400"/>
        <a:ext cx="6081395" cy="2914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464820</xdr:colOff>
      <xdr:row>70</xdr:row>
      <xdr:rowOff>95885</xdr:rowOff>
    </xdr:from>
    <xdr:to>
      <xdr:col>16</xdr:col>
      <xdr:colOff>41910</xdr:colOff>
      <xdr:row>86</xdr:row>
      <xdr:rowOff>61691</xdr:rowOff>
    </xdr:to>
    <xdr:graphicFrame>
      <xdr:nvGraphicFramePr>
        <xdr:cNvPr id="4" name="图表 3"/>
        <xdr:cNvGraphicFramePr/>
      </xdr:nvGraphicFramePr>
      <xdr:xfrm>
        <a:off x="5770245" y="12990830"/>
        <a:ext cx="6092190" cy="303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130175</xdr:colOff>
      <xdr:row>69</xdr:row>
      <xdr:rowOff>40640</xdr:rowOff>
    </xdr:from>
    <xdr:to>
      <xdr:col>6</xdr:col>
      <xdr:colOff>143147</xdr:colOff>
      <xdr:row>84</xdr:row>
      <xdr:rowOff>86547</xdr:rowOff>
    </xdr:to>
    <xdr:graphicFrame>
      <xdr:nvGraphicFramePr>
        <xdr:cNvPr id="5" name="图表 4"/>
        <xdr:cNvGraphicFramePr/>
      </xdr:nvGraphicFramePr>
      <xdr:xfrm>
        <a:off x="130175" y="12764135"/>
        <a:ext cx="4594225" cy="294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164465</xdr:colOff>
      <xdr:row>94</xdr:row>
      <xdr:rowOff>34743</xdr:rowOff>
    </xdr:from>
    <xdr:to>
      <xdr:col>6</xdr:col>
      <xdr:colOff>122237</xdr:colOff>
      <xdr:row>110</xdr:row>
      <xdr:rowOff>34743</xdr:rowOff>
    </xdr:to>
    <xdr:graphicFrame>
      <xdr:nvGraphicFramePr>
        <xdr:cNvPr id="6" name="图表 5"/>
        <xdr:cNvGraphicFramePr/>
      </xdr:nvGraphicFramePr>
      <xdr:xfrm>
        <a:off x="164465" y="17367885"/>
        <a:ext cx="45389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236220</xdr:colOff>
      <xdr:row>94</xdr:row>
      <xdr:rowOff>56787</xdr:rowOff>
    </xdr:from>
    <xdr:to>
      <xdr:col>14</xdr:col>
      <xdr:colOff>404495</xdr:colOff>
      <xdr:row>110</xdr:row>
      <xdr:rowOff>56787</xdr:rowOff>
    </xdr:to>
    <xdr:graphicFrame>
      <xdr:nvGraphicFramePr>
        <xdr:cNvPr id="7" name="图表 6"/>
        <xdr:cNvGraphicFramePr/>
      </xdr:nvGraphicFramePr>
      <xdr:xfrm>
        <a:off x="4817745" y="17390110"/>
        <a:ext cx="59594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244475</xdr:colOff>
      <xdr:row>111</xdr:row>
      <xdr:rowOff>11883</xdr:rowOff>
    </xdr:from>
    <xdr:to>
      <xdr:col>6</xdr:col>
      <xdr:colOff>254635</xdr:colOff>
      <xdr:row>127</xdr:row>
      <xdr:rowOff>11883</xdr:rowOff>
    </xdr:to>
    <xdr:graphicFrame>
      <xdr:nvGraphicFramePr>
        <xdr:cNvPr id="8" name="图表 7"/>
        <xdr:cNvGraphicFramePr/>
      </xdr:nvGraphicFramePr>
      <xdr:xfrm>
        <a:off x="244475" y="20259675"/>
        <a:ext cx="459168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485775</xdr:colOff>
      <xdr:row>111</xdr:row>
      <xdr:rowOff>49801</xdr:rowOff>
    </xdr:from>
    <xdr:to>
      <xdr:col>14</xdr:col>
      <xdr:colOff>654050</xdr:colOff>
      <xdr:row>127</xdr:row>
      <xdr:rowOff>49801</xdr:rowOff>
    </xdr:to>
    <xdr:graphicFrame>
      <xdr:nvGraphicFramePr>
        <xdr:cNvPr id="9" name="图表 8"/>
        <xdr:cNvGraphicFramePr/>
      </xdr:nvGraphicFramePr>
      <xdr:xfrm>
        <a:off x="5067300" y="20297775"/>
        <a:ext cx="59594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61912</xdr:colOff>
      <xdr:row>126</xdr:row>
      <xdr:rowOff>90935</xdr:rowOff>
    </xdr:from>
    <xdr:to>
      <xdr:col>8</xdr:col>
      <xdr:colOff>290512</xdr:colOff>
      <xdr:row>142</xdr:row>
      <xdr:rowOff>90936</xdr:rowOff>
    </xdr:to>
    <xdr:graphicFrame>
      <xdr:nvGraphicFramePr>
        <xdr:cNvPr id="10" name="图表 9"/>
        <xdr:cNvGraphicFramePr/>
      </xdr:nvGraphicFramePr>
      <xdr:xfrm>
        <a:off x="1747520" y="229108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660400</xdr:colOff>
      <xdr:row>126</xdr:row>
      <xdr:rowOff>24260</xdr:rowOff>
    </xdr:from>
    <xdr:to>
      <xdr:col>17</xdr:col>
      <xdr:colOff>171450</xdr:colOff>
      <xdr:row>142</xdr:row>
      <xdr:rowOff>24261</xdr:rowOff>
    </xdr:to>
    <xdr:graphicFrame>
      <xdr:nvGraphicFramePr>
        <xdr:cNvPr id="11" name="图表 10"/>
        <xdr:cNvGraphicFramePr/>
      </xdr:nvGraphicFramePr>
      <xdr:xfrm>
        <a:off x="6689725" y="22844125"/>
        <a:ext cx="60261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29210</xdr:colOff>
      <xdr:row>56</xdr:row>
      <xdr:rowOff>177800</xdr:rowOff>
    </xdr:from>
    <xdr:to>
      <xdr:col>11</xdr:col>
      <xdr:colOff>640812</xdr:colOff>
      <xdr:row>73</xdr:row>
      <xdr:rowOff>36017</xdr:rowOff>
    </xdr:to>
    <xdr:graphicFrame>
      <xdr:nvGraphicFramePr>
        <xdr:cNvPr id="17" name="图表 16"/>
        <xdr:cNvGraphicFramePr/>
      </xdr:nvGraphicFramePr>
      <xdr:xfrm>
        <a:off x="467360" y="10666095"/>
        <a:ext cx="8374380" cy="2778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1141412</xdr:colOff>
      <xdr:row>156</xdr:row>
      <xdr:rowOff>62361</xdr:rowOff>
    </xdr:from>
    <xdr:to>
      <xdr:col>12</xdr:col>
      <xdr:colOff>129037</xdr:colOff>
      <xdr:row>177</xdr:row>
      <xdr:rowOff>61911</xdr:rowOff>
    </xdr:to>
    <xdr:graphicFrame>
      <xdr:nvGraphicFramePr>
        <xdr:cNvPr id="12" name="图表 11"/>
        <xdr:cNvGraphicFramePr/>
      </xdr:nvGraphicFramePr>
      <xdr:xfrm>
        <a:off x="1579245" y="28025725"/>
        <a:ext cx="7474585" cy="359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ofv.no/bilsalget/bilsalget-i-mai-202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icauto.com.cn/rank/car_3000.html" TargetMode="External"/><Relationship Id="rId98" Type="http://schemas.openxmlformats.org/officeDocument/2006/relationships/hyperlink" Target="https://www.icauto.com.cn/rank/car_1654.html" TargetMode="External"/><Relationship Id="rId97" Type="http://schemas.openxmlformats.org/officeDocument/2006/relationships/hyperlink" Target="https://www.icauto.com.cn/rank/car_3577.html" TargetMode="External"/><Relationship Id="rId96" Type="http://schemas.openxmlformats.org/officeDocument/2006/relationships/hyperlink" Target="https://www.icauto.com.cn/rank/car_1697.html" TargetMode="External"/><Relationship Id="rId95" Type="http://schemas.openxmlformats.org/officeDocument/2006/relationships/hyperlink" Target="https://www.icauto.com.cn/rank/car_3497.html" TargetMode="External"/><Relationship Id="rId94" Type="http://schemas.openxmlformats.org/officeDocument/2006/relationships/hyperlink" Target="https://www.icauto.com.cn/rank/car_3136.html" TargetMode="External"/><Relationship Id="rId93" Type="http://schemas.openxmlformats.org/officeDocument/2006/relationships/hyperlink" Target="https://www.icauto.com.cn/rank/car_3390.html" TargetMode="External"/><Relationship Id="rId92" Type="http://schemas.openxmlformats.org/officeDocument/2006/relationships/hyperlink" Target="https://www.icauto.com.cn/rank/car_1611.html" TargetMode="External"/><Relationship Id="rId91" Type="http://schemas.openxmlformats.org/officeDocument/2006/relationships/hyperlink" Target="https://www.icauto.com.cn/rank/car_1729.html" TargetMode="External"/><Relationship Id="rId90" Type="http://schemas.openxmlformats.org/officeDocument/2006/relationships/hyperlink" Target="https://www.icauto.com.cn/rank/car_3054.html" TargetMode="External"/><Relationship Id="rId9" Type="http://schemas.openxmlformats.org/officeDocument/2006/relationships/hyperlink" Target="https://www.icauto.com.cn/rank/car_1507.html" TargetMode="External"/><Relationship Id="rId89" Type="http://schemas.openxmlformats.org/officeDocument/2006/relationships/hyperlink" Target="https://www.icauto.com.cn/rank/car_3058.html" TargetMode="External"/><Relationship Id="rId88" Type="http://schemas.openxmlformats.org/officeDocument/2006/relationships/hyperlink" Target="https://www.icauto.com.cn/rank/car_3422.html" TargetMode="External"/><Relationship Id="rId87" Type="http://schemas.openxmlformats.org/officeDocument/2006/relationships/hyperlink" Target="https://www.icauto.com.cn/rank/car_3224.html" TargetMode="External"/><Relationship Id="rId86" Type="http://schemas.openxmlformats.org/officeDocument/2006/relationships/hyperlink" Target="https://www.icauto.com.cn/rank/car_3240.html" TargetMode="External"/><Relationship Id="rId85" Type="http://schemas.openxmlformats.org/officeDocument/2006/relationships/hyperlink" Target="https://www.icauto.com.cn/rank/car_3449.html" TargetMode="External"/><Relationship Id="rId84" Type="http://schemas.openxmlformats.org/officeDocument/2006/relationships/hyperlink" Target="https://www.icauto.com.cn/car/sales/cs.html" TargetMode="External"/><Relationship Id="rId83" Type="http://schemas.openxmlformats.org/officeDocument/2006/relationships/hyperlink" Target="https://www.icauto.com.cn/car/sales/pp.html" TargetMode="External"/><Relationship Id="rId82" Type="http://schemas.openxmlformats.org/officeDocument/2006/relationships/hyperlink" Target="https://www.icauto.com.cn/rank/car_1353.html" TargetMode="External"/><Relationship Id="rId81" Type="http://schemas.openxmlformats.org/officeDocument/2006/relationships/hyperlink" Target="https://www.icauto.com.cn/rank/car_1789.html" TargetMode="External"/><Relationship Id="rId80" Type="http://schemas.openxmlformats.org/officeDocument/2006/relationships/hyperlink" Target="https://www.icauto.com.cn/rank/car_1243.html" TargetMode="External"/><Relationship Id="rId8" Type="http://schemas.openxmlformats.org/officeDocument/2006/relationships/hyperlink" Target="https://www.icauto.com.cn/rank/car_1214.html" TargetMode="External"/><Relationship Id="rId79" Type="http://schemas.openxmlformats.org/officeDocument/2006/relationships/hyperlink" Target="https://www.icauto.com.cn/rank/car_3072.html" TargetMode="External"/><Relationship Id="rId78" Type="http://schemas.openxmlformats.org/officeDocument/2006/relationships/hyperlink" Target="https://www.icauto.com.cn/rank/car_3312.html" TargetMode="External"/><Relationship Id="rId77" Type="http://schemas.openxmlformats.org/officeDocument/2006/relationships/hyperlink" Target="https://www.icauto.com.cn/rank/car_1410.html" TargetMode="External"/><Relationship Id="rId76" Type="http://schemas.openxmlformats.org/officeDocument/2006/relationships/hyperlink" Target="https://www.icauto.com.cn/rank/car_1409.html" TargetMode="External"/><Relationship Id="rId75" Type="http://schemas.openxmlformats.org/officeDocument/2006/relationships/hyperlink" Target="https://www.icauto.com.cn/rank/car_2984.html" TargetMode="External"/><Relationship Id="rId74" Type="http://schemas.openxmlformats.org/officeDocument/2006/relationships/hyperlink" Target="https://www.icauto.com.cn/rank/car_2983.html" TargetMode="External"/><Relationship Id="rId73" Type="http://schemas.openxmlformats.org/officeDocument/2006/relationships/hyperlink" Target="https://www.icauto.com.cn/rank/car_3357.html" TargetMode="External"/><Relationship Id="rId72" Type="http://schemas.openxmlformats.org/officeDocument/2006/relationships/hyperlink" Target="https://www.icauto.com.cn/rank/car_3564.html" TargetMode="External"/><Relationship Id="rId71" Type="http://schemas.openxmlformats.org/officeDocument/2006/relationships/hyperlink" Target="https://www.icauto.com.cn/rank/car_3511.html" TargetMode="External"/><Relationship Id="rId70" Type="http://schemas.openxmlformats.org/officeDocument/2006/relationships/hyperlink" Target="https://www.icauto.com.cn/rank/car_1862.html" TargetMode="External"/><Relationship Id="rId7" Type="http://schemas.openxmlformats.org/officeDocument/2006/relationships/hyperlink" Target="https://www.icauto.com.cn/rank/car_1795.html" TargetMode="External"/><Relationship Id="rId69" Type="http://schemas.openxmlformats.org/officeDocument/2006/relationships/hyperlink" Target="https://www.icauto.com.cn/rank/car_3294.html" TargetMode="External"/><Relationship Id="rId68" Type="http://schemas.openxmlformats.org/officeDocument/2006/relationships/hyperlink" Target="https://www.icauto.com.cn/rank/car_1917.html" TargetMode="External"/><Relationship Id="rId67" Type="http://schemas.openxmlformats.org/officeDocument/2006/relationships/hyperlink" Target="https://www.icauto.com.cn/rank/car_3524.html" TargetMode="External"/><Relationship Id="rId66" Type="http://schemas.openxmlformats.org/officeDocument/2006/relationships/hyperlink" Target="https://www.icauto.com.cn/rank/car_2727.html" TargetMode="External"/><Relationship Id="rId65" Type="http://schemas.openxmlformats.org/officeDocument/2006/relationships/hyperlink" Target="https://www.icauto.com.cn/rank/car_3635.html" TargetMode="External"/><Relationship Id="rId64" Type="http://schemas.openxmlformats.org/officeDocument/2006/relationships/hyperlink" Target="https://www.icauto.com.cn/rank/car_3466.html" TargetMode="External"/><Relationship Id="rId63" Type="http://schemas.openxmlformats.org/officeDocument/2006/relationships/hyperlink" Target="https://www.icauto.com.cn/rank/car_279.html" TargetMode="External"/><Relationship Id="rId62" Type="http://schemas.openxmlformats.org/officeDocument/2006/relationships/hyperlink" Target="https://www.icauto.com.cn/rank/car_1816.html" TargetMode="External"/><Relationship Id="rId61" Type="http://schemas.openxmlformats.org/officeDocument/2006/relationships/hyperlink" Target="https://www.icauto.com.cn/rank/car_1357.html" TargetMode="External"/><Relationship Id="rId60" Type="http://schemas.openxmlformats.org/officeDocument/2006/relationships/hyperlink" Target="https://www.icauto.com.cn/rank/car_1408.html" TargetMode="External"/><Relationship Id="rId6" Type="http://schemas.openxmlformats.org/officeDocument/2006/relationships/hyperlink" Target="https://www.icauto.com.cn/rank/car_1590.html" TargetMode="External"/><Relationship Id="rId59" Type="http://schemas.openxmlformats.org/officeDocument/2006/relationships/hyperlink" Target="https://www.icauto.com.cn/rank/car_1321.html" TargetMode="External"/><Relationship Id="rId58" Type="http://schemas.openxmlformats.org/officeDocument/2006/relationships/hyperlink" Target="https://www.icauto.com.cn/rank/car_3605.html" TargetMode="External"/><Relationship Id="rId57" Type="http://schemas.openxmlformats.org/officeDocument/2006/relationships/hyperlink" Target="https://www.icauto.com.cn/rank/car_1771.html" TargetMode="External"/><Relationship Id="rId56" Type="http://schemas.openxmlformats.org/officeDocument/2006/relationships/hyperlink" Target="https://www.icauto.com.cn/rank/car_3526.html" TargetMode="External"/><Relationship Id="rId55" Type="http://schemas.openxmlformats.org/officeDocument/2006/relationships/hyperlink" Target="https://www.icauto.com.cn/rank/car_3494.html" TargetMode="External"/><Relationship Id="rId54" Type="http://schemas.openxmlformats.org/officeDocument/2006/relationships/hyperlink" Target="https://www.icauto.com.cn/rank/car_3457.html" TargetMode="External"/><Relationship Id="rId53" Type="http://schemas.openxmlformats.org/officeDocument/2006/relationships/hyperlink" Target="https://www.icauto.com.cn/rank/car_1879.html" TargetMode="External"/><Relationship Id="rId52" Type="http://schemas.openxmlformats.org/officeDocument/2006/relationships/hyperlink" Target="https://www.icauto.com.cn/rank/car_1584.html" TargetMode="External"/><Relationship Id="rId51" Type="http://schemas.openxmlformats.org/officeDocument/2006/relationships/hyperlink" Target="https://www.icauto.com.cn/rank/car_3319.html" TargetMode="External"/><Relationship Id="rId50" Type="http://schemas.openxmlformats.org/officeDocument/2006/relationships/hyperlink" Target="https://www.icauto.com.cn/rank/car_3296.html" TargetMode="External"/><Relationship Id="rId5" Type="http://schemas.openxmlformats.org/officeDocument/2006/relationships/hyperlink" Target="https://www.icauto.com.cn/rank/car_934.html" TargetMode="External"/><Relationship Id="rId49" Type="http://schemas.openxmlformats.org/officeDocument/2006/relationships/hyperlink" Target="https://www.icauto.com.cn/rank/car_3179.html" TargetMode="External"/><Relationship Id="rId48" Type="http://schemas.openxmlformats.org/officeDocument/2006/relationships/hyperlink" Target="https://www.icauto.com.cn/rank/car_1251.html" TargetMode="External"/><Relationship Id="rId47" Type="http://schemas.openxmlformats.org/officeDocument/2006/relationships/hyperlink" Target="https://www.icauto.com.cn/rank/car_3223.html" TargetMode="External"/><Relationship Id="rId46" Type="http://schemas.openxmlformats.org/officeDocument/2006/relationships/hyperlink" Target="https://www.icauto.com.cn/rank/car_2818.html" TargetMode="External"/><Relationship Id="rId45" Type="http://schemas.openxmlformats.org/officeDocument/2006/relationships/hyperlink" Target="https://www.icauto.com.cn/rank/car_1695.html" TargetMode="External"/><Relationship Id="rId44" Type="http://schemas.openxmlformats.org/officeDocument/2006/relationships/hyperlink" Target="https://www.icauto.com.cn/rank/car_2066.html" TargetMode="External"/><Relationship Id="rId43" Type="http://schemas.openxmlformats.org/officeDocument/2006/relationships/hyperlink" Target="https://www.icauto.com.cn/rank/car_1298.html" TargetMode="External"/><Relationship Id="rId42" Type="http://schemas.openxmlformats.org/officeDocument/2006/relationships/hyperlink" Target="https://www.icauto.com.cn/rank/car_3311.html" TargetMode="External"/><Relationship Id="rId41" Type="http://schemas.openxmlformats.org/officeDocument/2006/relationships/hyperlink" Target="https://www.icauto.com.cn/rank/car_3235.html" TargetMode="External"/><Relationship Id="rId40" Type="http://schemas.openxmlformats.org/officeDocument/2006/relationships/hyperlink" Target="https://www.icauto.com.cn/rank/car_3358.html" TargetMode="External"/><Relationship Id="rId4" Type="http://schemas.openxmlformats.org/officeDocument/2006/relationships/hyperlink" Target="https://www.icauto.com.cn/rank/car_930.html" TargetMode="External"/><Relationship Id="rId39" Type="http://schemas.openxmlformats.org/officeDocument/2006/relationships/hyperlink" Target="https://www.icauto.com.cn/rank/car_3252.html" TargetMode="External"/><Relationship Id="rId38" Type="http://schemas.openxmlformats.org/officeDocument/2006/relationships/hyperlink" Target="https://www.icauto.com.cn/rank/car_3110.html" TargetMode="External"/><Relationship Id="rId37" Type="http://schemas.openxmlformats.org/officeDocument/2006/relationships/hyperlink" Target="https://www.icauto.com.cn/rank/car_3173.html" TargetMode="External"/><Relationship Id="rId36" Type="http://schemas.openxmlformats.org/officeDocument/2006/relationships/hyperlink" Target="https://www.icauto.com.cn/rank/car_1916.html" TargetMode="External"/><Relationship Id="rId35" Type="http://schemas.openxmlformats.org/officeDocument/2006/relationships/hyperlink" Target="https://www.icauto.com.cn/rank/car_2935.html" TargetMode="External"/><Relationship Id="rId34" Type="http://schemas.openxmlformats.org/officeDocument/2006/relationships/hyperlink" Target="https://www.icauto.com.cn/rank/car_1825.html" TargetMode="External"/><Relationship Id="rId33" Type="http://schemas.openxmlformats.org/officeDocument/2006/relationships/hyperlink" Target="https://www.icauto.com.cn/rank/car_1875.html" TargetMode="External"/><Relationship Id="rId32" Type="http://schemas.openxmlformats.org/officeDocument/2006/relationships/hyperlink" Target="https://www.icauto.com.cn/rank/car_1753.html" TargetMode="External"/><Relationship Id="rId31" Type="http://schemas.openxmlformats.org/officeDocument/2006/relationships/hyperlink" Target="https://www.icauto.com.cn/rank/car_1876.html" TargetMode="External"/><Relationship Id="rId30" Type="http://schemas.openxmlformats.org/officeDocument/2006/relationships/hyperlink" Target="https://www.icauto.com.cn/rank/car_1755.html" TargetMode="External"/><Relationship Id="rId3" Type="http://schemas.openxmlformats.org/officeDocument/2006/relationships/vmlDrawing" Target="../drawings/vmlDrawing3.vml"/><Relationship Id="rId29" Type="http://schemas.openxmlformats.org/officeDocument/2006/relationships/hyperlink" Target="https://www.icauto.com.cn/rank/car_1760.html" TargetMode="External"/><Relationship Id="rId28" Type="http://schemas.openxmlformats.org/officeDocument/2006/relationships/hyperlink" Target="https://www.icauto.com.cn/rank/car_3003.html" TargetMode="External"/><Relationship Id="rId27" Type="http://schemas.openxmlformats.org/officeDocument/2006/relationships/hyperlink" Target="https://www.icauto.com.cn/rank/car_3116.html" TargetMode="External"/><Relationship Id="rId26" Type="http://schemas.openxmlformats.org/officeDocument/2006/relationships/hyperlink" Target="https://www.icauto.com.cn/rank/car_2978.html" TargetMode="External"/><Relationship Id="rId25" Type="http://schemas.openxmlformats.org/officeDocument/2006/relationships/hyperlink" Target="https://www.icauto.com.cn/rank/car_1297.html" TargetMode="External"/><Relationship Id="rId24" Type="http://schemas.openxmlformats.org/officeDocument/2006/relationships/hyperlink" Target="https://www.icauto.com.cn/rank/car_1362.html" TargetMode="External"/><Relationship Id="rId23" Type="http://schemas.openxmlformats.org/officeDocument/2006/relationships/hyperlink" Target="https://www.icauto.com.cn/rank/car_1635.html" TargetMode="External"/><Relationship Id="rId22" Type="http://schemas.openxmlformats.org/officeDocument/2006/relationships/hyperlink" Target="https://www.icauto.com.cn/rank/car_1843.html" TargetMode="External"/><Relationship Id="rId21" Type="http://schemas.openxmlformats.org/officeDocument/2006/relationships/hyperlink" Target="https://www.icauto.com.cn/rank/car_2946.html" TargetMode="External"/><Relationship Id="rId20" Type="http://schemas.openxmlformats.org/officeDocument/2006/relationships/hyperlink" Target="https://www.icauto.com.cn/rank/car_2960.html" TargetMode="External"/><Relationship Id="rId2" Type="http://schemas.openxmlformats.org/officeDocument/2006/relationships/drawing" Target="../drawings/drawing6.xml"/><Relationship Id="rId19" Type="http://schemas.openxmlformats.org/officeDocument/2006/relationships/hyperlink" Target="https://www.icauto.com.cn/rank/car_2999.html" TargetMode="External"/><Relationship Id="rId18" Type="http://schemas.openxmlformats.org/officeDocument/2006/relationships/hyperlink" Target="https://www.icauto.com.cn/rank/car_1804.html" TargetMode="External"/><Relationship Id="rId17" Type="http://schemas.openxmlformats.org/officeDocument/2006/relationships/hyperlink" Target="https://www.icauto.com.cn/rank/car_1651.html" TargetMode="External"/><Relationship Id="rId16" Type="http://schemas.openxmlformats.org/officeDocument/2006/relationships/hyperlink" Target="https://www.icauto.com.cn/rank/car_1352.html" TargetMode="External"/><Relationship Id="rId15" Type="http://schemas.openxmlformats.org/officeDocument/2006/relationships/hyperlink" Target="https://www.icauto.com.cn/rank/car_1354.html" TargetMode="External"/><Relationship Id="rId14" Type="http://schemas.openxmlformats.org/officeDocument/2006/relationships/hyperlink" Target="https://www.icauto.com.cn/rank/car_1692.html" TargetMode="External"/><Relationship Id="rId13" Type="http://schemas.openxmlformats.org/officeDocument/2006/relationships/hyperlink" Target="https://www.icauto.com.cn/rank/car_985.html" TargetMode="External"/><Relationship Id="rId12" Type="http://schemas.openxmlformats.org/officeDocument/2006/relationships/hyperlink" Target="https://xl.16888.com/b/57411/history-202207-202207.html" TargetMode="External"/><Relationship Id="rId11" Type="http://schemas.openxmlformats.org/officeDocument/2006/relationships/hyperlink" Target="https://www.icauto.com.cn/rank/car_1572.html" TargetMode="External"/><Relationship Id="rId108" Type="http://schemas.openxmlformats.org/officeDocument/2006/relationships/hyperlink" Target="https://www.icauto.com.cn/rank/car_3465.html" TargetMode="External"/><Relationship Id="rId107" Type="http://schemas.openxmlformats.org/officeDocument/2006/relationships/hyperlink" Target="https://www.icauto.com.cn/rank/car_3574.html" TargetMode="External"/><Relationship Id="rId106" Type="http://schemas.openxmlformats.org/officeDocument/2006/relationships/hyperlink" Target="https://www.icauto.com.cn/rank/car_3464.html" TargetMode="External"/><Relationship Id="rId105" Type="http://schemas.openxmlformats.org/officeDocument/2006/relationships/hyperlink" Target="https://www.icauto.com.cn/rank/car_3621.html" TargetMode="External"/><Relationship Id="rId104" Type="http://schemas.openxmlformats.org/officeDocument/2006/relationships/hyperlink" Target="https://www.icauto.com.cn/rank/car_3565.html" TargetMode="External"/><Relationship Id="rId103" Type="http://schemas.openxmlformats.org/officeDocument/2006/relationships/hyperlink" Target="https://www.icauto.com.cn/rank/car_3695.html" TargetMode="External"/><Relationship Id="rId102" Type="http://schemas.openxmlformats.org/officeDocument/2006/relationships/hyperlink" Target="https://www.icauto.com.cn/rank/car_1783.html" TargetMode="External"/><Relationship Id="rId101" Type="http://schemas.openxmlformats.org/officeDocument/2006/relationships/hyperlink" Target="https://www.icauto.com.cn/rank/car_3534.html" TargetMode="External"/><Relationship Id="rId100" Type="http://schemas.openxmlformats.org/officeDocument/2006/relationships/hyperlink" Target="https://www.icauto.com.cn/rank/car_1322.html" TargetMode="External"/><Relationship Id="rId10" Type="http://schemas.openxmlformats.org/officeDocument/2006/relationships/hyperlink" Target="https://www.icauto.com.cn/rank/car_1508.html" TargetMode="External"/><Relationship Id="rId1" Type="http://schemas.openxmlformats.org/officeDocument/2006/relationships/comments" Target="../comments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115" zoomScaleNormal="115" workbookViewId="0">
      <pane ySplit="1" topLeftCell="A2" activePane="bottomLeft" state="frozen"/>
      <selection/>
      <selection pane="bottomLeft" activeCell="B20" sqref="B20"/>
    </sheetView>
  </sheetViews>
  <sheetFormatPr defaultColWidth="9" defaultRowHeight="13.5" outlineLevelCol="6"/>
  <cols>
    <col min="3" max="3" width="13.375" customWidth="1"/>
    <col min="4" max="4" width="22.25" customWidth="1"/>
    <col min="5" max="5" width="5.25" customWidth="1"/>
    <col min="6" max="6" width="15.125" customWidth="1"/>
    <col min="7" max="7" width="5.75" customWidth="1"/>
    <col min="8" max="8" width="23.875" customWidth="1"/>
    <col min="10" max="10" width="9" customWidth="1"/>
  </cols>
  <sheetData>
    <row r="1" spans="1:7">
      <c r="A1" s="275" t="s">
        <v>0</v>
      </c>
      <c r="B1" s="275"/>
      <c r="C1" s="275"/>
      <c r="D1" s="276" t="s">
        <v>1</v>
      </c>
      <c r="E1" s="277"/>
    </row>
    <row r="2" ht="15" spans="1:7">
      <c r="A2" s="278" t="s">
        <v>2</v>
      </c>
      <c r="B2" s="278"/>
      <c r="C2" s="278"/>
      <c r="D2" s="279" t="s">
        <v>3</v>
      </c>
      <c r="E2" s="277"/>
    </row>
    <row r="3" ht="14.25" customHeight="1" spans="1:7">
      <c r="A3" s="278" t="s">
        <v>4</v>
      </c>
      <c r="B3" s="278"/>
      <c r="C3" s="278"/>
      <c r="D3" s="280" t="s">
        <v>5</v>
      </c>
      <c r="E3" s="277"/>
    </row>
    <row r="4" ht="14.25" customHeight="1" spans="1:7">
      <c r="A4" s="278" t="s">
        <v>6</v>
      </c>
      <c r="B4" s="278"/>
      <c r="C4" s="278"/>
      <c r="D4" s="280" t="s">
        <v>7</v>
      </c>
      <c r="E4" s="277"/>
    </row>
    <row r="5" ht="14.25" customHeight="1" spans="1:7">
      <c r="A5" s="278" t="s">
        <v>8</v>
      </c>
      <c r="B5" s="278"/>
      <c r="C5" s="278"/>
      <c r="D5" s="280" t="s">
        <v>9</v>
      </c>
      <c r="E5" s="277"/>
    </row>
    <row r="6" ht="14.25" customHeight="1" spans="1:7">
      <c r="A6" s="278" t="s">
        <v>10</v>
      </c>
      <c r="B6" s="278"/>
      <c r="C6" s="278"/>
      <c r="D6" s="280" t="s">
        <v>11</v>
      </c>
      <c r="E6" s="277"/>
    </row>
    <row r="7" ht="14.25" customHeight="1" spans="1:7">
      <c r="A7" s="278" t="s">
        <v>12</v>
      </c>
      <c r="B7" s="278"/>
      <c r="C7" s="278"/>
      <c r="D7" s="280" t="s">
        <v>13</v>
      </c>
      <c r="E7" s="277"/>
    </row>
    <row r="8" ht="14.25" customHeight="1" spans="1:7">
      <c r="A8" s="278" t="s">
        <v>14</v>
      </c>
      <c r="B8" s="278"/>
      <c r="C8" s="278"/>
      <c r="D8" s="280" t="s">
        <v>15</v>
      </c>
      <c r="E8" s="277"/>
    </row>
    <row r="9" ht="14.25" customHeight="1" spans="1:7">
      <c r="A9" s="278" t="s">
        <v>16</v>
      </c>
      <c r="B9" s="278"/>
      <c r="C9" s="278"/>
      <c r="D9" s="280" t="s">
        <v>17</v>
      </c>
      <c r="E9" s="277"/>
    </row>
    <row r="10" ht="15" customHeight="1" spans="1:7">
      <c r="A10" s="278" t="s">
        <v>18</v>
      </c>
      <c r="B10" s="278"/>
      <c r="C10" s="278"/>
      <c r="D10" s="280" t="s">
        <v>19</v>
      </c>
      <c r="E10" s="277"/>
    </row>
    <row r="11" ht="15" customHeight="1" spans="1:7">
      <c r="A11" s="278" t="s">
        <v>18</v>
      </c>
      <c r="B11" s="278"/>
      <c r="C11" s="278"/>
      <c r="D11" s="280" t="s">
        <v>20</v>
      </c>
      <c r="E11" s="277"/>
    </row>
    <row r="12" ht="15" customHeight="1" spans="1:7">
      <c r="A12" s="278" t="s">
        <v>21</v>
      </c>
      <c r="B12" s="278"/>
      <c r="C12" s="278"/>
      <c r="D12" s="280" t="s">
        <v>22</v>
      </c>
      <c r="E12" s="277"/>
    </row>
    <row r="13" ht="15" customHeight="1" spans="1:7">
      <c r="A13" s="278" t="s">
        <v>23</v>
      </c>
      <c r="B13" s="278"/>
      <c r="C13" s="278"/>
      <c r="D13" s="280" t="s">
        <v>19</v>
      </c>
      <c r="E13" s="277"/>
    </row>
    <row r="14" spans="1:7">
      <c r="A14" s="278" t="s">
        <v>24</v>
      </c>
      <c r="B14" s="278"/>
      <c r="C14" s="278"/>
      <c r="D14" s="281" t="s">
        <v>25</v>
      </c>
      <c r="E14" s="277"/>
      <c r="G14" s="282"/>
    </row>
    <row r="15" spans="1:7">
      <c r="A15" s="278" t="s">
        <v>26</v>
      </c>
      <c r="B15" s="278"/>
      <c r="C15" s="278"/>
      <c r="D15" s="280" t="s">
        <v>27</v>
      </c>
      <c r="E15" s="277"/>
      <c r="G15" s="282"/>
    </row>
  </sheetData>
  <sheetProtection selectLockedCells="1"/>
  <mergeCells count="15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hyperlinks>
    <hyperlink ref="A2" location="全球新能源乘用车销量!A1" display="全球新能源乘用车销量"/>
    <hyperlink ref="A15" location="'核心新能源车企销量-月度'!A1" display="充电桩"/>
    <hyperlink ref="A11" location="中国新能源汽车销量!A1" display="中国新能源汽车销量"/>
    <hyperlink ref="A10" location="中国新能源汽车销量!A1" display="中国新能源汽车销量"/>
    <hyperlink ref="A10:C10" location="'中国新能源汽车销量-中汽协'!A1" display="中国新能源汽车销量"/>
    <hyperlink ref="A11:C11" location="'中国新能源汽车销量-乘联会'!A1" display="中国新能源汽车销量"/>
    <hyperlink ref="A14" location="'核心新能源车企销量-月度'!A1" display="核心新能源车企销量-月度"/>
    <hyperlink ref="A15:C15" location="'充电桩-充电联盟'!A1" display="充电桩"/>
    <hyperlink ref="A12:C12" location="'新能源汽车销量汇总-中汽协乘联会'!A1" display="新能源汽车销量汇总"/>
    <hyperlink ref="A3:C3" location="德国新能源汽车销量!A1" display="德国新能源汽车销量"/>
    <hyperlink ref="A4:C4" location="英国新能源汽车销量!A1" display="英国新能源汽车销量"/>
    <hyperlink ref="A5:C5" location="法国新能源汽车销量!A1" display="法国新能源汽车销量"/>
    <hyperlink ref="A6:C6" location="瑞典新能源汽车销量!A1" display="瑞典新能源汽车销量"/>
    <hyperlink ref="A7:C7" location="挪威新能源汽车销量!A1" display="挪威新能源汽车销量"/>
    <hyperlink ref="A8:C8" location="意大利新能源汽车销量!A1" display="意大利新能源汽车销量"/>
    <hyperlink ref="A9:C9" location="西班牙新能源汽车销量!A1" display="西班牙新能源汽车销量"/>
    <hyperlink ref="A13:C13" location="'纯电插混产销占比-中汽协'!A1" display="纯电插混产销占比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43"/>
  <sheetViews>
    <sheetView zoomScale="55" zoomScaleNormal="55" workbookViewId="0">
      <selection activeCell="R30" sqref="R30:AB39"/>
    </sheetView>
  </sheetViews>
  <sheetFormatPr defaultColWidth="9" defaultRowHeight="13.5"/>
  <cols>
    <col min="1" max="2" width="9" style="263"/>
    <col min="3" max="3" width="22.125" style="263" customWidth="1"/>
    <col min="4" max="4" width="9" style="263"/>
    <col min="5" max="5" width="13.625" style="263" customWidth="1"/>
    <col min="6" max="6" width="18.25" style="263" customWidth="1"/>
    <col min="7" max="16384" width="9" style="263"/>
  </cols>
  <sheetData>
    <row r="2" ht="14.25" spans="2:6">
      <c r="B2" s="264"/>
      <c r="C2" s="265" t="s">
        <v>28</v>
      </c>
      <c r="D2" s="265" t="s">
        <v>29</v>
      </c>
      <c r="E2" s="265" t="s">
        <v>30</v>
      </c>
      <c r="F2" s="265" t="s">
        <v>31</v>
      </c>
    </row>
    <row r="3" ht="14.25" spans="2:6">
      <c r="B3" s="266">
        <v>2012</v>
      </c>
      <c r="C3" s="267">
        <v>12.5</v>
      </c>
      <c r="D3" s="265"/>
      <c r="E3" s="268">
        <v>8212.9138</v>
      </c>
      <c r="F3" s="269">
        <f t="shared" ref="F3:F11" si="0">C3/E3</f>
        <v>0.00152199332714292</v>
      </c>
    </row>
    <row r="4" ht="14.25" spans="2:6">
      <c r="B4" s="266">
        <v>2013</v>
      </c>
      <c r="C4" s="267">
        <v>20.8</v>
      </c>
      <c r="D4" s="270">
        <f t="shared" ref="D4:D15" si="1">C4/C3-1</f>
        <v>0.664</v>
      </c>
      <c r="E4" s="268">
        <v>8560.6136</v>
      </c>
      <c r="F4" s="269">
        <f t="shared" si="0"/>
        <v>0.00242973237338968</v>
      </c>
    </row>
    <row r="5" ht="14.25" spans="2:6">
      <c r="B5" s="266">
        <v>2014</v>
      </c>
      <c r="C5" s="267">
        <v>32.1</v>
      </c>
      <c r="D5" s="270">
        <f t="shared" si="1"/>
        <v>0.543269230769231</v>
      </c>
      <c r="E5" s="268">
        <v>8833.8098</v>
      </c>
      <c r="F5" s="269">
        <f t="shared" si="0"/>
        <v>0.0036337662601701</v>
      </c>
    </row>
    <row r="6" ht="14.25" spans="2:6">
      <c r="B6" s="266">
        <v>2015</v>
      </c>
      <c r="C6" s="267">
        <v>54.3</v>
      </c>
      <c r="D6" s="270">
        <f t="shared" si="1"/>
        <v>0.691588785046729</v>
      </c>
      <c r="E6" s="268">
        <v>8968.4608</v>
      </c>
      <c r="F6" s="269">
        <f t="shared" si="0"/>
        <v>0.00605455063147513</v>
      </c>
    </row>
    <row r="7" ht="14.25" spans="2:6">
      <c r="B7" s="266">
        <v>2016</v>
      </c>
      <c r="C7" s="267">
        <v>79.2</v>
      </c>
      <c r="D7" s="270">
        <f t="shared" si="1"/>
        <v>0.458563535911602</v>
      </c>
      <c r="E7" s="268">
        <v>9385.63877697</v>
      </c>
      <c r="F7" s="269">
        <f t="shared" si="0"/>
        <v>0.00843842405211001</v>
      </c>
    </row>
    <row r="8" ht="14.25" spans="2:6">
      <c r="B8" s="266">
        <v>2017</v>
      </c>
      <c r="C8" s="267">
        <v>126.3</v>
      </c>
      <c r="D8" s="270">
        <f t="shared" si="1"/>
        <v>0.59469696969697</v>
      </c>
      <c r="E8" s="268">
        <v>9566.0606</v>
      </c>
      <c r="F8" s="269">
        <f t="shared" si="0"/>
        <v>0.0132029270230632</v>
      </c>
    </row>
    <row r="9" ht="14.25" spans="2:6">
      <c r="B9" s="266">
        <v>2018</v>
      </c>
      <c r="C9" s="267">
        <v>208.2</v>
      </c>
      <c r="D9" s="270">
        <f t="shared" si="1"/>
        <v>0.648456057007126</v>
      </c>
      <c r="E9" s="268">
        <v>9505.59373218</v>
      </c>
      <c r="F9" s="269">
        <f t="shared" si="0"/>
        <v>0.0219028927456856</v>
      </c>
    </row>
    <row r="10" ht="14.25" spans="2:6">
      <c r="B10" s="266">
        <v>2019</v>
      </c>
      <c r="C10" s="267">
        <v>227.6</v>
      </c>
      <c r="D10" s="270">
        <f t="shared" si="1"/>
        <v>0.0931796349663785</v>
      </c>
      <c r="E10" s="268">
        <v>9129.6738</v>
      </c>
      <c r="F10" s="269">
        <f t="shared" si="0"/>
        <v>0.0249296968310084</v>
      </c>
    </row>
    <row r="11" ht="14.25" spans="2:6">
      <c r="B11" s="266">
        <v>2020</v>
      </c>
      <c r="C11" s="267">
        <v>324.5</v>
      </c>
      <c r="D11" s="270">
        <f t="shared" si="1"/>
        <v>0.425746924428823</v>
      </c>
      <c r="E11" s="268">
        <v>7797.1234</v>
      </c>
      <c r="F11" s="269">
        <f t="shared" si="0"/>
        <v>0.0416179125752967</v>
      </c>
    </row>
    <row r="12" ht="14.25" spans="2:6">
      <c r="B12" s="266">
        <v>2021</v>
      </c>
      <c r="C12" s="267">
        <v>677.4</v>
      </c>
      <c r="D12" s="270">
        <f t="shared" si="1"/>
        <v>1.08751926040062</v>
      </c>
      <c r="E12" s="268">
        <f>C12/F12</f>
        <v>8161.44578313253</v>
      </c>
      <c r="F12" s="271">
        <v>0.083</v>
      </c>
    </row>
    <row r="13" ht="14.25" spans="2:6">
      <c r="B13" s="266">
        <v>2022</v>
      </c>
      <c r="C13" s="267">
        <v>1052.4</v>
      </c>
      <c r="D13" s="270">
        <f t="shared" si="1"/>
        <v>0.553587245349867</v>
      </c>
      <c r="E13" s="268">
        <v>8100</v>
      </c>
      <c r="F13" s="271">
        <f>C13/E13</f>
        <v>0.129925925925926</v>
      </c>
    </row>
    <row r="14" ht="14.25" spans="2:6">
      <c r="B14" s="266">
        <v>2023</v>
      </c>
      <c r="C14" s="267">
        <v>1418.2</v>
      </c>
      <c r="D14" s="270">
        <f t="shared" si="1"/>
        <v>0.347586469023185</v>
      </c>
      <c r="E14" s="268">
        <f>C14/F14</f>
        <v>8975.94936708861</v>
      </c>
      <c r="F14" s="271">
        <v>0.158</v>
      </c>
    </row>
    <row r="15" ht="14.25" spans="2:6">
      <c r="B15" s="266">
        <v>2024</v>
      </c>
      <c r="C15" s="267">
        <v>1823.6</v>
      </c>
      <c r="D15" s="270">
        <f t="shared" si="1"/>
        <v>0.285855309547313</v>
      </c>
      <c r="E15" s="268">
        <v>9060</v>
      </c>
      <c r="F15" s="271">
        <f>C15/E15</f>
        <v>0.201280353200883</v>
      </c>
    </row>
    <row r="31" spans="11:27">
      <c r="K31" s="272"/>
      <c r="L31" s="272"/>
      <c r="M31" s="272"/>
      <c r="N31" s="272"/>
      <c r="O31" s="272"/>
      <c r="P31" s="272"/>
      <c r="S31"/>
      <c r="T31"/>
      <c r="U31"/>
      <c r="V31"/>
      <c r="W31"/>
      <c r="X31"/>
      <c r="Y31"/>
      <c r="Z31"/>
      <c r="AA31"/>
    </row>
    <row r="32" spans="11:27">
      <c r="K32" s="272"/>
      <c r="L32" s="272"/>
      <c r="M32" s="272"/>
      <c r="N32" s="272"/>
      <c r="O32" s="272"/>
      <c r="P32" s="272"/>
      <c r="S32"/>
      <c r="T32" s="273"/>
      <c r="U32"/>
      <c r="V32"/>
      <c r="W32"/>
      <c r="X32"/>
      <c r="Y32"/>
      <c r="Z32"/>
      <c r="AA32"/>
    </row>
    <row r="33" spans="10:27">
      <c r="S33"/>
      <c r="T33" s="273"/>
      <c r="U33"/>
      <c r="V33"/>
      <c r="W33"/>
      <c r="X33"/>
      <c r="Y33"/>
      <c r="Z33"/>
      <c r="AA33"/>
    </row>
    <row r="34" spans="10:27">
      <c r="S34"/>
      <c r="T34" s="273"/>
      <c r="U34"/>
      <c r="V34"/>
      <c r="W34"/>
      <c r="X34"/>
      <c r="Y34"/>
      <c r="Z34"/>
      <c r="AA34"/>
    </row>
    <row r="35" spans="10:27">
      <c r="S35"/>
      <c r="T35"/>
      <c r="U35"/>
      <c r="V35"/>
      <c r="W35"/>
      <c r="X35"/>
      <c r="Y35"/>
      <c r="Z35"/>
      <c r="AA35"/>
    </row>
    <row r="36" spans="10:27">
      <c r="S36"/>
      <c r="T36"/>
      <c r="U36"/>
      <c r="V36"/>
      <c r="W36"/>
      <c r="X36"/>
      <c r="Y36"/>
      <c r="Z36"/>
      <c r="AA36"/>
    </row>
    <row r="38" spans="10:27">
      <c r="L38" s="274"/>
    </row>
    <row r="39" spans="10:27">
      <c r="L39" s="274"/>
    </row>
    <row r="40" spans="10:27">
      <c r="L40" s="274"/>
    </row>
    <row r="41" spans="10:27">
      <c r="J41" s="274"/>
      <c r="L41" s="274"/>
    </row>
    <row r="42" spans="10:27">
      <c r="J42" s="274"/>
      <c r="L42" s="274"/>
    </row>
    <row r="43" spans="10:27">
      <c r="J43" s="274"/>
    </row>
  </sheetData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7"/>
  <sheetViews>
    <sheetView zoomScale="127" zoomScaleNormal="127" topLeftCell="A22" workbookViewId="0">
      <selection activeCell="N41" sqref="N41"/>
    </sheetView>
  </sheetViews>
  <sheetFormatPr defaultColWidth="9" defaultRowHeight="13.5"/>
  <cols>
    <col min="1" max="1" width="24.25" style="204" customWidth="1"/>
    <col min="2" max="2" width="9" style="204" customWidth="1"/>
    <col min="3" max="3" width="9.125" style="204" customWidth="1"/>
    <col min="4" max="4" width="9.375" style="204" customWidth="1"/>
    <col min="5" max="5" width="8.25" style="204" customWidth="1"/>
    <col min="6" max="6" width="9.875" style="204" customWidth="1"/>
    <col min="7" max="8" width="9.125" style="204" customWidth="1"/>
    <col min="9" max="9" width="9.375" style="204" customWidth="1"/>
    <col min="10" max="11" width="9.125" style="204" customWidth="1"/>
    <col min="12" max="12" width="9.875" style="204" customWidth="1"/>
    <col min="13" max="14" width="9.125" style="204" customWidth="1"/>
    <col min="15" max="17" width="9.875" style="204" customWidth="1"/>
    <col min="18" max="16384" width="9" style="204"/>
  </cols>
  <sheetData>
    <row r="1" ht="14.25" spans="1:17">
      <c r="A1" s="205" t="s">
        <v>32</v>
      </c>
      <c r="B1" s="195" t="s">
        <v>33</v>
      </c>
      <c r="C1" s="195" t="s">
        <v>34</v>
      </c>
      <c r="D1" s="195" t="s">
        <v>35</v>
      </c>
      <c r="E1" s="195" t="s">
        <v>36</v>
      </c>
      <c r="F1" s="195" t="s">
        <v>37</v>
      </c>
      <c r="G1" s="195" t="s">
        <v>38</v>
      </c>
      <c r="H1" s="195" t="s">
        <v>39</v>
      </c>
      <c r="I1" s="240" t="s">
        <v>40</v>
      </c>
      <c r="J1" s="195" t="s">
        <v>41</v>
      </c>
      <c r="K1" s="194" t="s">
        <v>42</v>
      </c>
      <c r="L1" s="194" t="s">
        <v>43</v>
      </c>
      <c r="M1" s="194" t="s">
        <v>44</v>
      </c>
      <c r="N1" s="194">
        <v>2023</v>
      </c>
      <c r="O1" s="194" t="s">
        <v>45</v>
      </c>
      <c r="P1" s="194">
        <v>2024</v>
      </c>
    </row>
    <row r="2" ht="14.25" spans="1:17">
      <c r="A2" s="205" t="s">
        <v>46</v>
      </c>
      <c r="B2" s="206"/>
      <c r="C2" s="206"/>
      <c r="D2" s="206"/>
      <c r="E2" s="206"/>
      <c r="F2" s="206"/>
      <c r="G2" s="206"/>
      <c r="H2" s="206">
        <v>40.4679</v>
      </c>
      <c r="I2" s="240">
        <v>30.4684</v>
      </c>
      <c r="J2" s="206">
        <v>66.5755</v>
      </c>
      <c r="K2" s="206">
        <v>30.6173</v>
      </c>
      <c r="L2" s="206">
        <v>83.3837</v>
      </c>
      <c r="M2" s="206">
        <v>29.9309</v>
      </c>
      <c r="N2" s="10">
        <v>69.9937</v>
      </c>
      <c r="O2" s="206">
        <f>SUM(B31:G31)/10000</f>
        <v>27.3722</v>
      </c>
      <c r="P2" s="10">
        <v>57.2576</v>
      </c>
    </row>
    <row r="3" ht="14.25" spans="1:17">
      <c r="A3" s="205" t="s">
        <v>29</v>
      </c>
      <c r="B3" s="207"/>
      <c r="C3" s="208"/>
      <c r="D3" s="208"/>
      <c r="E3" s="208"/>
      <c r="F3" s="208"/>
      <c r="G3" s="208"/>
      <c r="H3" s="208"/>
      <c r="I3" s="240"/>
      <c r="J3" s="208">
        <f>(J2-H2)/H2</f>
        <v>0.645143434672914</v>
      </c>
      <c r="K3" s="209">
        <v>0.0048</v>
      </c>
      <c r="L3" s="209">
        <f>(L2-J2)/J2</f>
        <v>0.252468250332329</v>
      </c>
      <c r="M3" s="209">
        <f>(M2-K2)/K2</f>
        <v>-0.0224186979256825</v>
      </c>
      <c r="N3" s="209">
        <f>(N2-L2)/L2</f>
        <v>-0.160582943668847</v>
      </c>
      <c r="O3" s="209">
        <f>(O2-M2)/M2</f>
        <v>-0.0854869048374757</v>
      </c>
      <c r="P3" s="209">
        <f>(P2-N2)/N2</f>
        <v>-0.181960662173881</v>
      </c>
    </row>
    <row r="4" ht="14.25" spans="1:17">
      <c r="A4" s="211" t="s">
        <v>47</v>
      </c>
      <c r="B4" s="212"/>
      <c r="C4" s="10"/>
      <c r="D4" s="10"/>
      <c r="E4" s="10"/>
      <c r="F4" s="10"/>
      <c r="G4" s="10"/>
      <c r="H4" s="10">
        <v>291.7678</v>
      </c>
      <c r="I4" s="240">
        <v>139.0889</v>
      </c>
      <c r="J4" s="10">
        <v>262.2132</v>
      </c>
      <c r="K4" s="213">
        <v>130.0975</v>
      </c>
      <c r="L4" s="10">
        <v>271.4357</v>
      </c>
      <c r="M4" s="10">
        <v>139.687</v>
      </c>
      <c r="N4" s="10">
        <v>284.4608</v>
      </c>
      <c r="O4" s="10">
        <f>SUM(B52:G52)/10000</f>
        <v>147.1612</v>
      </c>
      <c r="P4" s="10">
        <v>281.7259</v>
      </c>
    </row>
    <row r="5" ht="14.25" spans="1:17">
      <c r="A5" s="241" t="s">
        <v>48</v>
      </c>
      <c r="B5" s="214"/>
      <c r="C5" s="208"/>
      <c r="D5" s="208"/>
      <c r="E5" s="208"/>
      <c r="F5" s="208"/>
      <c r="G5" s="208"/>
      <c r="H5" s="208">
        <f t="shared" ref="H5:P5" si="0">H2/H4</f>
        <v>0.138698992829229</v>
      </c>
      <c r="I5" s="208">
        <f t="shared" si="0"/>
        <v>0.219057020366111</v>
      </c>
      <c r="J5" s="208">
        <f t="shared" si="0"/>
        <v>0.253898354468806</v>
      </c>
      <c r="K5" s="208">
        <f t="shared" si="0"/>
        <v>0.235341186417879</v>
      </c>
      <c r="L5" s="208">
        <f t="shared" si="0"/>
        <v>0.307195037351387</v>
      </c>
      <c r="M5" s="208">
        <f t="shared" si="0"/>
        <v>0.214271192022164</v>
      </c>
      <c r="N5" s="208">
        <f t="shared" si="0"/>
        <v>0.246057453258938</v>
      </c>
      <c r="O5" s="206">
        <f t="shared" si="0"/>
        <v>0.186001473214407</v>
      </c>
      <c r="P5" s="10">
        <f t="shared" si="0"/>
        <v>0.203238679865784</v>
      </c>
    </row>
    <row r="6" spans="1:17">
      <c r="A6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109"/>
      <c r="P6" s="242"/>
      <c r="Q6" s="243"/>
    </row>
    <row r="7" spans="1:17">
      <c r="A7"/>
      <c r="B7" s="21"/>
      <c r="C7" s="21"/>
      <c r="D7" s="21"/>
      <c r="E7" s="21"/>
      <c r="F7" s="21"/>
      <c r="G7" s="21"/>
      <c r="H7" s="21"/>
      <c r="J7" s="21"/>
      <c r="K7" s="21"/>
      <c r="L7" s="21"/>
      <c r="M7" s="21"/>
      <c r="N7" s="21"/>
      <c r="O7"/>
      <c r="P7" s="244"/>
    </row>
    <row r="8" ht="14.25" spans="1:17">
      <c r="A8" s="151" t="s">
        <v>49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51"/>
      <c r="P8" s="230"/>
    </row>
    <row r="9" ht="14.25" spans="1:17">
      <c r="A9" s="164" t="s">
        <v>50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89"/>
      <c r="O9" s="151"/>
      <c r="P9" s="230"/>
    </row>
    <row r="10" ht="14.25" spans="1:17">
      <c r="A10" s="216"/>
      <c r="B10" s="166" t="s">
        <v>51</v>
      </c>
      <c r="C10" s="166" t="s">
        <v>52</v>
      </c>
      <c r="D10" s="166" t="s">
        <v>53</v>
      </c>
      <c r="E10" s="166" t="s">
        <v>54</v>
      </c>
      <c r="F10" s="166" t="s">
        <v>55</v>
      </c>
      <c r="G10" s="166" t="s">
        <v>56</v>
      </c>
      <c r="H10" s="166" t="s">
        <v>57</v>
      </c>
      <c r="I10" s="166" t="s">
        <v>58</v>
      </c>
      <c r="J10" s="166" t="s">
        <v>59</v>
      </c>
      <c r="K10" s="166" t="s">
        <v>60</v>
      </c>
      <c r="L10" s="166" t="s">
        <v>61</v>
      </c>
      <c r="M10" s="166" t="s">
        <v>62</v>
      </c>
      <c r="N10" s="189" t="s">
        <v>63</v>
      </c>
      <c r="O10" s="151"/>
      <c r="P10" s="230"/>
      <c r="Q10" s="245"/>
    </row>
    <row r="11" ht="14.25" spans="1:17">
      <c r="A11" s="189">
        <v>2021</v>
      </c>
      <c r="B11" s="195">
        <v>35962</v>
      </c>
      <c r="C11" s="195">
        <v>38620</v>
      </c>
      <c r="D11" s="195">
        <v>63829</v>
      </c>
      <c r="E11" s="195">
        <v>49536</v>
      </c>
      <c r="F11" s="195">
        <v>52980</v>
      </c>
      <c r="G11" s="195">
        <v>63757</v>
      </c>
      <c r="H11" s="195">
        <v>55530</v>
      </c>
      <c r="I11" s="195">
        <v>51580</v>
      </c>
      <c r="J11" s="195">
        <v>55096</v>
      </c>
      <c r="K11" s="195">
        <v>52123</v>
      </c>
      <c r="L11" s="195">
        <v>65514</v>
      </c>
      <c r="M11" s="195">
        <v>81228</v>
      </c>
      <c r="N11" s="195">
        <f>SUM(B11:M11)</f>
        <v>665755</v>
      </c>
      <c r="O11" s="151"/>
      <c r="P11" s="246"/>
    </row>
    <row r="12" ht="14.25" spans="1:17">
      <c r="A12" s="189" t="s">
        <v>64</v>
      </c>
      <c r="B12" s="189"/>
      <c r="C12" s="217">
        <f t="shared" ref="C12:M12" si="1">C11/B11-1</f>
        <v>0.0739113508703633</v>
      </c>
      <c r="D12" s="217">
        <f t="shared" si="1"/>
        <v>0.652744691869498</v>
      </c>
      <c r="E12" s="217">
        <f t="shared" si="1"/>
        <v>-0.223926428425951</v>
      </c>
      <c r="F12" s="217">
        <f t="shared" si="1"/>
        <v>0.0695251937984496</v>
      </c>
      <c r="G12" s="217">
        <f t="shared" si="1"/>
        <v>0.203416383540959</v>
      </c>
      <c r="H12" s="217">
        <f t="shared" si="1"/>
        <v>-0.129036811644212</v>
      </c>
      <c r="I12" s="217">
        <f t="shared" si="1"/>
        <v>-0.0711327210516838</v>
      </c>
      <c r="J12" s="217">
        <f t="shared" si="1"/>
        <v>0.0681659557968204</v>
      </c>
      <c r="K12" s="217">
        <f t="shared" si="1"/>
        <v>-0.0539603600987367</v>
      </c>
      <c r="L12" s="217">
        <f t="shared" si="1"/>
        <v>0.25691153617405</v>
      </c>
      <c r="M12" s="217">
        <f t="shared" si="1"/>
        <v>0.239857129773789</v>
      </c>
      <c r="N12" s="218"/>
      <c r="O12" s="247"/>
      <c r="P12" s="246"/>
    </row>
    <row r="13" ht="14.25" spans="1:17">
      <c r="A13" s="219" t="s">
        <v>65</v>
      </c>
      <c r="B13" s="220">
        <v>15877</v>
      </c>
      <c r="C13" s="220">
        <v>17494</v>
      </c>
      <c r="D13" s="220">
        <v>27949</v>
      </c>
      <c r="E13" s="220">
        <v>22601</v>
      </c>
      <c r="F13" s="220">
        <v>25934</v>
      </c>
      <c r="G13" s="220">
        <v>32463</v>
      </c>
      <c r="H13" s="220">
        <v>24337</v>
      </c>
      <c r="I13" s="220">
        <v>27423</v>
      </c>
      <c r="J13" s="220">
        <v>32433</v>
      </c>
      <c r="K13" s="220">
        <v>28854</v>
      </c>
      <c r="L13" s="220">
        <v>38238</v>
      </c>
      <c r="M13" s="220">
        <v>48436</v>
      </c>
      <c r="N13" s="195">
        <f>SUM(B13:M13)</f>
        <v>342039</v>
      </c>
      <c r="O13" s="248"/>
      <c r="P13" s="230"/>
    </row>
    <row r="14" ht="14.25" spans="1:17">
      <c r="A14" s="219" t="s">
        <v>66</v>
      </c>
      <c r="B14" s="220">
        <v>20078</v>
      </c>
      <c r="C14" s="220">
        <v>21098</v>
      </c>
      <c r="D14" s="220">
        <v>35801</v>
      </c>
      <c r="E14" s="220">
        <v>26900</v>
      </c>
      <c r="F14" s="220">
        <v>27013</v>
      </c>
      <c r="G14" s="220">
        <v>31257</v>
      </c>
      <c r="H14" s="220">
        <v>31155</v>
      </c>
      <c r="I14" s="220">
        <v>24110</v>
      </c>
      <c r="J14" s="220">
        <v>22609</v>
      </c>
      <c r="K14" s="220">
        <v>23236</v>
      </c>
      <c r="L14" s="220">
        <v>27247</v>
      </c>
      <c r="M14" s="220">
        <v>32752</v>
      </c>
      <c r="N14" s="195">
        <f t="shared" ref="N14" si="2">SUM(B14:M14)</f>
        <v>323256</v>
      </c>
      <c r="O14" s="248"/>
      <c r="P14" s="230"/>
    </row>
    <row r="15" ht="14.25" spans="1:17">
      <c r="A15" s="219" t="s">
        <v>67</v>
      </c>
      <c r="B15" s="222">
        <f>B13/B11</f>
        <v>0.441493799010066</v>
      </c>
      <c r="C15" s="222">
        <f t="shared" ref="C15:N15" si="3">C13/C11</f>
        <v>0.45297773174521</v>
      </c>
      <c r="D15" s="222">
        <f t="shared" si="3"/>
        <v>0.437873067101161</v>
      </c>
      <c r="E15" s="222">
        <f t="shared" si="3"/>
        <v>0.4562540374677</v>
      </c>
      <c r="F15" s="222">
        <f t="shared" si="3"/>
        <v>0.489505473763684</v>
      </c>
      <c r="G15" s="222">
        <f t="shared" si="3"/>
        <v>0.509167620810264</v>
      </c>
      <c r="H15" s="222">
        <f t="shared" si="3"/>
        <v>0.438267603097425</v>
      </c>
      <c r="I15" s="222">
        <f t="shared" si="3"/>
        <v>0.531659557968205</v>
      </c>
      <c r="J15" s="222">
        <f t="shared" si="3"/>
        <v>0.588663423842021</v>
      </c>
      <c r="K15" s="222">
        <f t="shared" si="3"/>
        <v>0.553575197129866</v>
      </c>
      <c r="L15" s="222">
        <f t="shared" si="3"/>
        <v>0.583661507464053</v>
      </c>
      <c r="M15" s="222">
        <f t="shared" si="3"/>
        <v>0.596296843452996</v>
      </c>
      <c r="N15" s="207">
        <f t="shared" si="3"/>
        <v>0.513761068260847</v>
      </c>
      <c r="O15" s="249"/>
      <c r="P15" s="230"/>
    </row>
    <row r="16" ht="14.25" spans="1:17">
      <c r="A16" s="219" t="s">
        <v>68</v>
      </c>
      <c r="B16" s="222">
        <f>B14/B11</f>
        <v>0.558311551081697</v>
      </c>
      <c r="C16" s="222">
        <f t="shared" ref="C16:N16" si="4">C14/C11</f>
        <v>0.54629725530813</v>
      </c>
      <c r="D16" s="222">
        <f t="shared" si="4"/>
        <v>0.560889250967429</v>
      </c>
      <c r="E16" s="222">
        <f t="shared" si="4"/>
        <v>0.543039405684755</v>
      </c>
      <c r="F16" s="222">
        <f t="shared" si="4"/>
        <v>0.509871649679124</v>
      </c>
      <c r="G16" s="222">
        <f t="shared" si="4"/>
        <v>0.490252050755211</v>
      </c>
      <c r="H16" s="222">
        <f t="shared" si="4"/>
        <v>0.561048082117774</v>
      </c>
      <c r="I16" s="222">
        <f t="shared" si="4"/>
        <v>0.467429236138038</v>
      </c>
      <c r="J16" s="222">
        <f t="shared" si="4"/>
        <v>0.410356468709162</v>
      </c>
      <c r="K16" s="222">
        <f t="shared" si="4"/>
        <v>0.445791685052664</v>
      </c>
      <c r="L16" s="222">
        <f t="shared" si="4"/>
        <v>0.415895839057301</v>
      </c>
      <c r="M16" s="222">
        <f t="shared" si="4"/>
        <v>0.403210715516817</v>
      </c>
      <c r="N16" s="207">
        <f t="shared" si="4"/>
        <v>0.485547986872048</v>
      </c>
      <c r="O16" s="250"/>
      <c r="P16" s="230"/>
    </row>
    <row r="17" ht="14.25" spans="1:17">
      <c r="A17" s="189">
        <v>2022</v>
      </c>
      <c r="B17" s="195">
        <f>B20+B21</f>
        <v>39792</v>
      </c>
      <c r="C17" s="195">
        <f t="shared" ref="C17:N17" si="5">C20+C21</f>
        <v>49889</v>
      </c>
      <c r="D17" s="195">
        <f t="shared" si="5"/>
        <v>61762</v>
      </c>
      <c r="E17" s="195">
        <f t="shared" si="5"/>
        <v>43872</v>
      </c>
      <c r="F17" s="195">
        <f t="shared" si="5"/>
        <v>52421</v>
      </c>
      <c r="G17" s="195">
        <f t="shared" si="5"/>
        <v>58437</v>
      </c>
      <c r="H17" s="195">
        <f t="shared" si="5"/>
        <v>52527</v>
      </c>
      <c r="I17" s="195">
        <f t="shared" si="5"/>
        <v>56725</v>
      </c>
      <c r="J17" s="195">
        <f t="shared" si="5"/>
        <v>72725</v>
      </c>
      <c r="K17" s="195">
        <f t="shared" si="5"/>
        <v>67845</v>
      </c>
      <c r="L17" s="195">
        <f t="shared" si="5"/>
        <v>102561</v>
      </c>
      <c r="M17" s="195">
        <f t="shared" si="5"/>
        <v>175281</v>
      </c>
      <c r="N17" s="195">
        <f t="shared" si="5"/>
        <v>833837</v>
      </c>
      <c r="O17" s="151">
        <f>SUM(B17:K17)</f>
        <v>555995</v>
      </c>
      <c r="P17" s="251"/>
    </row>
    <row r="18" ht="14.25" spans="1:17">
      <c r="A18" s="189" t="s">
        <v>64</v>
      </c>
      <c r="B18" s="217"/>
      <c r="C18" s="217">
        <f t="shared" ref="C18:M18" si="6">C17/B17-1</f>
        <v>0.253744471250503</v>
      </c>
      <c r="D18" s="217">
        <f t="shared" si="6"/>
        <v>0.237988334101706</v>
      </c>
      <c r="E18" s="217">
        <f t="shared" si="6"/>
        <v>-0.28966030892782</v>
      </c>
      <c r="F18" s="217">
        <f t="shared" si="6"/>
        <v>0.194862326768782</v>
      </c>
      <c r="G18" s="217">
        <f t="shared" si="6"/>
        <v>0.114763167432899</v>
      </c>
      <c r="H18" s="217">
        <f t="shared" si="6"/>
        <v>-0.101134555161969</v>
      </c>
      <c r="I18" s="217">
        <f t="shared" si="6"/>
        <v>0.0799208026348355</v>
      </c>
      <c r="J18" s="217">
        <f t="shared" si="6"/>
        <v>0.282062582635522</v>
      </c>
      <c r="K18" s="217">
        <f t="shared" si="6"/>
        <v>-0.0671020969405294</v>
      </c>
      <c r="L18" s="217">
        <f t="shared" si="6"/>
        <v>0.511695777139067</v>
      </c>
      <c r="M18" s="217">
        <f t="shared" si="6"/>
        <v>0.709041448503817</v>
      </c>
      <c r="N18" s="189"/>
      <c r="O18" s="151"/>
      <c r="P18" s="246"/>
    </row>
    <row r="19" ht="14.25" spans="1:17">
      <c r="A19" s="189" t="s">
        <v>69</v>
      </c>
      <c r="B19" s="217">
        <f t="shared" ref="B19:N19" si="7">(B17-B11)/B11</f>
        <v>0.106501306935098</v>
      </c>
      <c r="C19" s="217">
        <f t="shared" si="7"/>
        <v>0.291791817711031</v>
      </c>
      <c r="D19" s="217">
        <f t="shared" si="7"/>
        <v>-0.0323833993952592</v>
      </c>
      <c r="E19" s="217">
        <f t="shared" si="7"/>
        <v>-0.114341085271318</v>
      </c>
      <c r="F19" s="217">
        <f t="shared" si="7"/>
        <v>-0.0105511513778784</v>
      </c>
      <c r="G19" s="217">
        <f t="shared" si="7"/>
        <v>-0.0834418181533008</v>
      </c>
      <c r="H19" s="217">
        <f t="shared" si="7"/>
        <v>-0.0540788762830902</v>
      </c>
      <c r="I19" s="217">
        <f t="shared" si="7"/>
        <v>0.0997479643272586</v>
      </c>
      <c r="J19" s="217">
        <f t="shared" si="7"/>
        <v>0.319968781762741</v>
      </c>
      <c r="K19" s="217">
        <f t="shared" si="7"/>
        <v>0.301632676553537</v>
      </c>
      <c r="L19" s="217">
        <f t="shared" si="7"/>
        <v>0.565482187013463</v>
      </c>
      <c r="M19" s="217">
        <f t="shared" si="7"/>
        <v>1.15788890530359</v>
      </c>
      <c r="N19" s="217">
        <f t="shared" si="7"/>
        <v>0.252468250332329</v>
      </c>
      <c r="O19" s="252"/>
      <c r="P19" s="230"/>
    </row>
    <row r="20" ht="14.25" spans="1:17">
      <c r="A20" s="219" t="s">
        <v>65</v>
      </c>
      <c r="B20" s="220">
        <v>20892</v>
      </c>
      <c r="C20" s="220">
        <v>28306</v>
      </c>
      <c r="D20" s="220">
        <v>34474</v>
      </c>
      <c r="E20" s="220">
        <v>22175</v>
      </c>
      <c r="F20" s="219">
        <v>29215</v>
      </c>
      <c r="G20" s="220">
        <v>32234</v>
      </c>
      <c r="H20" s="220">
        <v>28815</v>
      </c>
      <c r="I20" s="220">
        <v>32006</v>
      </c>
      <c r="J20" s="220">
        <v>44389</v>
      </c>
      <c r="K20" s="220">
        <v>35781</v>
      </c>
      <c r="L20" s="220">
        <v>57980</v>
      </c>
      <c r="M20" s="220">
        <v>104292</v>
      </c>
      <c r="N20" s="195">
        <f>SUM(B20:M20)</f>
        <v>470559</v>
      </c>
      <c r="O20" s="151"/>
      <c r="P20" s="230"/>
    </row>
    <row r="21" ht="14.25" spans="1:17">
      <c r="A21" s="219" t="s">
        <v>66</v>
      </c>
      <c r="B21" s="220">
        <v>18900</v>
      </c>
      <c r="C21" s="220">
        <v>21583</v>
      </c>
      <c r="D21" s="220">
        <v>27288</v>
      </c>
      <c r="E21" s="220">
        <v>21697</v>
      </c>
      <c r="F21" s="219">
        <v>23206</v>
      </c>
      <c r="G21" s="220">
        <v>26203</v>
      </c>
      <c r="H21" s="220">
        <v>23712</v>
      </c>
      <c r="I21" s="220">
        <v>24719</v>
      </c>
      <c r="J21" s="220">
        <v>28336</v>
      </c>
      <c r="K21" s="220">
        <v>32064</v>
      </c>
      <c r="L21" s="220">
        <v>44581</v>
      </c>
      <c r="M21" s="220">
        <v>70989</v>
      </c>
      <c r="N21" s="195">
        <f t="shared" ref="N21" si="8">SUM(B21:M21)</f>
        <v>363278</v>
      </c>
      <c r="O21" s="151"/>
      <c r="P21" s="230"/>
    </row>
    <row r="22" ht="14.25" spans="1:17">
      <c r="A22" s="219" t="s">
        <v>67</v>
      </c>
      <c r="B22" s="223">
        <f>B20/B17</f>
        <v>0.52503015681544</v>
      </c>
      <c r="C22" s="223">
        <f t="shared" ref="C22:N22" si="9">C20/C17</f>
        <v>0.567379582673535</v>
      </c>
      <c r="D22" s="223">
        <f t="shared" si="9"/>
        <v>0.558174929568343</v>
      </c>
      <c r="E22" s="223">
        <f t="shared" si="9"/>
        <v>0.505447665937272</v>
      </c>
      <c r="F22" s="223">
        <f t="shared" si="9"/>
        <v>0.557314816581141</v>
      </c>
      <c r="G22" s="223">
        <f t="shared" si="9"/>
        <v>0.551602580556839</v>
      </c>
      <c r="H22" s="223">
        <f t="shared" si="9"/>
        <v>0.548575018561883</v>
      </c>
      <c r="I22" s="223">
        <f t="shared" si="9"/>
        <v>0.564230938739533</v>
      </c>
      <c r="J22" s="223">
        <f t="shared" si="9"/>
        <v>0.6103678239945</v>
      </c>
      <c r="K22" s="223">
        <f t="shared" si="9"/>
        <v>0.527393323015698</v>
      </c>
      <c r="L22" s="223">
        <f t="shared" si="9"/>
        <v>0.565322100993555</v>
      </c>
      <c r="M22" s="223">
        <f t="shared" si="9"/>
        <v>0.594998887500642</v>
      </c>
      <c r="N22" s="217">
        <f t="shared" si="9"/>
        <v>0.564329719117765</v>
      </c>
      <c r="O22" s="252"/>
      <c r="P22" s="230"/>
    </row>
    <row r="23" ht="14.25" spans="1:17">
      <c r="A23" s="219" t="s">
        <v>68</v>
      </c>
      <c r="B23" s="224">
        <f t="shared" ref="B23:N23" si="10">B21/B17</f>
        <v>0.47496984318456</v>
      </c>
      <c r="C23" s="224">
        <f t="shared" si="10"/>
        <v>0.432620417326465</v>
      </c>
      <c r="D23" s="224">
        <f t="shared" si="10"/>
        <v>0.441825070431657</v>
      </c>
      <c r="E23" s="224">
        <f t="shared" si="10"/>
        <v>0.494552334062728</v>
      </c>
      <c r="F23" s="224">
        <f t="shared" si="10"/>
        <v>0.442685183418859</v>
      </c>
      <c r="G23" s="224">
        <f t="shared" si="10"/>
        <v>0.448397419443161</v>
      </c>
      <c r="H23" s="224">
        <f t="shared" si="10"/>
        <v>0.451424981438118</v>
      </c>
      <c r="I23" s="224">
        <f t="shared" si="10"/>
        <v>0.435769061260467</v>
      </c>
      <c r="J23" s="224">
        <f t="shared" si="10"/>
        <v>0.3896321760055</v>
      </c>
      <c r="K23" s="224">
        <f t="shared" si="10"/>
        <v>0.472606676984302</v>
      </c>
      <c r="L23" s="224">
        <f t="shared" si="10"/>
        <v>0.434677899006445</v>
      </c>
      <c r="M23" s="224">
        <f t="shared" si="10"/>
        <v>0.405001112499358</v>
      </c>
      <c r="N23" s="217">
        <f t="shared" si="10"/>
        <v>0.435670280882235</v>
      </c>
      <c r="O23" s="252"/>
      <c r="P23" s="230"/>
    </row>
    <row r="24" ht="14.25" spans="1:17">
      <c r="A24" s="189">
        <v>2023</v>
      </c>
      <c r="B24" s="195">
        <f t="shared" ref="B24:K24" si="11">B27+B28</f>
        <v>26989</v>
      </c>
      <c r="C24" s="195">
        <f t="shared" si="11"/>
        <v>44391</v>
      </c>
      <c r="D24" s="214">
        <f t="shared" si="11"/>
        <v>60901</v>
      </c>
      <c r="E24" s="214">
        <f t="shared" si="11"/>
        <v>41527</v>
      </c>
      <c r="F24" s="214">
        <f t="shared" si="11"/>
        <v>56583</v>
      </c>
      <c r="G24" s="214">
        <f t="shared" si="11"/>
        <v>68918</v>
      </c>
      <c r="H24" s="189">
        <f t="shared" si="11"/>
        <v>63027</v>
      </c>
      <c r="I24" s="214">
        <f t="shared" si="11"/>
        <v>101201</v>
      </c>
      <c r="J24" s="214">
        <f t="shared" si="11"/>
        <v>47097</v>
      </c>
      <c r="K24" s="189">
        <f t="shared" si="11"/>
        <v>53695</v>
      </c>
      <c r="L24" s="189">
        <v>63060</v>
      </c>
      <c r="M24" s="189">
        <v>72548</v>
      </c>
      <c r="N24" s="195">
        <f>SUM(B24:M24)</f>
        <v>699937</v>
      </c>
      <c r="O24" s="151"/>
      <c r="P24" s="230" t="s">
        <v>70</v>
      </c>
    </row>
    <row r="25" ht="14.25" spans="1:17">
      <c r="A25" s="189" t="s">
        <v>64</v>
      </c>
      <c r="B25" s="207"/>
      <c r="C25" s="207">
        <f t="shared" ref="C25:J25" si="12">C24/B24-1</f>
        <v>0.644781207158472</v>
      </c>
      <c r="D25" s="207">
        <f t="shared" si="12"/>
        <v>0.371922236489378</v>
      </c>
      <c r="E25" s="207">
        <f t="shared" si="12"/>
        <v>-0.318122855125532</v>
      </c>
      <c r="F25" s="207">
        <f t="shared" si="12"/>
        <v>0.362559298769475</v>
      </c>
      <c r="G25" s="207">
        <f t="shared" si="12"/>
        <v>0.217998338723645</v>
      </c>
      <c r="H25" s="207">
        <f t="shared" si="12"/>
        <v>-0.085478394613889</v>
      </c>
      <c r="I25" s="207">
        <f t="shared" si="12"/>
        <v>0.605676932108461</v>
      </c>
      <c r="J25" s="207">
        <f t="shared" si="12"/>
        <v>-0.534619223130206</v>
      </c>
      <c r="K25" s="207">
        <f t="shared" ref="K25:M25" si="13">K24/J24-1</f>
        <v>0.140093848865108</v>
      </c>
      <c r="L25" s="207">
        <f t="shared" si="13"/>
        <v>0.174411025235124</v>
      </c>
      <c r="M25" s="207">
        <f t="shared" si="13"/>
        <v>0.15045987947986</v>
      </c>
      <c r="N25" s="156"/>
      <c r="O25" s="189"/>
      <c r="P25" s="230"/>
    </row>
    <row r="26" ht="14.25" spans="1:17">
      <c r="A26" s="189" t="s">
        <v>69</v>
      </c>
      <c r="B26" s="207">
        <f t="shared" ref="B26:K26" si="14">(B24-B17)/B17</f>
        <v>-0.321748090068355</v>
      </c>
      <c r="C26" s="207">
        <f t="shared" si="14"/>
        <v>-0.110204654332618</v>
      </c>
      <c r="D26" s="207">
        <f t="shared" si="14"/>
        <v>-0.0139406107315178</v>
      </c>
      <c r="E26" s="207">
        <f t="shared" si="14"/>
        <v>-0.0534509482129832</v>
      </c>
      <c r="F26" s="207">
        <f t="shared" si="14"/>
        <v>0.0793956620438374</v>
      </c>
      <c r="G26" s="207">
        <f t="shared" si="14"/>
        <v>0.179355545288088</v>
      </c>
      <c r="H26" s="207">
        <f t="shared" si="14"/>
        <v>0.199897195727911</v>
      </c>
      <c r="I26" s="207">
        <f t="shared" si="14"/>
        <v>0.784063464081093</v>
      </c>
      <c r="J26" s="207">
        <f t="shared" si="14"/>
        <v>-0.352396012375387</v>
      </c>
      <c r="K26" s="207">
        <f t="shared" si="14"/>
        <v>-0.208563637703589</v>
      </c>
      <c r="L26" s="207">
        <f>L24/L17-1</f>
        <v>-0.38514640067862</v>
      </c>
      <c r="M26" s="207">
        <f>M24/M17-1</f>
        <v>-0.586104597760168</v>
      </c>
      <c r="N26" s="170">
        <f>N24/SUM(B17:M17)-1</f>
        <v>-0.160582943668847</v>
      </c>
      <c r="O26" s="189"/>
      <c r="P26" s="230"/>
    </row>
    <row r="27" ht="14.25" spans="1:17">
      <c r="A27" s="219" t="s">
        <v>65</v>
      </c>
      <c r="B27" s="220">
        <v>18136</v>
      </c>
      <c r="C27" s="220">
        <v>32475</v>
      </c>
      <c r="D27" s="233">
        <v>44125</v>
      </c>
      <c r="E27" s="233">
        <v>29740</v>
      </c>
      <c r="F27" s="233">
        <v>42780</v>
      </c>
      <c r="G27" s="233">
        <v>52988</v>
      </c>
      <c r="H27" s="233">
        <v>48682</v>
      </c>
      <c r="I27" s="233">
        <v>86649</v>
      </c>
      <c r="J27" s="233">
        <v>31714</v>
      </c>
      <c r="K27" s="233">
        <v>37334</v>
      </c>
      <c r="L27" s="233">
        <v>44940</v>
      </c>
      <c r="M27" s="233">
        <v>54654</v>
      </c>
      <c r="N27" s="195">
        <f t="shared" ref="N27:N28" si="15">SUM(B27:M27)</f>
        <v>524217</v>
      </c>
      <c r="O27" s="189"/>
      <c r="P27" s="230"/>
    </row>
    <row r="28" ht="14.25" spans="1:17">
      <c r="A28" s="219" t="s">
        <v>66</v>
      </c>
      <c r="B28" s="220">
        <v>8853</v>
      </c>
      <c r="C28" s="220">
        <v>11916</v>
      </c>
      <c r="D28" s="233">
        <v>16776</v>
      </c>
      <c r="E28" s="233">
        <v>11787</v>
      </c>
      <c r="F28" s="233">
        <v>13803</v>
      </c>
      <c r="G28" s="233">
        <v>15930</v>
      </c>
      <c r="H28" s="233">
        <v>14345</v>
      </c>
      <c r="I28" s="233">
        <v>14552</v>
      </c>
      <c r="J28" s="233">
        <v>15383</v>
      </c>
      <c r="K28" s="233">
        <v>16361</v>
      </c>
      <c r="L28" s="233">
        <v>18120</v>
      </c>
      <c r="M28" s="233">
        <v>17894</v>
      </c>
      <c r="N28" s="195">
        <f t="shared" si="15"/>
        <v>175720</v>
      </c>
      <c r="O28" s="189"/>
      <c r="P28" s="230"/>
      <c r="Q28" s="253"/>
    </row>
    <row r="29" ht="14.25" spans="1:17">
      <c r="A29" s="219" t="s">
        <v>67</v>
      </c>
      <c r="B29" s="222">
        <f t="shared" ref="B29:N29" si="16">B27/B24</f>
        <v>0.671977472303531</v>
      </c>
      <c r="C29" s="222">
        <f t="shared" si="16"/>
        <v>0.731567209569507</v>
      </c>
      <c r="D29" s="222">
        <f t="shared" si="16"/>
        <v>0.724536542913909</v>
      </c>
      <c r="E29" s="222">
        <f t="shared" si="16"/>
        <v>0.716160570231416</v>
      </c>
      <c r="F29" s="222">
        <f t="shared" si="16"/>
        <v>0.756057473092625</v>
      </c>
      <c r="G29" s="222">
        <f t="shared" si="16"/>
        <v>0.768855741605966</v>
      </c>
      <c r="H29" s="222">
        <f t="shared" si="16"/>
        <v>0.77239913053136</v>
      </c>
      <c r="I29" s="222">
        <f t="shared" si="16"/>
        <v>0.856206954476734</v>
      </c>
      <c r="J29" s="222">
        <f t="shared" si="16"/>
        <v>0.673376223538654</v>
      </c>
      <c r="K29" s="222">
        <f t="shared" si="16"/>
        <v>0.695297513734985</v>
      </c>
      <c r="L29" s="222">
        <f t="shared" si="16"/>
        <v>0.712654614652712</v>
      </c>
      <c r="M29" s="222">
        <f t="shared" si="16"/>
        <v>0.753349506533605</v>
      </c>
      <c r="N29" s="217">
        <f t="shared" si="16"/>
        <v>0.748948833966486</v>
      </c>
      <c r="O29" s="189"/>
      <c r="P29" s="230"/>
    </row>
    <row r="30" ht="14.25" spans="1:17">
      <c r="A30" s="219" t="s">
        <v>68</v>
      </c>
      <c r="B30" s="222">
        <f t="shared" ref="B30:N30" si="17">B28/B24</f>
        <v>0.328022527696469</v>
      </c>
      <c r="C30" s="222">
        <f t="shared" si="17"/>
        <v>0.268432790430493</v>
      </c>
      <c r="D30" s="222">
        <f t="shared" si="17"/>
        <v>0.275463457086091</v>
      </c>
      <c r="E30" s="222">
        <f t="shared" si="17"/>
        <v>0.283839429768584</v>
      </c>
      <c r="F30" s="222">
        <f t="shared" si="17"/>
        <v>0.243942526907375</v>
      </c>
      <c r="G30" s="222">
        <f t="shared" si="17"/>
        <v>0.231144258394033</v>
      </c>
      <c r="H30" s="222">
        <f t="shared" si="17"/>
        <v>0.22760086946864</v>
      </c>
      <c r="I30" s="222">
        <f t="shared" si="17"/>
        <v>0.143793045523266</v>
      </c>
      <c r="J30" s="222">
        <f t="shared" si="17"/>
        <v>0.326623776461346</v>
      </c>
      <c r="K30" s="222">
        <f t="shared" si="17"/>
        <v>0.304702486265015</v>
      </c>
      <c r="L30" s="222">
        <f t="shared" si="17"/>
        <v>0.287345385347288</v>
      </c>
      <c r="M30" s="222">
        <f t="shared" si="17"/>
        <v>0.246650493466395</v>
      </c>
      <c r="N30" s="217">
        <f t="shared" si="17"/>
        <v>0.251051166033514</v>
      </c>
      <c r="O30" s="189"/>
      <c r="P30" s="230"/>
    </row>
    <row r="31" ht="14.25" spans="1:17">
      <c r="A31" s="189">
        <v>2024</v>
      </c>
      <c r="B31" s="195">
        <v>36873</v>
      </c>
      <c r="C31" s="195">
        <v>42054</v>
      </c>
      <c r="D31" s="214">
        <v>47421</v>
      </c>
      <c r="E31" s="214">
        <v>44808</v>
      </c>
      <c r="F31" s="214">
        <f>F34+F35</f>
        <v>43746</v>
      </c>
      <c r="G31" s="214">
        <v>58820</v>
      </c>
      <c r="H31" s="189">
        <v>45580</v>
      </c>
      <c r="I31" s="214">
        <v>40600</v>
      </c>
      <c r="J31" s="214">
        <v>49415</v>
      </c>
      <c r="K31" s="189">
        <v>54828</v>
      </c>
      <c r="L31" s="189">
        <f>L34+L35</f>
        <v>55771</v>
      </c>
      <c r="M31" s="189">
        <f>M34+M35</f>
        <v>52660</v>
      </c>
      <c r="N31" s="195">
        <f>SUM(B31:M31)</f>
        <v>572576</v>
      </c>
      <c r="O31" s="151"/>
      <c r="P31" s="230"/>
    </row>
    <row r="32" ht="14.25" spans="1:17">
      <c r="A32" s="189" t="s">
        <v>64</v>
      </c>
      <c r="B32" s="207">
        <f>B31/M24-1</f>
        <v>-0.491743397474775</v>
      </c>
      <c r="C32" s="207">
        <f t="shared" ref="C32:M32" si="18">C31/B31-1</f>
        <v>0.140509315759499</v>
      </c>
      <c r="D32" s="207">
        <f t="shared" si="18"/>
        <v>0.127621629333714</v>
      </c>
      <c r="E32" s="207">
        <f t="shared" si="18"/>
        <v>-0.0551021699247169</v>
      </c>
      <c r="F32" s="207">
        <f t="shared" si="18"/>
        <v>-0.023701124799143</v>
      </c>
      <c r="G32" s="207">
        <f t="shared" si="18"/>
        <v>0.344580075892653</v>
      </c>
      <c r="H32" s="207">
        <f t="shared" si="18"/>
        <v>-0.225093505610337</v>
      </c>
      <c r="I32" s="207">
        <f t="shared" si="18"/>
        <v>-0.109258446687143</v>
      </c>
      <c r="J32" s="207">
        <f t="shared" si="18"/>
        <v>0.217118226600985</v>
      </c>
      <c r="K32" s="207">
        <f t="shared" si="18"/>
        <v>0.10954163715471</v>
      </c>
      <c r="L32" s="207">
        <f t="shared" si="18"/>
        <v>0.017199241263588</v>
      </c>
      <c r="M32" s="207">
        <f t="shared" si="18"/>
        <v>-0.0557816786501946</v>
      </c>
      <c r="N32" s="156"/>
      <c r="O32" s="189"/>
      <c r="P32" s="230"/>
    </row>
    <row r="33" ht="14.25" spans="1:17">
      <c r="A33" s="189" t="s">
        <v>69</v>
      </c>
      <c r="B33" s="207">
        <f>(B31-B24)/B24</f>
        <v>0.366223276149542</v>
      </c>
      <c r="C33" s="207">
        <f t="shared" ref="C33:I33" si="19">C31/C24-1</f>
        <v>-0.0526458065824154</v>
      </c>
      <c r="D33" s="207">
        <f t="shared" si="19"/>
        <v>-0.22134283509302</v>
      </c>
      <c r="E33" s="207">
        <f t="shared" si="19"/>
        <v>0.0790088376237148</v>
      </c>
      <c r="F33" s="207">
        <f t="shared" si="19"/>
        <v>-0.226870261385929</v>
      </c>
      <c r="G33" s="207">
        <f t="shared" si="19"/>
        <v>-0.146521953626048</v>
      </c>
      <c r="H33" s="207">
        <f t="shared" si="19"/>
        <v>-0.276817871705777</v>
      </c>
      <c r="I33" s="207">
        <f t="shared" si="19"/>
        <v>-0.598818193496112</v>
      </c>
      <c r="J33" s="207">
        <f t="shared" ref="J33:K33" si="20">J31/J24-1</f>
        <v>0.0492175722445167</v>
      </c>
      <c r="K33" s="207">
        <f t="shared" si="20"/>
        <v>0.0211006611416333</v>
      </c>
      <c r="L33" s="207">
        <f t="shared" ref="L33:M33" si="21">L31/L24-1</f>
        <v>-0.115588328575959</v>
      </c>
      <c r="M33" s="207">
        <f t="shared" si="21"/>
        <v>-0.274135744610465</v>
      </c>
      <c r="N33" s="170">
        <f>N31/SUM(B24:M24)-1</f>
        <v>-0.181960662173881</v>
      </c>
      <c r="O33" s="189"/>
      <c r="P33" s="230"/>
    </row>
    <row r="34" ht="14.25" spans="1:17">
      <c r="A34" s="219" t="s">
        <v>65</v>
      </c>
      <c r="B34" s="220">
        <v>22474</v>
      </c>
      <c r="C34" s="220">
        <v>27479</v>
      </c>
      <c r="D34" s="233">
        <v>31384</v>
      </c>
      <c r="E34" s="233">
        <v>29668</v>
      </c>
      <c r="F34" s="233">
        <v>29708</v>
      </c>
      <c r="G34" s="233">
        <v>43412</v>
      </c>
      <c r="H34" s="233">
        <v>30760</v>
      </c>
      <c r="I34" s="233">
        <v>27020</v>
      </c>
      <c r="J34" s="233">
        <v>34500</v>
      </c>
      <c r="K34" s="233">
        <v>35491</v>
      </c>
      <c r="L34" s="233">
        <v>35167</v>
      </c>
      <c r="M34" s="233">
        <v>33560</v>
      </c>
      <c r="N34" s="195">
        <f>SUM(B34:M34)</f>
        <v>380623</v>
      </c>
      <c r="O34" s="189"/>
      <c r="P34" s="230"/>
    </row>
    <row r="35" ht="14.25" spans="1:17">
      <c r="A35" s="219" t="s">
        <v>66</v>
      </c>
      <c r="B35" s="220">
        <v>14394</v>
      </c>
      <c r="C35" s="220">
        <v>14575</v>
      </c>
      <c r="D35" s="233">
        <v>16016</v>
      </c>
      <c r="E35" s="233">
        <v>15135</v>
      </c>
      <c r="F35" s="233">
        <v>14038</v>
      </c>
      <c r="G35" s="233">
        <v>15390</v>
      </c>
      <c r="H35" s="233">
        <v>14810</v>
      </c>
      <c r="I35" s="233">
        <v>13570</v>
      </c>
      <c r="J35" s="233">
        <v>14936</v>
      </c>
      <c r="K35" s="233">
        <v>19337</v>
      </c>
      <c r="L35" s="233">
        <v>20604</v>
      </c>
      <c r="M35" s="233">
        <v>19100</v>
      </c>
      <c r="N35" s="195">
        <f>SUM(B35:M35)</f>
        <v>191905</v>
      </c>
      <c r="O35" s="189"/>
      <c r="P35" s="230"/>
      <c r="Q35" s="253"/>
    </row>
    <row r="36" ht="14.25" spans="1:17">
      <c r="A36" s="219" t="s">
        <v>67</v>
      </c>
      <c r="B36" s="222">
        <f t="shared" ref="B36:I36" si="22">B34/B31</f>
        <v>0.609497464269249</v>
      </c>
      <c r="C36" s="222">
        <f t="shared" si="22"/>
        <v>0.65342179103058</v>
      </c>
      <c r="D36" s="222">
        <f t="shared" si="22"/>
        <v>0.661816494801881</v>
      </c>
      <c r="E36" s="222">
        <f t="shared" si="22"/>
        <v>0.662113908230673</v>
      </c>
      <c r="F36" s="222">
        <f t="shared" si="22"/>
        <v>0.679102089333882</v>
      </c>
      <c r="G36" s="222">
        <f t="shared" si="22"/>
        <v>0.738048282896974</v>
      </c>
      <c r="H36" s="222">
        <f t="shared" si="22"/>
        <v>0.674857393593681</v>
      </c>
      <c r="I36" s="222">
        <f t="shared" si="22"/>
        <v>0.66551724137931</v>
      </c>
      <c r="J36" s="222">
        <f t="shared" ref="J36:K36" si="23">J34/J31</f>
        <v>0.698168572295862</v>
      </c>
      <c r="K36" s="222">
        <f t="shared" si="23"/>
        <v>0.647315240388123</v>
      </c>
      <c r="L36" s="222">
        <f t="shared" ref="L36:N36" si="24">L34/L31</f>
        <v>0.630560685661007</v>
      </c>
      <c r="M36" s="222">
        <f t="shared" si="24"/>
        <v>0.637295860235473</v>
      </c>
      <c r="N36" s="217">
        <f t="shared" si="24"/>
        <v>0.664755421114402</v>
      </c>
      <c r="O36" s="189"/>
      <c r="P36" s="230"/>
    </row>
    <row r="37" ht="14.25" spans="1:17">
      <c r="A37" s="219" t="s">
        <v>68</v>
      </c>
      <c r="B37" s="222">
        <f t="shared" ref="B37:I37" si="25">B35/B31</f>
        <v>0.390366935155805</v>
      </c>
      <c r="C37" s="222">
        <f t="shared" si="25"/>
        <v>0.34657820896942</v>
      </c>
      <c r="D37" s="222">
        <f t="shared" si="25"/>
        <v>0.33774066341916</v>
      </c>
      <c r="E37" s="222">
        <f t="shared" si="25"/>
        <v>0.337774504552758</v>
      </c>
      <c r="F37" s="222">
        <f t="shared" si="25"/>
        <v>0.320897910666118</v>
      </c>
      <c r="G37" s="222">
        <f t="shared" si="25"/>
        <v>0.261645698741925</v>
      </c>
      <c r="H37" s="222">
        <f t="shared" si="25"/>
        <v>0.324923211935059</v>
      </c>
      <c r="I37" s="222">
        <f t="shared" si="25"/>
        <v>0.33423645320197</v>
      </c>
      <c r="J37" s="222">
        <f t="shared" ref="J37:K37" si="26">J35/J31</f>
        <v>0.302256399878579</v>
      </c>
      <c r="K37" s="222">
        <f t="shared" si="26"/>
        <v>0.352684759611877</v>
      </c>
      <c r="L37" s="222">
        <f t="shared" ref="L37:N37" si="27">L35/L31</f>
        <v>0.369439314338993</v>
      </c>
      <c r="M37" s="222">
        <f t="shared" si="27"/>
        <v>0.362704139764527</v>
      </c>
      <c r="N37" s="217">
        <f t="shared" si="27"/>
        <v>0.335160747219583</v>
      </c>
      <c r="O37" s="189"/>
      <c r="P37" s="230"/>
    </row>
    <row r="38" ht="14.25" spans="1:17">
      <c r="A38" s="189">
        <v>2025</v>
      </c>
      <c r="B38" s="195">
        <v>52212</v>
      </c>
      <c r="C38" s="254">
        <v>55486</v>
      </c>
      <c r="D38" s="214">
        <f>D41+D42</f>
        <v>69074</v>
      </c>
      <c r="E38" s="255">
        <v>69858</v>
      </c>
      <c r="F38" s="214"/>
      <c r="G38" s="214"/>
      <c r="H38" s="189"/>
      <c r="I38" s="214"/>
      <c r="J38" s="214"/>
      <c r="K38" s="189"/>
      <c r="L38" s="189"/>
      <c r="M38" s="189"/>
      <c r="N38" s="195">
        <f>SUM(B38:M38)</f>
        <v>246630</v>
      </c>
      <c r="O38" s="151"/>
      <c r="P38" s="230"/>
    </row>
    <row r="39" ht="14.25" spans="1:17">
      <c r="A39" s="189" t="s">
        <v>64</v>
      </c>
      <c r="B39" s="207">
        <f>B38/M31-1</f>
        <v>-0.00850740600075961</v>
      </c>
      <c r="C39" s="207">
        <f>C38/B38-1</f>
        <v>0.0627058913659695</v>
      </c>
      <c r="D39" s="207">
        <f>D38/C38-1</f>
        <v>0.244890603035</v>
      </c>
      <c r="E39" s="207">
        <f>E38/D38-1</f>
        <v>0.0113501462199959</v>
      </c>
      <c r="F39" s="207"/>
      <c r="G39" s="207"/>
      <c r="H39" s="207"/>
      <c r="I39" s="207"/>
      <c r="J39" s="207"/>
      <c r="K39" s="207"/>
      <c r="L39" s="207"/>
      <c r="M39" s="207"/>
      <c r="N39" s="156"/>
      <c r="O39" s="189"/>
      <c r="P39" s="230"/>
    </row>
    <row r="40" ht="14.25" spans="1:17">
      <c r="A40" s="189" t="s">
        <v>69</v>
      </c>
      <c r="B40" s="207">
        <f>(B38-B31)/B31</f>
        <v>0.415995443820682</v>
      </c>
      <c r="C40" s="207">
        <f t="shared" ref="C40:E40" si="28">C38/C31-1</f>
        <v>0.319398868121938</v>
      </c>
      <c r="D40" s="207">
        <f t="shared" si="28"/>
        <v>0.456612049513929</v>
      </c>
      <c r="E40" s="207">
        <f t="shared" si="28"/>
        <v>0.559051955008034</v>
      </c>
      <c r="F40" s="207"/>
      <c r="G40" s="207"/>
      <c r="H40" s="207"/>
      <c r="I40" s="207"/>
      <c r="J40" s="207"/>
      <c r="K40" s="207"/>
      <c r="L40" s="207"/>
      <c r="M40" s="207"/>
      <c r="N40" s="170">
        <f>N38/SUM(B31:M31)-1</f>
        <v>-0.569262421058514</v>
      </c>
      <c r="O40" s="189"/>
      <c r="P40" s="230"/>
    </row>
    <row r="41" ht="14.25" spans="1:17">
      <c r="A41" s="219" t="s">
        <v>65</v>
      </c>
      <c r="B41" s="227">
        <v>34498</v>
      </c>
      <c r="C41" s="227">
        <v>35949</v>
      </c>
      <c r="D41" s="227">
        <v>42521</v>
      </c>
      <c r="E41" s="233">
        <v>45535</v>
      </c>
      <c r="F41" s="233"/>
      <c r="G41" s="233"/>
      <c r="H41" s="233"/>
      <c r="I41" s="233"/>
      <c r="J41" s="233"/>
      <c r="K41" s="233"/>
      <c r="L41" s="233"/>
      <c r="M41" s="233"/>
      <c r="N41" s="195">
        <f>SUM(B41:M41)</f>
        <v>158503</v>
      </c>
      <c r="O41" s="189"/>
      <c r="P41" s="230"/>
    </row>
    <row r="42" ht="14.25" spans="1:17">
      <c r="A42" s="219" t="s">
        <v>66</v>
      </c>
      <c r="B42" s="227">
        <v>17712</v>
      </c>
      <c r="C42" s="227">
        <v>19534</v>
      </c>
      <c r="D42" s="227">
        <v>26553</v>
      </c>
      <c r="E42" s="227">
        <v>24317</v>
      </c>
      <c r="F42" s="233"/>
      <c r="G42" s="233"/>
      <c r="H42" s="233"/>
      <c r="I42" s="233"/>
      <c r="J42" s="233"/>
      <c r="K42" s="233"/>
      <c r="L42" s="233"/>
      <c r="M42" s="233"/>
      <c r="N42" s="195">
        <f>SUM(B42:M42)</f>
        <v>88116</v>
      </c>
      <c r="O42" s="189"/>
      <c r="P42" s="230"/>
      <c r="Q42" s="253"/>
    </row>
    <row r="43" ht="14.25" spans="1:17">
      <c r="A43" s="219" t="s">
        <v>67</v>
      </c>
      <c r="B43" s="222">
        <f t="shared" ref="B43:E43" si="29">B41/B38</f>
        <v>0.660729334252662</v>
      </c>
      <c r="C43" s="222">
        <f t="shared" si="29"/>
        <v>0.647893162239123</v>
      </c>
      <c r="D43" s="222">
        <f t="shared" si="29"/>
        <v>0.615586182934244</v>
      </c>
      <c r="E43" s="222">
        <f t="shared" si="29"/>
        <v>0.651822268029431</v>
      </c>
      <c r="F43" s="222"/>
      <c r="G43" s="222"/>
      <c r="H43" s="222"/>
      <c r="I43" s="222"/>
      <c r="J43" s="222"/>
      <c r="K43" s="222"/>
      <c r="L43" s="222"/>
      <c r="M43" s="222"/>
      <c r="N43" s="217">
        <f>N41/N38</f>
        <v>0.642675262539026</v>
      </c>
      <c r="O43" s="189"/>
      <c r="P43" s="230"/>
    </row>
    <row r="44" ht="14.25" spans="1:17">
      <c r="A44" s="219" t="s">
        <v>68</v>
      </c>
      <c r="B44" s="222">
        <f t="shared" ref="B44:E44" si="30">B42/B38</f>
        <v>0.339232360376925</v>
      </c>
      <c r="C44" s="222">
        <f t="shared" si="30"/>
        <v>0.352052770068125</v>
      </c>
      <c r="D44" s="222">
        <f t="shared" si="30"/>
        <v>0.384413817065756</v>
      </c>
      <c r="E44" s="222">
        <f t="shared" si="30"/>
        <v>0.348091843453864</v>
      </c>
      <c r="F44" s="222"/>
      <c r="G44" s="222"/>
      <c r="H44" s="222"/>
      <c r="I44" s="222"/>
      <c r="J44" s="222"/>
      <c r="K44" s="222"/>
      <c r="L44" s="222"/>
      <c r="M44" s="222"/>
      <c r="N44" s="217">
        <f>N42/N38</f>
        <v>0.357280136236468</v>
      </c>
      <c r="O44" s="189"/>
      <c r="P44" s="230"/>
    </row>
    <row r="45" ht="14.25" spans="1:17">
      <c r="A45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217"/>
      <c r="P45" s="230"/>
    </row>
    <row r="46" ht="14.25" spans="1:17">
      <c r="A46" s="164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217"/>
      <c r="P46" s="244"/>
    </row>
    <row r="47" ht="14.25" spans="1:17">
      <c r="A47" s="164" t="s">
        <v>71</v>
      </c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217"/>
      <c r="P47" s="244"/>
    </row>
    <row r="48" ht="14.25" spans="1:17">
      <c r="A48" s="165"/>
      <c r="B48" s="166" t="s">
        <v>51</v>
      </c>
      <c r="C48" s="166" t="s">
        <v>52</v>
      </c>
      <c r="D48" s="166" t="s">
        <v>53</v>
      </c>
      <c r="E48" s="166" t="s">
        <v>54</v>
      </c>
      <c r="F48" s="166" t="s">
        <v>55</v>
      </c>
      <c r="G48" s="166" t="s">
        <v>56</v>
      </c>
      <c r="H48" s="166" t="s">
        <v>57</v>
      </c>
      <c r="I48" s="166" t="s">
        <v>58</v>
      </c>
      <c r="J48" s="166" t="s">
        <v>59</v>
      </c>
      <c r="K48" s="166" t="s">
        <v>60</v>
      </c>
      <c r="L48" s="166" t="s">
        <v>61</v>
      </c>
      <c r="M48" s="166" t="s">
        <v>62</v>
      </c>
      <c r="N48" s="189" t="s">
        <v>63</v>
      </c>
      <c r="O48" s="194"/>
      <c r="P48" s="244"/>
    </row>
    <row r="49" ht="14.25" spans="1:16">
      <c r="A49" s="216">
        <v>2021</v>
      </c>
      <c r="B49" s="221">
        <v>169754</v>
      </c>
      <c r="C49" s="221">
        <v>194349</v>
      </c>
      <c r="D49" s="221">
        <v>292349</v>
      </c>
      <c r="E49" s="221">
        <v>229650</v>
      </c>
      <c r="F49" s="221">
        <v>230635</v>
      </c>
      <c r="G49" s="221">
        <v>274152</v>
      </c>
      <c r="H49" s="221">
        <v>236393</v>
      </c>
      <c r="I49" s="221">
        <v>193307</v>
      </c>
      <c r="J49" s="221">
        <v>196972</v>
      </c>
      <c r="K49" s="221">
        <v>178683</v>
      </c>
      <c r="L49" s="221">
        <v>198258</v>
      </c>
      <c r="M49" s="221">
        <v>227630</v>
      </c>
      <c r="N49" s="221">
        <f>SUM(B49:M49)</f>
        <v>2622132</v>
      </c>
      <c r="O49" s="194"/>
      <c r="P49" s="244"/>
    </row>
    <row r="50" ht="14.25" spans="1:16">
      <c r="A50" s="189">
        <v>2022</v>
      </c>
      <c r="B50" s="221">
        <v>184112</v>
      </c>
      <c r="C50" s="221">
        <v>200512</v>
      </c>
      <c r="D50" s="221">
        <v>241330</v>
      </c>
      <c r="E50" s="221">
        <v>180264</v>
      </c>
      <c r="F50" s="189">
        <v>270199</v>
      </c>
      <c r="G50" s="221">
        <v>224558</v>
      </c>
      <c r="H50" s="221">
        <v>205911</v>
      </c>
      <c r="I50" s="221">
        <v>199183</v>
      </c>
      <c r="J50" s="221">
        <v>224816</v>
      </c>
      <c r="K50" s="221">
        <v>208642</v>
      </c>
      <c r="L50" s="221">
        <v>260512</v>
      </c>
      <c r="M50" s="221">
        <v>314318</v>
      </c>
      <c r="N50" s="221">
        <f>SUM(B50:M50)</f>
        <v>2714357</v>
      </c>
      <c r="O50" s="194"/>
      <c r="P50" s="244"/>
    </row>
    <row r="51" ht="14.25" spans="1:16">
      <c r="A51" s="189">
        <v>2023</v>
      </c>
      <c r="B51" s="221">
        <v>179247</v>
      </c>
      <c r="C51" s="221">
        <v>206210</v>
      </c>
      <c r="D51" s="189">
        <v>281361</v>
      </c>
      <c r="E51" s="189">
        <v>202947</v>
      </c>
      <c r="F51" s="189">
        <v>246966</v>
      </c>
      <c r="G51" s="189">
        <v>280139</v>
      </c>
      <c r="H51" s="189">
        <v>243277</v>
      </c>
      <c r="I51" s="229">
        <v>273417</v>
      </c>
      <c r="J51" s="189">
        <v>224502</v>
      </c>
      <c r="K51" s="189">
        <v>218959</v>
      </c>
      <c r="L51" s="189">
        <v>245700</v>
      </c>
      <c r="M51" s="221">
        <v>241883</v>
      </c>
      <c r="N51" s="195">
        <f>SUM(B51:M51)</f>
        <v>2844608</v>
      </c>
      <c r="O51" s="194"/>
      <c r="P51" s="244"/>
    </row>
    <row r="52" ht="14.25" spans="1:16">
      <c r="A52" s="189">
        <v>2024</v>
      </c>
      <c r="B52" s="229">
        <v>213553</v>
      </c>
      <c r="C52" s="229">
        <v>217388</v>
      </c>
      <c r="D52" s="229">
        <v>263844</v>
      </c>
      <c r="E52" s="229">
        <v>243102</v>
      </c>
      <c r="F52" s="229">
        <v>236425</v>
      </c>
      <c r="G52" s="229">
        <v>297300</v>
      </c>
      <c r="H52" s="229">
        <v>238263</v>
      </c>
      <c r="I52" s="229">
        <v>197300</v>
      </c>
      <c r="J52" s="237">
        <v>208848</v>
      </c>
      <c r="K52" s="237">
        <v>231992</v>
      </c>
      <c r="L52" s="237">
        <v>244544</v>
      </c>
      <c r="M52" s="189">
        <v>224700</v>
      </c>
      <c r="N52" s="221">
        <f>SUM(B52:M52)</f>
        <v>2817259</v>
      </c>
      <c r="O52" s="189"/>
      <c r="P52" s="230"/>
    </row>
    <row r="53" ht="14.25" spans="1:16">
      <c r="A53" s="189" t="s">
        <v>69</v>
      </c>
      <c r="B53" s="256">
        <f t="shared" ref="B53:M53" si="31">B52/B51-1</f>
        <v>0.191389535110769</v>
      </c>
      <c r="C53" s="256">
        <f t="shared" si="31"/>
        <v>0.0542068764851364</v>
      </c>
      <c r="D53" s="256">
        <f t="shared" si="31"/>
        <v>-0.0622580954716538</v>
      </c>
      <c r="E53" s="256">
        <f t="shared" si="31"/>
        <v>0.197859539682774</v>
      </c>
      <c r="F53" s="256">
        <f t="shared" si="31"/>
        <v>-0.0426819886138173</v>
      </c>
      <c r="G53" s="256">
        <f t="shared" si="31"/>
        <v>0.0612588750584531</v>
      </c>
      <c r="H53" s="256">
        <f t="shared" si="31"/>
        <v>-0.0206102508662964</v>
      </c>
      <c r="I53" s="256">
        <f t="shared" si="31"/>
        <v>-0.278391614274167</v>
      </c>
      <c r="J53" s="256">
        <f t="shared" si="31"/>
        <v>-0.06972766389609</v>
      </c>
      <c r="K53" s="256">
        <f t="shared" si="31"/>
        <v>0.0595225590178983</v>
      </c>
      <c r="L53" s="256">
        <f t="shared" si="31"/>
        <v>-0.00470492470492467</v>
      </c>
      <c r="M53" s="256">
        <f t="shared" si="31"/>
        <v>-0.071038477280338</v>
      </c>
      <c r="N53" s="256">
        <f>SUM(B53:M53)</f>
        <v>0.0148243702477434</v>
      </c>
      <c r="O53" s="189"/>
      <c r="P53" s="230"/>
    </row>
    <row r="54" ht="14.25" spans="1:16">
      <c r="A54" s="189">
        <v>2025</v>
      </c>
      <c r="B54" s="229">
        <v>207640</v>
      </c>
      <c r="C54" s="236">
        <v>203434</v>
      </c>
      <c r="D54" s="229">
        <v>253497</v>
      </c>
      <c r="E54" s="229">
        <v>242728</v>
      </c>
      <c r="F54" s="229"/>
      <c r="G54" s="229"/>
      <c r="H54" s="229"/>
      <c r="I54" s="229"/>
      <c r="J54" s="237"/>
      <c r="K54" s="237"/>
      <c r="L54" s="237"/>
      <c r="M54" s="189"/>
      <c r="N54" s="221"/>
      <c r="O54" s="189"/>
      <c r="P54" s="230"/>
    </row>
    <row r="55" ht="14.25" spans="1:16">
      <c r="A55" s="189" t="s">
        <v>69</v>
      </c>
      <c r="B55" s="256">
        <f>B54/B52-1</f>
        <v>-0.0276886768155914</v>
      </c>
      <c r="C55" s="256">
        <f>C54/C52-1</f>
        <v>-0.0641893756785104</v>
      </c>
      <c r="D55" s="256">
        <f>D54/D52-1</f>
        <v>-0.039216355118934</v>
      </c>
      <c r="E55" s="256">
        <f>E54/E52-1</f>
        <v>-0.00153844888153942</v>
      </c>
      <c r="F55" s="256"/>
      <c r="G55" s="256"/>
      <c r="H55" s="256"/>
      <c r="I55" s="256"/>
      <c r="J55" s="256"/>
      <c r="K55" s="256"/>
      <c r="L55" s="256"/>
      <c r="M55" s="256"/>
      <c r="N55" s="256"/>
      <c r="O55" s="189"/>
      <c r="P55" s="230"/>
    </row>
    <row r="56" ht="14.25" spans="1:16">
      <c r="A56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244"/>
    </row>
    <row r="57" ht="14.25" spans="1:16">
      <c r="A57"/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244"/>
    </row>
    <row r="58" ht="14.25" spans="1:16">
      <c r="A58" s="164" t="s">
        <v>72</v>
      </c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257"/>
      <c r="P58" s="244"/>
    </row>
    <row r="59" ht="14.25" spans="1:16">
      <c r="A59" s="189"/>
      <c r="B59" s="166" t="s">
        <v>51</v>
      </c>
      <c r="C59" s="166" t="s">
        <v>52</v>
      </c>
      <c r="D59" s="166" t="s">
        <v>53</v>
      </c>
      <c r="E59" s="166" t="s">
        <v>54</v>
      </c>
      <c r="F59" s="166" t="s">
        <v>55</v>
      </c>
      <c r="G59" s="166" t="s">
        <v>56</v>
      </c>
      <c r="H59" s="166" t="s">
        <v>57</v>
      </c>
      <c r="I59" s="166" t="s">
        <v>58</v>
      </c>
      <c r="J59" s="166" t="s">
        <v>59</v>
      </c>
      <c r="K59" s="166" t="s">
        <v>60</v>
      </c>
      <c r="L59" s="166" t="s">
        <v>61</v>
      </c>
      <c r="M59" s="166" t="s">
        <v>62</v>
      </c>
      <c r="N59" s="189" t="s">
        <v>63</v>
      </c>
      <c r="O59" s="258"/>
      <c r="P59" s="244"/>
    </row>
    <row r="60" ht="14.25" spans="1:16">
      <c r="A60" s="216">
        <v>2021</v>
      </c>
      <c r="B60" s="217">
        <f t="shared" ref="B60:N60" si="32">B11/B49</f>
        <v>0.211847732601294</v>
      </c>
      <c r="C60" s="217">
        <f t="shared" si="32"/>
        <v>0.19871468337887</v>
      </c>
      <c r="D60" s="217">
        <f t="shared" si="32"/>
        <v>0.218331514730681</v>
      </c>
      <c r="E60" s="217">
        <f t="shared" si="32"/>
        <v>0.215702155453952</v>
      </c>
      <c r="F60" s="217">
        <f t="shared" si="32"/>
        <v>0.229713616753745</v>
      </c>
      <c r="G60" s="217">
        <f t="shared" si="32"/>
        <v>0.232560769208322</v>
      </c>
      <c r="H60" s="217">
        <f t="shared" si="32"/>
        <v>0.234905432901989</v>
      </c>
      <c r="I60" s="217">
        <f t="shared" si="32"/>
        <v>0.266829447459223</v>
      </c>
      <c r="J60" s="217">
        <f t="shared" si="32"/>
        <v>0.279714883333672</v>
      </c>
      <c r="K60" s="217">
        <f t="shared" si="32"/>
        <v>0.291706541752713</v>
      </c>
      <c r="L60" s="217">
        <f t="shared" si="32"/>
        <v>0.330448203855582</v>
      </c>
      <c r="M60" s="217">
        <f t="shared" si="32"/>
        <v>0.356842243992444</v>
      </c>
      <c r="N60" s="217">
        <f t="shared" si="32"/>
        <v>0.253898354468806</v>
      </c>
      <c r="O60" s="258"/>
      <c r="P60" s="244"/>
    </row>
    <row r="61" ht="14.25" spans="1:16">
      <c r="A61" s="189">
        <v>2022</v>
      </c>
      <c r="B61" s="217">
        <f t="shared" ref="B61:N61" si="33">B17/B50</f>
        <v>0.216129312592335</v>
      </c>
      <c r="C61" s="217">
        <f t="shared" si="33"/>
        <v>0.248808051388446</v>
      </c>
      <c r="D61" s="217">
        <f t="shared" si="33"/>
        <v>0.25592342435669</v>
      </c>
      <c r="E61" s="217">
        <f t="shared" si="33"/>
        <v>0.243376381307416</v>
      </c>
      <c r="F61" s="217">
        <f t="shared" si="33"/>
        <v>0.194008860136418</v>
      </c>
      <c r="G61" s="217">
        <f t="shared" si="33"/>
        <v>0.260231209754273</v>
      </c>
      <c r="H61" s="217">
        <f t="shared" si="33"/>
        <v>0.255095648119819</v>
      </c>
      <c r="I61" s="217">
        <f t="shared" si="33"/>
        <v>0.284788360452448</v>
      </c>
      <c r="J61" s="217">
        <f t="shared" si="33"/>
        <v>0.323486762508007</v>
      </c>
      <c r="K61" s="217">
        <f t="shared" si="33"/>
        <v>0.325174221872873</v>
      </c>
      <c r="L61" s="217">
        <f t="shared" si="33"/>
        <v>0.393690117921631</v>
      </c>
      <c r="M61" s="217">
        <f t="shared" si="33"/>
        <v>0.557654986351402</v>
      </c>
      <c r="N61" s="217">
        <f t="shared" si="33"/>
        <v>0.307195037351387</v>
      </c>
      <c r="O61" s="258"/>
      <c r="P61" s="244"/>
    </row>
    <row r="62" ht="14.25" spans="1:16">
      <c r="A62" s="189">
        <v>2023</v>
      </c>
      <c r="B62" s="209">
        <f t="shared" ref="B62:N62" si="34">B24/B51</f>
        <v>0.15056876823601</v>
      </c>
      <c r="C62" s="209">
        <f t="shared" si="34"/>
        <v>0.215270840405412</v>
      </c>
      <c r="D62" s="209">
        <f t="shared" si="34"/>
        <v>0.216451462711605</v>
      </c>
      <c r="E62" s="209">
        <f t="shared" si="34"/>
        <v>0.204619925399242</v>
      </c>
      <c r="F62" s="209">
        <f t="shared" si="34"/>
        <v>0.229112509414251</v>
      </c>
      <c r="G62" s="209">
        <f t="shared" si="34"/>
        <v>0.246013586112608</v>
      </c>
      <c r="H62" s="209">
        <f t="shared" si="34"/>
        <v>0.259075046140819</v>
      </c>
      <c r="I62" s="209">
        <f t="shared" si="34"/>
        <v>0.370134263780233</v>
      </c>
      <c r="J62" s="209">
        <f t="shared" si="34"/>
        <v>0.209784322634097</v>
      </c>
      <c r="K62" s="209">
        <f t="shared" si="34"/>
        <v>0.245228558771277</v>
      </c>
      <c r="L62" s="209">
        <f t="shared" si="34"/>
        <v>0.256654456654457</v>
      </c>
      <c r="M62" s="209">
        <f t="shared" si="34"/>
        <v>0.299930131509862</v>
      </c>
      <c r="N62" s="217">
        <f t="shared" si="34"/>
        <v>0.246057453258938</v>
      </c>
      <c r="O62" s="258"/>
      <c r="P62" s="244"/>
    </row>
    <row r="63" ht="14.25" spans="1:16">
      <c r="A63" s="189">
        <v>2024</v>
      </c>
      <c r="B63" s="209">
        <f>B31/B52</f>
        <v>0.172664397128582</v>
      </c>
      <c r="C63" s="209">
        <f>C31/C52</f>
        <v>0.193451340460375</v>
      </c>
      <c r="D63" s="209">
        <f>D31/D52</f>
        <v>0.179731204802838</v>
      </c>
      <c r="E63" s="209">
        <f>E31/E52</f>
        <v>0.184317693807538</v>
      </c>
      <c r="F63" s="209">
        <f>F31/F52</f>
        <v>0.18503119382468</v>
      </c>
      <c r="G63" s="209">
        <v>0.198</v>
      </c>
      <c r="H63" s="209">
        <f>H31/H52</f>
        <v>0.19130120916802</v>
      </c>
      <c r="I63" s="209">
        <f>I31/I52</f>
        <v>0.205778003041054</v>
      </c>
      <c r="J63" s="209">
        <f>J31/J52</f>
        <v>0.236607484869379</v>
      </c>
      <c r="K63" s="209">
        <f>K31/K52</f>
        <v>0.236335735715025</v>
      </c>
      <c r="L63" s="209">
        <f>L31/L52</f>
        <v>0.228061207799005</v>
      </c>
      <c r="M63" s="209">
        <f t="shared" ref="M63:N63" si="35">M31/M52</f>
        <v>0.234356920338229</v>
      </c>
      <c r="N63" s="209">
        <f t="shared" si="35"/>
        <v>0.203238679865784</v>
      </c>
      <c r="O63" s="258"/>
      <c r="P63" s="244"/>
    </row>
    <row r="64" ht="14.25" spans="1:16">
      <c r="A64" s="189">
        <v>2025</v>
      </c>
      <c r="B64" s="209">
        <f>B38/B54</f>
        <v>0.251454440377577</v>
      </c>
      <c r="C64" s="209">
        <f>C38/C54</f>
        <v>0.272746935123922</v>
      </c>
      <c r="D64" s="209">
        <f>D38/D54</f>
        <v>0.272484486995901</v>
      </c>
      <c r="E64" s="209">
        <f>E38/E54</f>
        <v>0.287803632049043</v>
      </c>
      <c r="F64" s="194"/>
      <c r="G64" s="194"/>
      <c r="H64" s="194"/>
      <c r="I64" s="194"/>
      <c r="J64" s="194"/>
      <c r="K64" s="194"/>
      <c r="L64" s="194"/>
      <c r="M64" s="194"/>
      <c r="N64" s="194"/>
      <c r="O64" s="258"/>
      <c r="P64" s="244"/>
    </row>
    <row r="65" ht="14.25" spans="1:16">
      <c r="A65" s="259"/>
      <c r="B65" s="260"/>
      <c r="C65" s="260"/>
      <c r="D65" s="260"/>
      <c r="E65" s="260"/>
      <c r="F65" s="260"/>
      <c r="G65" s="260"/>
      <c r="H65" s="260"/>
      <c r="I65" s="260"/>
      <c r="J65" s="260"/>
      <c r="K65" s="260"/>
      <c r="L65" s="260"/>
      <c r="M65" s="260"/>
      <c r="N65" s="260"/>
      <c r="O65" s="240"/>
      <c r="P65" s="244"/>
    </row>
    <row r="66" ht="14.25" spans="1:16">
      <c r="A66" s="261"/>
      <c r="B66" s="240"/>
      <c r="C66" s="240"/>
      <c r="D66" s="189"/>
      <c r="E66" s="189"/>
      <c r="F66" s="189"/>
      <c r="G66" s="189"/>
      <c r="H66" s="189"/>
      <c r="I66" s="189"/>
      <c r="J66" s="189"/>
      <c r="K66" s="240"/>
      <c r="L66" s="240"/>
      <c r="M66" s="240"/>
      <c r="N66" s="240"/>
      <c r="O66" s="240"/>
      <c r="P66" s="244"/>
    </row>
    <row r="67" ht="14.25" spans="1:16">
      <c r="A67" s="261"/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4"/>
    </row>
    <row r="68" spans="1:16">
      <c r="A68" s="261"/>
      <c r="P68" s="244"/>
    </row>
    <row r="69" spans="1:16">
      <c r="A69" s="261"/>
      <c r="P69" s="244"/>
    </row>
    <row r="70" spans="1:16">
      <c r="A70" s="261"/>
      <c r="P70" s="244"/>
    </row>
    <row r="71" spans="1:16">
      <c r="A71" s="261"/>
      <c r="P71" s="244"/>
    </row>
    <row r="72" spans="1:16">
      <c r="A72" s="261"/>
      <c r="P72" s="244"/>
    </row>
    <row r="73" spans="1:16">
      <c r="A73" s="261"/>
      <c r="P73" s="244"/>
    </row>
    <row r="74" spans="1:16">
      <c r="A74" s="261"/>
      <c r="P74" s="244"/>
    </row>
    <row r="75" spans="1:16">
      <c r="A75" s="261"/>
      <c r="P75" s="244"/>
    </row>
    <row r="76" spans="1:16">
      <c r="A76" s="261"/>
      <c r="P76" s="244"/>
    </row>
    <row r="77" spans="1:16">
      <c r="A77" s="261"/>
      <c r="P77" s="244"/>
    </row>
    <row r="78" spans="1:16">
      <c r="A78" s="261"/>
      <c r="P78" s="244"/>
    </row>
    <row r="79" spans="1:16">
      <c r="A79" s="261"/>
      <c r="P79" s="244"/>
    </row>
    <row r="80" spans="1:16">
      <c r="A80" s="261"/>
      <c r="P80" s="244"/>
    </row>
    <row r="81" spans="1:16">
      <c r="A81" s="261"/>
      <c r="P81" s="244"/>
    </row>
    <row r="82" spans="1:16">
      <c r="A82" s="261"/>
      <c r="P82" s="244"/>
    </row>
    <row r="83" spans="1:16">
      <c r="A83" s="261"/>
      <c r="P83" s="244"/>
    </row>
    <row r="84" spans="1:16">
      <c r="A84" s="261"/>
      <c r="P84" s="244"/>
    </row>
    <row r="85" spans="1:16">
      <c r="A85" s="261"/>
      <c r="P85" s="244"/>
    </row>
    <row r="86" spans="1:16">
      <c r="A86" s="261"/>
      <c r="P86" s="244"/>
    </row>
    <row r="87" spans="1:16">
      <c r="B87" s="262"/>
      <c r="C87" s="262"/>
      <c r="D87" s="262"/>
      <c r="E87" s="262"/>
      <c r="F87" s="262"/>
      <c r="G87" s="262"/>
      <c r="H87" s="262"/>
      <c r="I87" s="262"/>
      <c r="J87" s="262"/>
      <c r="K87" s="262"/>
      <c r="L87" s="262"/>
      <c r="M87" s="262"/>
      <c r="N87" s="262"/>
      <c r="O87" s="262"/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4"/>
  <sheetViews>
    <sheetView topLeftCell="A7" workbookViewId="0">
      <selection activeCell="F46" sqref="F46"/>
    </sheetView>
  </sheetViews>
  <sheetFormatPr defaultColWidth="9.375" defaultRowHeight="13.5"/>
  <cols>
    <col min="1" max="1" width="24.25" customWidth="1"/>
    <col min="2" max="2" width="12.625"/>
    <col min="3" max="3" width="11.125"/>
    <col min="4" max="4" width="9.875" customWidth="1"/>
    <col min="7" max="7" width="12.875"/>
    <col min="8" max="8" width="14"/>
    <col min="9" max="9" width="12.875"/>
  </cols>
  <sheetData>
    <row r="1" ht="14.25" spans="1:16">
      <c r="A1" s="239" t="s">
        <v>73</v>
      </c>
    </row>
    <row r="2" ht="14.25" spans="1:16">
      <c r="A2" s="205" t="s">
        <v>74</v>
      </c>
      <c r="B2" s="195" t="s">
        <v>33</v>
      </c>
      <c r="C2" s="195" t="s">
        <v>34</v>
      </c>
      <c r="D2" s="195" t="s">
        <v>35</v>
      </c>
      <c r="E2" s="195" t="s">
        <v>36</v>
      </c>
      <c r="F2" s="195" t="s">
        <v>37</v>
      </c>
      <c r="G2" s="195" t="s">
        <v>38</v>
      </c>
      <c r="H2" s="195" t="s">
        <v>39</v>
      </c>
      <c r="I2" s="194" t="s">
        <v>40</v>
      </c>
      <c r="J2" s="195" t="s">
        <v>41</v>
      </c>
      <c r="K2" s="194" t="s">
        <v>42</v>
      </c>
      <c r="L2" s="194" t="s">
        <v>43</v>
      </c>
      <c r="M2" s="194" t="s">
        <v>44</v>
      </c>
      <c r="N2" s="194" t="s">
        <v>75</v>
      </c>
      <c r="O2" s="194" t="s">
        <v>45</v>
      </c>
      <c r="P2" s="194">
        <v>2024</v>
      </c>
    </row>
    <row r="3" ht="14.25" spans="1:16">
      <c r="A3" s="205" t="s">
        <v>76</v>
      </c>
      <c r="B3" s="206"/>
      <c r="C3" s="206"/>
      <c r="D3" s="206"/>
      <c r="E3" s="206"/>
      <c r="F3" s="206"/>
      <c r="G3" s="206"/>
      <c r="H3" s="206">
        <v>10.5521</v>
      </c>
      <c r="I3" s="194">
        <v>6.9375</v>
      </c>
      <c r="J3" s="206">
        <v>15.188</v>
      </c>
      <c r="K3" s="206">
        <v>6.094</v>
      </c>
      <c r="L3" s="206">
        <v>15.3543</v>
      </c>
      <c r="M3" s="206">
        <v>6.0138</v>
      </c>
      <c r="N3" s="206">
        <v>11.4923</v>
      </c>
      <c r="O3" s="206">
        <f>SUM(B32:G32)/10000</f>
        <v>5.4134</v>
      </c>
      <c r="P3" s="206">
        <f>117898/10000</f>
        <v>11.7898</v>
      </c>
    </row>
    <row r="4" ht="14.25" spans="1:16">
      <c r="A4" s="205" t="s">
        <v>29</v>
      </c>
      <c r="B4" s="207"/>
      <c r="C4" s="208"/>
      <c r="D4" s="208"/>
      <c r="E4" s="208"/>
      <c r="F4" s="208"/>
      <c r="G4" s="208"/>
      <c r="H4" s="208"/>
      <c r="I4" s="21"/>
      <c r="J4" s="208">
        <f t="shared" ref="J4:P4" si="0">(J3-H3)/H3</f>
        <v>0.43933435050843</v>
      </c>
      <c r="K4" s="209">
        <f t="shared" si="0"/>
        <v>-0.121585585585586</v>
      </c>
      <c r="L4" s="210">
        <f t="shared" si="0"/>
        <v>0.0109494337634975</v>
      </c>
      <c r="M4" s="210">
        <f t="shared" si="0"/>
        <v>-0.0131604857236627</v>
      </c>
      <c r="N4" s="210">
        <f t="shared" si="0"/>
        <v>-0.251525631256391</v>
      </c>
      <c r="O4" s="210">
        <f t="shared" si="0"/>
        <v>-0.0998370414712827</v>
      </c>
      <c r="P4" s="210">
        <f t="shared" si="0"/>
        <v>0.0258868981840014</v>
      </c>
    </row>
    <row r="5" ht="14.25" spans="1:16">
      <c r="A5" s="211" t="s">
        <v>77</v>
      </c>
      <c r="B5" s="212"/>
      <c r="C5" s="10"/>
      <c r="D5" s="10"/>
      <c r="E5" s="10"/>
      <c r="F5" s="10"/>
      <c r="G5" s="10"/>
      <c r="H5" s="10">
        <v>14.1405</v>
      </c>
      <c r="I5" s="194">
        <v>8.393</v>
      </c>
      <c r="J5" s="10">
        <v>17.6276</v>
      </c>
      <c r="K5" s="213">
        <v>6.8505</v>
      </c>
      <c r="L5" s="10">
        <v>17.4329</v>
      </c>
      <c r="M5" s="10">
        <v>6.6549</v>
      </c>
      <c r="N5" s="10">
        <v>12.6955</v>
      </c>
      <c r="O5" s="10">
        <f>SUM(B53:G53)/10000</f>
        <v>6.1258</v>
      </c>
      <c r="P5" s="10">
        <f>128687/10000</f>
        <v>12.8687</v>
      </c>
    </row>
    <row r="6" ht="14.25" spans="1:16">
      <c r="A6" s="205" t="s">
        <v>78</v>
      </c>
      <c r="B6" s="214"/>
      <c r="C6" s="208"/>
      <c r="D6" s="208"/>
      <c r="E6" s="208"/>
      <c r="F6" s="208"/>
      <c r="G6" s="208"/>
      <c r="H6" s="208">
        <f t="shared" ref="H6:P6" si="1">H3/H5</f>
        <v>0.746232452883561</v>
      </c>
      <c r="I6" s="208">
        <f t="shared" si="1"/>
        <v>0.826581675205528</v>
      </c>
      <c r="J6" s="208">
        <f t="shared" si="1"/>
        <v>0.86160339467653</v>
      </c>
      <c r="K6" s="208">
        <f t="shared" si="1"/>
        <v>0.889570104371944</v>
      </c>
      <c r="L6" s="208">
        <f t="shared" si="1"/>
        <v>0.880765678687998</v>
      </c>
      <c r="M6" s="208">
        <f t="shared" si="1"/>
        <v>0.903664968669702</v>
      </c>
      <c r="N6" s="208">
        <f t="shared" si="1"/>
        <v>0.90522626127368</v>
      </c>
      <c r="O6" s="208">
        <f t="shared" si="1"/>
        <v>0.883704985471285</v>
      </c>
      <c r="P6" s="208">
        <f t="shared" si="1"/>
        <v>0.916160917575202</v>
      </c>
    </row>
    <row r="7" spans="1:16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6"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ht="14.25" spans="1:16">
      <c r="A9" s="189" t="s">
        <v>49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</row>
    <row r="10" ht="14.25" spans="1:16">
      <c r="A10" s="215" t="s">
        <v>79</v>
      </c>
      <c r="B10" s="19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89"/>
    </row>
    <row r="11" ht="14.25" spans="1:16">
      <c r="A11" s="216"/>
      <c r="B11" s="166" t="s">
        <v>51</v>
      </c>
      <c r="C11" s="166" t="s">
        <v>52</v>
      </c>
      <c r="D11" s="166" t="s">
        <v>53</v>
      </c>
      <c r="E11" s="166" t="s">
        <v>54</v>
      </c>
      <c r="F11" s="166" t="s">
        <v>55</v>
      </c>
      <c r="G11" s="166" t="s">
        <v>56</v>
      </c>
      <c r="H11" s="166" t="s">
        <v>57</v>
      </c>
      <c r="I11" s="166" t="s">
        <v>58</v>
      </c>
      <c r="J11" s="166" t="s">
        <v>59</v>
      </c>
      <c r="K11" s="166" t="s">
        <v>60</v>
      </c>
      <c r="L11" s="166" t="s">
        <v>61</v>
      </c>
      <c r="M11" s="166" t="s">
        <v>62</v>
      </c>
      <c r="N11" s="189" t="s">
        <v>63</v>
      </c>
    </row>
    <row r="12" ht="14.25" spans="1:16">
      <c r="A12" s="189">
        <v>2021</v>
      </c>
      <c r="B12" s="195">
        <f t="shared" ref="B12:M12" si="2">B14+B15</f>
        <v>8333</v>
      </c>
      <c r="C12" s="195">
        <f t="shared" si="2"/>
        <v>8452</v>
      </c>
      <c r="D12" s="195">
        <f t="shared" si="2"/>
        <v>12997</v>
      </c>
      <c r="E12" s="195">
        <f t="shared" si="2"/>
        <v>10543</v>
      </c>
      <c r="F12" s="195">
        <f t="shared" si="2"/>
        <v>11719</v>
      </c>
      <c r="G12" s="195">
        <f t="shared" si="2"/>
        <v>17320</v>
      </c>
      <c r="H12" s="195">
        <f t="shared" si="2"/>
        <v>8894</v>
      </c>
      <c r="I12" s="195">
        <f t="shared" si="2"/>
        <v>14404</v>
      </c>
      <c r="J12" s="195">
        <f t="shared" si="2"/>
        <v>16442</v>
      </c>
      <c r="K12" s="195">
        <f t="shared" si="2"/>
        <v>10331</v>
      </c>
      <c r="L12" s="195">
        <f t="shared" si="2"/>
        <v>13915</v>
      </c>
      <c r="M12" s="195">
        <f t="shared" si="2"/>
        <v>18499</v>
      </c>
      <c r="N12" s="195">
        <f>SUM(B12:L12)</f>
        <v>133350</v>
      </c>
    </row>
    <row r="13" ht="14.25" spans="1:16">
      <c r="A13" s="189" t="s">
        <v>64</v>
      </c>
      <c r="B13" s="189"/>
      <c r="C13" s="217">
        <f t="shared" ref="C13:M13" si="3">C12/B12-1</f>
        <v>0.0142805712228489</v>
      </c>
      <c r="D13" s="217">
        <f t="shared" si="3"/>
        <v>0.537742546142925</v>
      </c>
      <c r="E13" s="217">
        <f t="shared" si="3"/>
        <v>-0.188812802954528</v>
      </c>
      <c r="F13" s="217">
        <f t="shared" si="3"/>
        <v>0.111543204021626</v>
      </c>
      <c r="G13" s="217">
        <f t="shared" si="3"/>
        <v>0.477941803908183</v>
      </c>
      <c r="H13" s="217">
        <f t="shared" si="3"/>
        <v>-0.4864896073903</v>
      </c>
      <c r="I13" s="217">
        <f t="shared" si="3"/>
        <v>0.619518776703396</v>
      </c>
      <c r="J13" s="217">
        <f t="shared" si="3"/>
        <v>0.141488475423494</v>
      </c>
      <c r="K13" s="217">
        <f t="shared" si="3"/>
        <v>-0.371670113124924</v>
      </c>
      <c r="L13" s="217">
        <f t="shared" si="3"/>
        <v>0.346917045784532</v>
      </c>
      <c r="M13" s="217">
        <f t="shared" si="3"/>
        <v>0.329428674092706</v>
      </c>
      <c r="N13" s="218"/>
    </row>
    <row r="14" ht="14.25" spans="1:16">
      <c r="A14" s="219" t="s">
        <v>65</v>
      </c>
      <c r="B14" s="220">
        <v>5461</v>
      </c>
      <c r="C14" s="220">
        <v>5074</v>
      </c>
      <c r="D14" s="220">
        <v>8618</v>
      </c>
      <c r="E14" s="220">
        <v>7227</v>
      </c>
      <c r="F14" s="220">
        <v>8498</v>
      </c>
      <c r="G14" s="220">
        <v>13181</v>
      </c>
      <c r="H14" s="220">
        <v>6730</v>
      </c>
      <c r="I14" s="220">
        <v>11810</v>
      </c>
      <c r="J14" s="220">
        <v>13941</v>
      </c>
      <c r="K14" s="220">
        <v>8113</v>
      </c>
      <c r="L14" s="220">
        <v>11269</v>
      </c>
      <c r="M14" s="220">
        <v>13793</v>
      </c>
      <c r="N14" s="221">
        <f>SUM(B14:M14)</f>
        <v>113715</v>
      </c>
    </row>
    <row r="15" ht="14.25" spans="1:16">
      <c r="A15" s="219" t="s">
        <v>66</v>
      </c>
      <c r="B15" s="220">
        <v>2872</v>
      </c>
      <c r="C15" s="220">
        <v>3378</v>
      </c>
      <c r="D15" s="220">
        <v>4379</v>
      </c>
      <c r="E15" s="220">
        <v>3316</v>
      </c>
      <c r="F15" s="220">
        <v>3221</v>
      </c>
      <c r="G15" s="220">
        <v>4139</v>
      </c>
      <c r="H15" s="220">
        <v>2164</v>
      </c>
      <c r="I15" s="220">
        <v>2594</v>
      </c>
      <c r="J15" s="220">
        <v>2501</v>
      </c>
      <c r="K15" s="220">
        <v>2218</v>
      </c>
      <c r="L15" s="220">
        <v>2646</v>
      </c>
      <c r="M15" s="220">
        <v>4706</v>
      </c>
      <c r="N15" s="221">
        <f>SUM(B15:M15)</f>
        <v>38134</v>
      </c>
    </row>
    <row r="16" ht="14.25" spans="1:16">
      <c r="A16" s="219" t="s">
        <v>67</v>
      </c>
      <c r="B16" s="222">
        <f t="shared" ref="B16:N16" si="4">B14/B12</f>
        <v>0.655346213848554</v>
      </c>
      <c r="C16" s="222">
        <f t="shared" si="4"/>
        <v>0.600331282536678</v>
      </c>
      <c r="D16" s="222">
        <f t="shared" si="4"/>
        <v>0.663076094483342</v>
      </c>
      <c r="E16" s="222">
        <f t="shared" si="4"/>
        <v>0.685478516551266</v>
      </c>
      <c r="F16" s="222">
        <f t="shared" si="4"/>
        <v>0.7251471968598</v>
      </c>
      <c r="G16" s="222">
        <f t="shared" si="4"/>
        <v>0.761027713625866</v>
      </c>
      <c r="H16" s="222">
        <f t="shared" si="4"/>
        <v>0.756689903305599</v>
      </c>
      <c r="I16" s="222">
        <f t="shared" si="4"/>
        <v>0.819911135795612</v>
      </c>
      <c r="J16" s="222">
        <f t="shared" si="4"/>
        <v>0.847889551149495</v>
      </c>
      <c r="K16" s="222">
        <f t="shared" si="4"/>
        <v>0.785306359500532</v>
      </c>
      <c r="L16" s="222">
        <f t="shared" si="4"/>
        <v>0.809845490477902</v>
      </c>
      <c r="M16" s="222">
        <f t="shared" si="4"/>
        <v>0.745607870695713</v>
      </c>
      <c r="N16" s="207">
        <f t="shared" si="4"/>
        <v>0.852755905511811</v>
      </c>
    </row>
    <row r="17" ht="14.25" spans="1:15">
      <c r="A17" s="219" t="s">
        <v>68</v>
      </c>
      <c r="B17" s="222">
        <f t="shared" ref="B17:N17" si="5">B15/B12</f>
        <v>0.344653786151446</v>
      </c>
      <c r="C17" s="222">
        <f t="shared" si="5"/>
        <v>0.399668717463322</v>
      </c>
      <c r="D17" s="222">
        <f t="shared" si="5"/>
        <v>0.336923905516658</v>
      </c>
      <c r="E17" s="222">
        <f t="shared" si="5"/>
        <v>0.314521483448734</v>
      </c>
      <c r="F17" s="222">
        <f t="shared" si="5"/>
        <v>0.2748528031402</v>
      </c>
      <c r="G17" s="222">
        <f t="shared" si="5"/>
        <v>0.238972286374134</v>
      </c>
      <c r="H17" s="222">
        <f t="shared" si="5"/>
        <v>0.243310096694401</v>
      </c>
      <c r="I17" s="222">
        <f t="shared" si="5"/>
        <v>0.180088864204388</v>
      </c>
      <c r="J17" s="222">
        <f t="shared" si="5"/>
        <v>0.152110448850505</v>
      </c>
      <c r="K17" s="222">
        <f t="shared" si="5"/>
        <v>0.214693640499468</v>
      </c>
      <c r="L17" s="222">
        <f t="shared" si="5"/>
        <v>0.190154509522098</v>
      </c>
      <c r="M17" s="222">
        <f t="shared" si="5"/>
        <v>0.254392129304287</v>
      </c>
      <c r="N17" s="207">
        <f t="shared" si="5"/>
        <v>0.28596925384327</v>
      </c>
    </row>
    <row r="18" ht="14.25" spans="1:15">
      <c r="A18" s="189">
        <v>2022</v>
      </c>
      <c r="B18" s="195">
        <f t="shared" ref="B18:N18" si="6">B21+B22</f>
        <v>7198</v>
      </c>
      <c r="C18" s="195">
        <f t="shared" si="6"/>
        <v>7012</v>
      </c>
      <c r="D18" s="195">
        <f t="shared" si="6"/>
        <v>14930</v>
      </c>
      <c r="E18" s="195">
        <f t="shared" si="6"/>
        <v>8189</v>
      </c>
      <c r="F18" s="195">
        <f t="shared" si="6"/>
        <v>10220</v>
      </c>
      <c r="G18" s="195">
        <f t="shared" si="6"/>
        <v>13391</v>
      </c>
      <c r="H18" s="195">
        <f t="shared" si="6"/>
        <v>6013</v>
      </c>
      <c r="I18" s="195">
        <f t="shared" si="6"/>
        <v>10648</v>
      </c>
      <c r="J18" s="195">
        <f t="shared" si="6"/>
        <v>13053</v>
      </c>
      <c r="K18" s="195">
        <f t="shared" si="6"/>
        <v>10853</v>
      </c>
      <c r="L18" s="195">
        <f t="shared" si="6"/>
        <v>17417</v>
      </c>
      <c r="M18" s="195">
        <f t="shared" si="6"/>
        <v>34619</v>
      </c>
      <c r="N18" s="195">
        <f t="shared" si="6"/>
        <v>153543</v>
      </c>
      <c r="O18" s="151">
        <f>SUM(B18:K18)</f>
        <v>101507</v>
      </c>
    </row>
    <row r="19" ht="14.25" spans="1:15">
      <c r="A19" s="189" t="s">
        <v>64</v>
      </c>
      <c r="B19" s="217"/>
      <c r="C19" s="217">
        <f t="shared" ref="C19:M19" si="7">C18/B18-1</f>
        <v>-0.0258405112531259</v>
      </c>
      <c r="D19" s="217">
        <f t="shared" si="7"/>
        <v>1.12920707358813</v>
      </c>
      <c r="E19" s="217">
        <f t="shared" si="7"/>
        <v>-0.451507032819826</v>
      </c>
      <c r="F19" s="217">
        <f t="shared" si="7"/>
        <v>0.248015630724142</v>
      </c>
      <c r="G19" s="217">
        <f t="shared" si="7"/>
        <v>0.31027397260274</v>
      </c>
      <c r="H19" s="217">
        <f t="shared" si="7"/>
        <v>-0.550967067433351</v>
      </c>
      <c r="I19" s="217">
        <f t="shared" si="7"/>
        <v>0.770829868617994</v>
      </c>
      <c r="J19" s="217">
        <f t="shared" si="7"/>
        <v>0.225864012021037</v>
      </c>
      <c r="K19" s="217">
        <f t="shared" si="7"/>
        <v>-0.1685436298169</v>
      </c>
      <c r="L19" s="217">
        <f t="shared" si="7"/>
        <v>0.604809730028564</v>
      </c>
      <c r="M19" s="217">
        <f t="shared" si="7"/>
        <v>0.98765573864615</v>
      </c>
      <c r="N19" s="189"/>
    </row>
    <row r="20" ht="14.25" spans="1:15">
      <c r="A20" s="189" t="s">
        <v>69</v>
      </c>
      <c r="B20" s="217">
        <f t="shared" ref="B20:N20" si="8">(B18-B12)/B12</f>
        <v>-0.136205448217929</v>
      </c>
      <c r="C20" s="217">
        <f t="shared" si="8"/>
        <v>-0.170373876005679</v>
      </c>
      <c r="D20" s="217">
        <f t="shared" si="8"/>
        <v>0.148726629222128</v>
      </c>
      <c r="E20" s="217">
        <f t="shared" si="8"/>
        <v>-0.223276107369819</v>
      </c>
      <c r="F20" s="217">
        <f t="shared" si="8"/>
        <v>-0.127911937878659</v>
      </c>
      <c r="G20" s="217">
        <f t="shared" si="8"/>
        <v>-0.226847575057737</v>
      </c>
      <c r="H20" s="217">
        <f t="shared" si="8"/>
        <v>-0.323926242410614</v>
      </c>
      <c r="I20" s="217">
        <f t="shared" si="8"/>
        <v>-0.260760899750069</v>
      </c>
      <c r="J20" s="217">
        <f t="shared" si="8"/>
        <v>-0.206118477070916</v>
      </c>
      <c r="K20" s="217">
        <f t="shared" si="8"/>
        <v>0.0505275384764302</v>
      </c>
      <c r="L20" s="217">
        <f t="shared" si="8"/>
        <v>0.251670858785483</v>
      </c>
      <c r="M20" s="217">
        <f t="shared" si="8"/>
        <v>0.871398453970485</v>
      </c>
      <c r="N20" s="217">
        <f t="shared" si="8"/>
        <v>0.151428571428571</v>
      </c>
    </row>
    <row r="21" ht="14.25" spans="1:15">
      <c r="A21" s="219" t="s">
        <v>65</v>
      </c>
      <c r="B21" s="220">
        <v>6659</v>
      </c>
      <c r="C21" s="220">
        <v>6160</v>
      </c>
      <c r="D21" s="220">
        <v>13983</v>
      </c>
      <c r="E21" s="220">
        <v>7207</v>
      </c>
      <c r="F21" s="219">
        <v>8845</v>
      </c>
      <c r="G21" s="220">
        <v>11722</v>
      </c>
      <c r="H21" s="220">
        <v>5123</v>
      </c>
      <c r="I21" s="220">
        <v>9247</v>
      </c>
      <c r="J21" s="220">
        <v>11384</v>
      </c>
      <c r="K21" s="220">
        <v>9727</v>
      </c>
      <c r="L21" s="220">
        <v>15915</v>
      </c>
      <c r="M21" s="220">
        <v>32714</v>
      </c>
      <c r="N21" s="221">
        <f>SUM(B21:M21)</f>
        <v>138686</v>
      </c>
    </row>
    <row r="22" ht="14.25" spans="1:15">
      <c r="A22" s="219" t="s">
        <v>66</v>
      </c>
      <c r="B22" s="220">
        <v>539</v>
      </c>
      <c r="C22" s="220">
        <v>852</v>
      </c>
      <c r="D22" s="220">
        <v>947</v>
      </c>
      <c r="E22" s="220">
        <v>982</v>
      </c>
      <c r="F22" s="219">
        <v>1375</v>
      </c>
      <c r="G22" s="220">
        <v>1669</v>
      </c>
      <c r="H22" s="220">
        <v>890</v>
      </c>
      <c r="I22" s="220">
        <v>1401</v>
      </c>
      <c r="J22" s="220">
        <v>1669</v>
      </c>
      <c r="K22" s="220">
        <v>1126</v>
      </c>
      <c r="L22" s="220">
        <v>1502</v>
      </c>
      <c r="M22" s="220">
        <v>1905</v>
      </c>
      <c r="N22" s="221">
        <f>SUM(B22:M22)</f>
        <v>14857</v>
      </c>
    </row>
    <row r="23" ht="14.25" spans="1:15">
      <c r="A23" s="219" t="s">
        <v>67</v>
      </c>
      <c r="B23" s="223">
        <f t="shared" ref="B23:N23" si="9">B21/B18</f>
        <v>0.925118088357877</v>
      </c>
      <c r="C23" s="223">
        <f t="shared" si="9"/>
        <v>0.878494010268112</v>
      </c>
      <c r="D23" s="223">
        <f t="shared" si="9"/>
        <v>0.936570663094441</v>
      </c>
      <c r="E23" s="223">
        <f t="shared" si="9"/>
        <v>0.880083038222005</v>
      </c>
      <c r="F23" s="223">
        <f t="shared" si="9"/>
        <v>0.86545988258317</v>
      </c>
      <c r="G23" s="223">
        <f t="shared" si="9"/>
        <v>0.875364050481667</v>
      </c>
      <c r="H23" s="223">
        <f t="shared" si="9"/>
        <v>0.851987360718443</v>
      </c>
      <c r="I23" s="223">
        <f t="shared" si="9"/>
        <v>0.868425995492111</v>
      </c>
      <c r="J23" s="223">
        <f t="shared" si="9"/>
        <v>0.872136673561633</v>
      </c>
      <c r="K23" s="223">
        <f t="shared" si="9"/>
        <v>0.896249884824473</v>
      </c>
      <c r="L23" s="223">
        <f t="shared" si="9"/>
        <v>0.913762416030315</v>
      </c>
      <c r="M23" s="223">
        <f t="shared" si="9"/>
        <v>0.944972413992316</v>
      </c>
      <c r="N23" s="217">
        <f t="shared" si="9"/>
        <v>0.90323883211869</v>
      </c>
    </row>
    <row r="24" ht="14.25" spans="1:15">
      <c r="A24" s="219" t="s">
        <v>68</v>
      </c>
      <c r="B24" s="224">
        <f t="shared" ref="B24:N24" si="10">B22/B18</f>
        <v>0.0748819116421228</v>
      </c>
      <c r="C24" s="224">
        <f t="shared" si="10"/>
        <v>0.121505989731888</v>
      </c>
      <c r="D24" s="224">
        <f t="shared" si="10"/>
        <v>0.0634293369055593</v>
      </c>
      <c r="E24" s="224">
        <f t="shared" si="10"/>
        <v>0.119916961777995</v>
      </c>
      <c r="F24" s="224">
        <f t="shared" si="10"/>
        <v>0.13454011741683</v>
      </c>
      <c r="G24" s="224">
        <f t="shared" si="10"/>
        <v>0.124635949518333</v>
      </c>
      <c r="H24" s="224">
        <f t="shared" si="10"/>
        <v>0.148012639281557</v>
      </c>
      <c r="I24" s="224">
        <f t="shared" si="10"/>
        <v>0.131574004507889</v>
      </c>
      <c r="J24" s="224">
        <f t="shared" si="10"/>
        <v>0.127863326438367</v>
      </c>
      <c r="K24" s="224">
        <f t="shared" si="10"/>
        <v>0.103750115175527</v>
      </c>
      <c r="L24" s="224">
        <f t="shared" si="10"/>
        <v>0.0862375839696848</v>
      </c>
      <c r="M24" s="224">
        <f t="shared" si="10"/>
        <v>0.0550275860076836</v>
      </c>
      <c r="N24" s="217">
        <f t="shared" si="10"/>
        <v>0.0967611678813101</v>
      </c>
    </row>
    <row r="25" ht="14.25" spans="1:15">
      <c r="A25" s="189">
        <v>2023</v>
      </c>
      <c r="B25" s="221">
        <f>SUM(B28,B29)</f>
        <v>1419</v>
      </c>
      <c r="C25" s="221">
        <f>SUM(C28,C29)</f>
        <v>6877</v>
      </c>
      <c r="D25" s="14">
        <f t="shared" ref="D25:K25" si="11">D28+D29</f>
        <v>17648</v>
      </c>
      <c r="E25" s="14">
        <f t="shared" si="11"/>
        <v>8174</v>
      </c>
      <c r="F25" s="14">
        <f t="shared" si="11"/>
        <v>11865</v>
      </c>
      <c r="G25" s="14">
        <f t="shared" si="11"/>
        <v>14155</v>
      </c>
      <c r="H25" s="189">
        <f t="shared" si="11"/>
        <v>6761</v>
      </c>
      <c r="I25" s="14">
        <f t="shared" si="11"/>
        <v>9974</v>
      </c>
      <c r="J25" s="14">
        <f t="shared" si="11"/>
        <v>9617</v>
      </c>
      <c r="K25" s="189">
        <f t="shared" si="11"/>
        <v>8151</v>
      </c>
      <c r="L25" s="189">
        <v>9380</v>
      </c>
      <c r="M25" s="189">
        <v>10902</v>
      </c>
      <c r="N25" s="221">
        <f t="shared" ref="N25:N29" si="12">SUM(B25:M25)</f>
        <v>114923</v>
      </c>
    </row>
    <row r="26" ht="14.25" spans="1:15">
      <c r="A26" s="189" t="s">
        <v>64</v>
      </c>
      <c r="B26" s="194"/>
      <c r="C26" s="226">
        <f t="shared" ref="C26:M26" si="13">C25/B25-1</f>
        <v>3.84637068357999</v>
      </c>
      <c r="D26" s="226">
        <f t="shared" si="13"/>
        <v>1.56623527701032</v>
      </c>
      <c r="E26" s="226">
        <f t="shared" si="13"/>
        <v>-0.536831368993654</v>
      </c>
      <c r="F26" s="226">
        <f t="shared" si="13"/>
        <v>0.451553706875459</v>
      </c>
      <c r="G26" s="226">
        <f t="shared" si="13"/>
        <v>0.193004635482512</v>
      </c>
      <c r="H26" s="226">
        <f t="shared" si="13"/>
        <v>-0.522359590250795</v>
      </c>
      <c r="I26" s="226">
        <f t="shared" si="13"/>
        <v>0.475225558349357</v>
      </c>
      <c r="J26" s="226">
        <f t="shared" si="13"/>
        <v>-0.0357930619610989</v>
      </c>
      <c r="K26" s="226">
        <f t="shared" si="13"/>
        <v>-0.152438390350421</v>
      </c>
      <c r="L26" s="226">
        <f t="shared" si="13"/>
        <v>0.150779045515888</v>
      </c>
      <c r="M26" s="226">
        <f t="shared" si="13"/>
        <v>0.16226012793177</v>
      </c>
    </row>
    <row r="27" ht="14.25" spans="1:15">
      <c r="A27" s="189" t="s">
        <v>69</v>
      </c>
      <c r="B27" s="207">
        <f t="shared" ref="B27:H27" si="14">(B25-B18)/B18</f>
        <v>-0.802861906085024</v>
      </c>
      <c r="C27" s="207">
        <f t="shared" si="14"/>
        <v>-0.0192527096406161</v>
      </c>
      <c r="D27" s="207">
        <f t="shared" si="14"/>
        <v>0.182049564634963</v>
      </c>
      <c r="E27" s="207">
        <f t="shared" si="14"/>
        <v>-0.00183172548540725</v>
      </c>
      <c r="F27" s="207">
        <f t="shared" si="14"/>
        <v>0.160958904109589</v>
      </c>
      <c r="G27" s="207">
        <f t="shared" si="14"/>
        <v>0.0570532447166007</v>
      </c>
      <c r="H27" s="207">
        <f t="shared" si="14"/>
        <v>0.124397139531016</v>
      </c>
      <c r="I27" s="207">
        <f t="shared" ref="I27:M27" si="15">(I25-I18)/I18</f>
        <v>-0.0632982719759579</v>
      </c>
      <c r="J27" s="207">
        <f t="shared" si="15"/>
        <v>-0.263234505477668</v>
      </c>
      <c r="K27" s="207">
        <f t="shared" si="15"/>
        <v>-0.248963420252465</v>
      </c>
      <c r="L27" s="207">
        <f t="shared" si="15"/>
        <v>-0.461445713957628</v>
      </c>
      <c r="M27" s="207">
        <f t="shared" si="15"/>
        <v>-0.685086224327681</v>
      </c>
      <c r="N27" s="217">
        <f>N25/SUM(B18:M18)-1</f>
        <v>-0.251525631256391</v>
      </c>
      <c r="O27" s="207"/>
    </row>
    <row r="28" ht="14.25" spans="1:15">
      <c r="A28" s="219" t="s">
        <v>65</v>
      </c>
      <c r="B28" s="220">
        <v>1237</v>
      </c>
      <c r="C28" s="220">
        <v>6183</v>
      </c>
      <c r="D28" s="220">
        <v>16811</v>
      </c>
      <c r="E28" s="220">
        <v>7471</v>
      </c>
      <c r="F28" s="220">
        <v>10773</v>
      </c>
      <c r="G28" s="220">
        <v>12801</v>
      </c>
      <c r="H28" s="220">
        <v>6148</v>
      </c>
      <c r="I28" s="220">
        <v>9250</v>
      </c>
      <c r="J28" s="220">
        <v>9000</v>
      </c>
      <c r="K28" s="220">
        <v>7516</v>
      </c>
      <c r="L28" s="220">
        <v>8442</v>
      </c>
      <c r="M28" s="220">
        <v>8957</v>
      </c>
      <c r="N28" s="221">
        <f t="shared" si="12"/>
        <v>104589</v>
      </c>
    </row>
    <row r="29" ht="14.25" spans="1:15">
      <c r="A29" s="219" t="s">
        <v>66</v>
      </c>
      <c r="B29" s="220">
        <v>182</v>
      </c>
      <c r="C29" s="220">
        <v>694</v>
      </c>
      <c r="D29" s="220">
        <v>837</v>
      </c>
      <c r="E29" s="220">
        <v>703</v>
      </c>
      <c r="F29" s="220">
        <v>1092</v>
      </c>
      <c r="G29" s="220">
        <v>1354</v>
      </c>
      <c r="H29" s="220">
        <v>613</v>
      </c>
      <c r="I29" s="220">
        <v>724</v>
      </c>
      <c r="J29" s="220">
        <v>617</v>
      </c>
      <c r="K29" s="220">
        <v>635</v>
      </c>
      <c r="L29" s="220">
        <v>938</v>
      </c>
      <c r="M29" s="220">
        <v>1945</v>
      </c>
      <c r="N29" s="221">
        <f t="shared" si="12"/>
        <v>10334</v>
      </c>
    </row>
    <row r="30" ht="14.25" spans="1:15">
      <c r="A30" s="219" t="s">
        <v>67</v>
      </c>
      <c r="B30" s="223">
        <f t="shared" ref="B30:H30" si="16">B28/B25</f>
        <v>0.871740662438337</v>
      </c>
      <c r="C30" s="223">
        <f t="shared" si="16"/>
        <v>0.899083902864621</v>
      </c>
      <c r="D30" s="223">
        <f t="shared" si="16"/>
        <v>0.952572529465095</v>
      </c>
      <c r="E30" s="223">
        <f t="shared" si="16"/>
        <v>0.913995595791534</v>
      </c>
      <c r="F30" s="223">
        <f t="shared" si="16"/>
        <v>0.907964601769911</v>
      </c>
      <c r="G30" s="223">
        <f t="shared" si="16"/>
        <v>0.904344754503709</v>
      </c>
      <c r="H30" s="223">
        <f t="shared" si="16"/>
        <v>0.909332938914362</v>
      </c>
      <c r="I30" s="223">
        <f t="shared" ref="I30:N30" si="17">I28/I25</f>
        <v>0.92741126930018</v>
      </c>
      <c r="J30" s="223">
        <f t="shared" si="17"/>
        <v>0.935842778413227</v>
      </c>
      <c r="K30" s="223">
        <f t="shared" si="17"/>
        <v>0.922095448411238</v>
      </c>
      <c r="L30" s="223">
        <f t="shared" si="17"/>
        <v>0.9</v>
      </c>
      <c r="M30" s="223">
        <f t="shared" si="17"/>
        <v>0.821592368372776</v>
      </c>
      <c r="N30" s="217">
        <f t="shared" si="17"/>
        <v>0.910078922408917</v>
      </c>
    </row>
    <row r="31" ht="14.25" spans="1:15">
      <c r="A31" s="219" t="s">
        <v>68</v>
      </c>
      <c r="B31" s="223">
        <f t="shared" ref="B31:H31" si="18">B29/B25</f>
        <v>0.128259337561663</v>
      </c>
      <c r="C31" s="223">
        <f t="shared" si="18"/>
        <v>0.100916097135379</v>
      </c>
      <c r="D31" s="223">
        <f t="shared" si="18"/>
        <v>0.0474274705349048</v>
      </c>
      <c r="E31" s="223">
        <f t="shared" si="18"/>
        <v>0.0860044042084659</v>
      </c>
      <c r="F31" s="223">
        <f t="shared" si="18"/>
        <v>0.0920353982300885</v>
      </c>
      <c r="G31" s="223">
        <f t="shared" si="18"/>
        <v>0.0956552454962911</v>
      </c>
      <c r="H31" s="223">
        <f t="shared" si="18"/>
        <v>0.0906670610856382</v>
      </c>
      <c r="I31" s="223">
        <f t="shared" ref="I31:N31" si="19">I29/I25</f>
        <v>0.0725887306998195</v>
      </c>
      <c r="J31" s="223">
        <f t="shared" si="19"/>
        <v>0.0641572215867734</v>
      </c>
      <c r="K31" s="223">
        <f t="shared" si="19"/>
        <v>0.0779045515887621</v>
      </c>
      <c r="L31" s="223">
        <f t="shared" si="19"/>
        <v>0.1</v>
      </c>
      <c r="M31" s="223">
        <f t="shared" si="19"/>
        <v>0.178407631627224</v>
      </c>
      <c r="N31" s="217">
        <f t="shared" si="19"/>
        <v>0.0899210775910827</v>
      </c>
    </row>
    <row r="32" ht="14.25" spans="1:15">
      <c r="A32" s="189">
        <v>2024</v>
      </c>
      <c r="B32" s="221">
        <f>B35+B36</f>
        <v>4811</v>
      </c>
      <c r="C32" s="221">
        <f t="shared" ref="C32:I32" si="20">C35+C36</f>
        <v>6794</v>
      </c>
      <c r="D32" s="221">
        <f t="shared" si="20"/>
        <v>8919</v>
      </c>
      <c r="E32" s="221">
        <f t="shared" si="20"/>
        <v>10229</v>
      </c>
      <c r="F32" s="221">
        <f t="shared" si="20"/>
        <v>8437</v>
      </c>
      <c r="G32" s="14">
        <f t="shared" si="20"/>
        <v>14944</v>
      </c>
      <c r="H32" s="189">
        <f t="shared" si="20"/>
        <v>6087</v>
      </c>
      <c r="I32" s="14">
        <f t="shared" si="20"/>
        <v>10641</v>
      </c>
      <c r="J32" s="14">
        <v>12641</v>
      </c>
      <c r="K32" s="189">
        <v>11040</v>
      </c>
      <c r="L32" s="189">
        <f>L35+L36</f>
        <v>11094</v>
      </c>
      <c r="M32" s="189">
        <f>M35+M36</f>
        <v>12261</v>
      </c>
      <c r="N32" s="221">
        <f>SUM(B32:M32)</f>
        <v>117898</v>
      </c>
    </row>
    <row r="33" ht="14.25" spans="1:15">
      <c r="A33" s="189" t="s">
        <v>64</v>
      </c>
      <c r="B33" s="226">
        <f>B32/M25-1</f>
        <v>-0.558704824802788</v>
      </c>
      <c r="C33" s="226">
        <f>C32/B32-1</f>
        <v>0.412180419871129</v>
      </c>
      <c r="D33" s="226">
        <f>D32/C32-1</f>
        <v>0.312775978804828</v>
      </c>
      <c r="E33" s="226">
        <f t="shared" ref="E33:H33" si="21">E32/D32-1</f>
        <v>0.146877452629218</v>
      </c>
      <c r="F33" s="226">
        <f t="shared" si="21"/>
        <v>-0.175188190438948</v>
      </c>
      <c r="G33" s="226">
        <f t="shared" si="21"/>
        <v>0.771245703449093</v>
      </c>
      <c r="H33" s="226">
        <f t="shared" si="21"/>
        <v>-0.592679336188437</v>
      </c>
      <c r="I33" s="226">
        <f>I32/I25-1</f>
        <v>0.0668738720673752</v>
      </c>
      <c r="J33" s="226">
        <f>J32/J25-1</f>
        <v>0.314443173546844</v>
      </c>
      <c r="K33" s="226">
        <f>K32/K25-1</f>
        <v>0.354435038645565</v>
      </c>
      <c r="L33" s="226">
        <f>L32/L25-1</f>
        <v>0.18272921108742</v>
      </c>
      <c r="M33" s="226">
        <f>M32/M25-1</f>
        <v>0.124656026417171</v>
      </c>
      <c r="N33" s="226"/>
    </row>
    <row r="34" ht="14.25" spans="1:15">
      <c r="A34" s="189" t="s">
        <v>69</v>
      </c>
      <c r="B34" s="207">
        <f>B32/B25-1</f>
        <v>2.39041578576462</v>
      </c>
      <c r="C34" s="207">
        <f>C32/C25-1</f>
        <v>-0.0120692162280064</v>
      </c>
      <c r="D34" s="207">
        <f>D32/D25-1</f>
        <v>-0.494616953762466</v>
      </c>
      <c r="E34" s="207">
        <f>E32/E25-1</f>
        <v>0.251406899926597</v>
      </c>
      <c r="F34" s="207">
        <f t="shared" ref="F34:H34" si="22">F32/F25-1</f>
        <v>-0.288916982722292</v>
      </c>
      <c r="G34" s="207">
        <f t="shared" si="22"/>
        <v>0.0557400211939245</v>
      </c>
      <c r="H34" s="207">
        <f t="shared" si="22"/>
        <v>-0.0996893950599024</v>
      </c>
      <c r="I34" s="207">
        <f>I32/H32-1</f>
        <v>0.748151798915722</v>
      </c>
      <c r="J34" s="207">
        <f>J32/I32-1</f>
        <v>0.187952260125928</v>
      </c>
      <c r="K34" s="207">
        <f>K32/J32-1</f>
        <v>-0.126651372517997</v>
      </c>
      <c r="L34" s="207">
        <f>L32/K32-1</f>
        <v>0.00489130434782603</v>
      </c>
      <c r="M34" s="207">
        <f t="shared" ref="M34" si="23">M32/L32-1</f>
        <v>0.105191995673337</v>
      </c>
      <c r="N34" s="207">
        <f>N32/N25-1</f>
        <v>0.0258868981840015</v>
      </c>
      <c r="O34" s="207"/>
    </row>
    <row r="35" ht="14.25" spans="1:15">
      <c r="A35" s="219" t="s">
        <v>65</v>
      </c>
      <c r="B35" s="220">
        <v>4717</v>
      </c>
      <c r="C35" s="220">
        <v>6647</v>
      </c>
      <c r="D35" s="220">
        <v>8709</v>
      </c>
      <c r="E35" s="220">
        <v>10051</v>
      </c>
      <c r="F35" s="220">
        <v>7893</v>
      </c>
      <c r="G35" s="220">
        <v>14013</v>
      </c>
      <c r="H35" s="220">
        <v>5934</v>
      </c>
      <c r="I35" s="220">
        <v>10480</v>
      </c>
      <c r="J35" s="220">
        <v>12495</v>
      </c>
      <c r="K35" s="220">
        <v>10862</v>
      </c>
      <c r="L35" s="220">
        <v>10940</v>
      </c>
      <c r="M35" s="220">
        <v>11668</v>
      </c>
      <c r="N35" s="221">
        <f>SUM(B35:M35)</f>
        <v>114409</v>
      </c>
    </row>
    <row r="36" ht="14.25" spans="1:15">
      <c r="A36" s="219" t="s">
        <v>66</v>
      </c>
      <c r="B36" s="220">
        <v>94</v>
      </c>
      <c r="C36" s="220">
        <v>147</v>
      </c>
      <c r="D36" s="220">
        <v>210</v>
      </c>
      <c r="E36" s="220">
        <v>178</v>
      </c>
      <c r="F36" s="220">
        <v>544</v>
      </c>
      <c r="G36" s="220">
        <v>931</v>
      </c>
      <c r="H36" s="220">
        <v>153</v>
      </c>
      <c r="I36" s="220">
        <v>161</v>
      </c>
      <c r="J36" s="220">
        <v>161</v>
      </c>
      <c r="K36" s="220">
        <v>178</v>
      </c>
      <c r="L36" s="220">
        <v>154</v>
      </c>
      <c r="M36" s="220">
        <v>593</v>
      </c>
      <c r="N36" s="221">
        <f>SUM(B36:M36)</f>
        <v>3504</v>
      </c>
    </row>
    <row r="37" ht="14.25" spans="1:15">
      <c r="A37" s="219" t="s">
        <v>67</v>
      </c>
      <c r="B37" s="223">
        <f>B35/B32</f>
        <v>0.980461442527541</v>
      </c>
      <c r="C37" s="223">
        <f t="shared" ref="C37:J37" si="24">C35/C32</f>
        <v>0.978363261701501</v>
      </c>
      <c r="D37" s="223">
        <f t="shared" si="24"/>
        <v>0.976454759502186</v>
      </c>
      <c r="E37" s="223">
        <f t="shared" si="24"/>
        <v>0.982598494476488</v>
      </c>
      <c r="F37" s="223">
        <f t="shared" si="24"/>
        <v>0.93552210501363</v>
      </c>
      <c r="G37" s="223">
        <f t="shared" si="24"/>
        <v>0.937700749464668</v>
      </c>
      <c r="H37" s="223">
        <f t="shared" si="24"/>
        <v>0.97486446525382</v>
      </c>
      <c r="I37" s="223">
        <f t="shared" si="24"/>
        <v>0.984869843059863</v>
      </c>
      <c r="J37" s="223">
        <f t="shared" si="24"/>
        <v>0.988450280832213</v>
      </c>
      <c r="K37" s="223">
        <f t="shared" ref="K37:N37" si="25">K35/K32</f>
        <v>0.983876811594203</v>
      </c>
      <c r="L37" s="223">
        <f t="shared" si="25"/>
        <v>0.986118622678926</v>
      </c>
      <c r="M37" s="223">
        <f t="shared" si="25"/>
        <v>0.951635266291493</v>
      </c>
      <c r="N37" s="223">
        <f t="shared" si="25"/>
        <v>0.970406622673837</v>
      </c>
    </row>
    <row r="38" ht="14.25" spans="1:15">
      <c r="A38" s="219" t="s">
        <v>68</v>
      </c>
      <c r="B38" s="223">
        <f>B36/B32</f>
        <v>0.0195385574724589</v>
      </c>
      <c r="C38" s="223">
        <f t="shared" ref="C38:J38" si="26">C36/C32</f>
        <v>0.0216367382984987</v>
      </c>
      <c r="D38" s="223">
        <f t="shared" si="26"/>
        <v>0.0235452404978137</v>
      </c>
      <c r="E38" s="223">
        <f t="shared" si="26"/>
        <v>0.0174015055235116</v>
      </c>
      <c r="F38" s="223">
        <f t="shared" si="26"/>
        <v>0.0644778949863696</v>
      </c>
      <c r="G38" s="223">
        <f t="shared" si="26"/>
        <v>0.0622992505353319</v>
      </c>
      <c r="H38" s="223">
        <f t="shared" si="26"/>
        <v>0.0251355347461804</v>
      </c>
      <c r="I38" s="223">
        <f t="shared" si="26"/>
        <v>0.0151301569401372</v>
      </c>
      <c r="J38" s="223">
        <f t="shared" si="26"/>
        <v>0.0127363341507792</v>
      </c>
      <c r="K38" s="223">
        <f t="shared" ref="K38:N38" si="27">K36/K32</f>
        <v>0.0161231884057971</v>
      </c>
      <c r="L38" s="223">
        <f t="shared" si="27"/>
        <v>0.0138813773210745</v>
      </c>
      <c r="M38" s="223">
        <f t="shared" si="27"/>
        <v>0.0483647337085066</v>
      </c>
      <c r="N38" s="223">
        <f t="shared" si="27"/>
        <v>0.029720605947514</v>
      </c>
    </row>
    <row r="39" ht="14.25" spans="1:15">
      <c r="A39" s="189">
        <v>2025</v>
      </c>
      <c r="B39" s="221">
        <f>B42+B43</f>
        <v>9049</v>
      </c>
      <c r="C39" s="221">
        <f t="shared" ref="C39:E39" si="28">C42+C43</f>
        <v>8613</v>
      </c>
      <c r="D39" s="221">
        <f t="shared" si="28"/>
        <v>12129</v>
      </c>
      <c r="E39" s="221">
        <f t="shared" si="28"/>
        <v>11042</v>
      </c>
      <c r="F39" s="221"/>
      <c r="G39" s="14"/>
      <c r="H39" s="189"/>
      <c r="I39" s="14"/>
      <c r="J39" s="14"/>
      <c r="K39" s="189"/>
      <c r="L39" s="189"/>
      <c r="M39" s="189"/>
      <c r="N39" s="221">
        <f>SUM(B39:M39)</f>
        <v>40833</v>
      </c>
    </row>
    <row r="40" ht="14.25" spans="1:15">
      <c r="A40" s="189" t="s">
        <v>64</v>
      </c>
      <c r="B40" s="226">
        <f>B39/M32-1</f>
        <v>-0.261968844303075</v>
      </c>
      <c r="C40" s="226">
        <f>C39/B39-1</f>
        <v>-0.0481821195712233</v>
      </c>
      <c r="D40" s="226">
        <f>D39/C39-1</f>
        <v>0.408220132358063</v>
      </c>
      <c r="E40" s="226">
        <f>E39/D39-1</f>
        <v>-0.0896199192019128</v>
      </c>
      <c r="F40" s="226"/>
      <c r="G40" s="226"/>
      <c r="H40" s="226"/>
      <c r="I40" s="226"/>
      <c r="J40" s="226"/>
      <c r="K40" s="226"/>
      <c r="L40" s="226"/>
      <c r="M40" s="226"/>
      <c r="N40" s="226"/>
    </row>
    <row r="41" ht="14.25" spans="1:15">
      <c r="A41" s="189" t="s">
        <v>69</v>
      </c>
      <c r="B41" s="207">
        <f>B39/B32-1</f>
        <v>0.880897942215755</v>
      </c>
      <c r="C41" s="207">
        <f>C39/C32-1</f>
        <v>0.267736237856933</v>
      </c>
      <c r="D41" s="207">
        <f>D39/D32-1</f>
        <v>0.359905819038009</v>
      </c>
      <c r="E41" s="207">
        <f>E39/E32-1</f>
        <v>0.0794799100596344</v>
      </c>
      <c r="F41" s="207"/>
      <c r="G41" s="207"/>
      <c r="H41" s="207"/>
      <c r="I41" s="207"/>
      <c r="J41" s="207"/>
      <c r="K41" s="207"/>
      <c r="L41" s="207"/>
      <c r="M41" s="207"/>
      <c r="N41" s="207">
        <f>N39/N32-1</f>
        <v>-0.653658246959236</v>
      </c>
      <c r="O41" s="207"/>
    </row>
    <row r="42" ht="14.25" spans="1:15">
      <c r="A42" s="219" t="s">
        <v>65</v>
      </c>
      <c r="B42" s="220">
        <v>8954</v>
      </c>
      <c r="C42" s="220">
        <v>8477</v>
      </c>
      <c r="D42" s="227">
        <v>11192</v>
      </c>
      <c r="E42" s="227">
        <v>10942</v>
      </c>
      <c r="F42" s="220"/>
      <c r="G42" s="220"/>
      <c r="H42" s="220"/>
      <c r="I42" s="220"/>
      <c r="J42" s="220"/>
      <c r="K42" s="220"/>
      <c r="L42" s="220"/>
      <c r="M42" s="220"/>
      <c r="N42" s="221">
        <f>SUM(B42:M42)</f>
        <v>39565</v>
      </c>
    </row>
    <row r="43" ht="14.25" spans="1:15">
      <c r="A43" s="219" t="s">
        <v>66</v>
      </c>
      <c r="B43" s="220">
        <v>95</v>
      </c>
      <c r="C43" s="220">
        <v>136</v>
      </c>
      <c r="D43" s="220">
        <v>937</v>
      </c>
      <c r="E43" s="220">
        <v>100</v>
      </c>
      <c r="F43" s="220"/>
      <c r="G43" s="220"/>
      <c r="H43" s="220"/>
      <c r="I43" s="220"/>
      <c r="J43" s="220"/>
      <c r="K43" s="220"/>
      <c r="L43" s="220"/>
      <c r="M43" s="220"/>
      <c r="N43" s="221">
        <f>SUM(B43:M43)</f>
        <v>1268</v>
      </c>
    </row>
    <row r="44" ht="14.25" spans="1:15">
      <c r="A44" s="219" t="s">
        <v>67</v>
      </c>
      <c r="B44" s="223">
        <f>B42/B39</f>
        <v>0.989501602387004</v>
      </c>
      <c r="C44" s="223">
        <f>C42/C39</f>
        <v>0.984209915244398</v>
      </c>
      <c r="D44" s="223">
        <f>D42/D39</f>
        <v>0.922747134965785</v>
      </c>
      <c r="E44" s="223">
        <f>E42/E39</f>
        <v>0.990943669625068</v>
      </c>
      <c r="F44" s="223"/>
      <c r="G44" s="223"/>
      <c r="H44" s="223"/>
      <c r="I44" s="223"/>
      <c r="J44" s="223"/>
      <c r="K44" s="223"/>
      <c r="L44" s="223"/>
      <c r="M44" s="223"/>
      <c r="N44" s="223">
        <f t="shared" ref="N44" si="29">N42/N39</f>
        <v>0.968946685279063</v>
      </c>
    </row>
    <row r="45" ht="14.25" spans="1:15">
      <c r="A45" s="219" t="s">
        <v>68</v>
      </c>
      <c r="B45" s="223">
        <f>B43/B39</f>
        <v>0.0104983976129959</v>
      </c>
      <c r="C45" s="223">
        <f>C43/C39</f>
        <v>0.015790084755602</v>
      </c>
      <c r="D45" s="223">
        <f>D43/D39</f>
        <v>0.0772528650342155</v>
      </c>
      <c r="E45" s="223">
        <f>E43/E39</f>
        <v>0.00905633037493208</v>
      </c>
      <c r="F45" s="223"/>
      <c r="G45" s="223"/>
      <c r="H45" s="223"/>
      <c r="I45" s="223"/>
      <c r="J45" s="223"/>
      <c r="K45" s="223"/>
      <c r="L45" s="223"/>
      <c r="M45" s="223"/>
      <c r="N45" s="223">
        <f t="shared" ref="N45" si="30">N43/N39</f>
        <v>0.0310533147209365</v>
      </c>
    </row>
    <row r="46" ht="14.25" spans="1:15">
      <c r="B46" s="194"/>
      <c r="C46" s="194"/>
      <c r="D46" s="194"/>
      <c r="E46" s="194"/>
    </row>
    <row r="47" ht="14.25" spans="1:15">
      <c r="B47" s="194"/>
      <c r="C47" s="194"/>
      <c r="D47" s="194"/>
      <c r="E47" s="194"/>
    </row>
    <row r="48" ht="14.25" spans="1:15">
      <c r="A48" s="215" t="s">
        <v>80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</row>
    <row r="49" ht="14.25" spans="1:14">
      <c r="A49" s="216"/>
      <c r="B49" s="166" t="s">
        <v>51</v>
      </c>
      <c r="C49" s="166" t="s">
        <v>52</v>
      </c>
      <c r="D49" s="166" t="s">
        <v>53</v>
      </c>
      <c r="E49" s="166" t="s">
        <v>54</v>
      </c>
      <c r="F49" s="166" t="s">
        <v>55</v>
      </c>
      <c r="G49" s="166" t="s">
        <v>56</v>
      </c>
      <c r="H49" s="166" t="s">
        <v>57</v>
      </c>
      <c r="I49" s="166" t="s">
        <v>58</v>
      </c>
      <c r="J49" s="166" t="s">
        <v>59</v>
      </c>
      <c r="K49" s="166" t="s">
        <v>60</v>
      </c>
      <c r="L49" s="166" t="s">
        <v>61</v>
      </c>
      <c r="M49" s="166" t="s">
        <v>62</v>
      </c>
      <c r="N49" s="189" t="s">
        <v>63</v>
      </c>
    </row>
    <row r="50" ht="14.25" spans="1:14">
      <c r="A50" s="216">
        <v>2021</v>
      </c>
      <c r="B50" s="195">
        <v>10301</v>
      </c>
      <c r="C50" s="195">
        <v>10687</v>
      </c>
      <c r="D50" s="195">
        <v>15321</v>
      </c>
      <c r="E50" s="195">
        <v>13166</v>
      </c>
      <c r="F50" s="195">
        <v>14063</v>
      </c>
      <c r="G50" s="195">
        <v>20392</v>
      </c>
      <c r="H50" s="195">
        <v>10507</v>
      </c>
      <c r="I50" s="195">
        <v>16427</v>
      </c>
      <c r="J50" s="195">
        <v>17992</v>
      </c>
      <c r="K50" s="195">
        <v>11579</v>
      </c>
      <c r="L50" s="195">
        <v>15274</v>
      </c>
      <c r="M50" s="195">
        <v>20567</v>
      </c>
      <c r="N50" s="221">
        <f>SUM(B50:M50)</f>
        <v>176276</v>
      </c>
    </row>
    <row r="51" ht="14.25" spans="1:14">
      <c r="A51" s="189">
        <v>2022</v>
      </c>
      <c r="B51" s="195">
        <v>7957</v>
      </c>
      <c r="C51" s="195">
        <v>8147</v>
      </c>
      <c r="D51" s="195">
        <v>16238</v>
      </c>
      <c r="E51" s="195">
        <v>9725</v>
      </c>
      <c r="F51" s="189">
        <v>11537</v>
      </c>
      <c r="G51" s="195">
        <v>14901</v>
      </c>
      <c r="H51" s="195">
        <v>7247</v>
      </c>
      <c r="I51" s="195">
        <v>12363</v>
      </c>
      <c r="J51" s="195">
        <v>14646</v>
      </c>
      <c r="K51" s="195">
        <v>12558</v>
      </c>
      <c r="L51" s="195">
        <v>19513</v>
      </c>
      <c r="M51" s="195">
        <v>39497</v>
      </c>
      <c r="N51" s="221">
        <f>SUM(B51:M51)</f>
        <v>174329</v>
      </c>
    </row>
    <row r="52" ht="14.25" spans="1:14">
      <c r="A52" s="189">
        <v>2023</v>
      </c>
      <c r="B52" s="195">
        <v>1860</v>
      </c>
      <c r="C52" s="195">
        <v>7439</v>
      </c>
      <c r="D52" s="189">
        <v>19366</v>
      </c>
      <c r="E52" s="189">
        <v>8976</v>
      </c>
      <c r="F52" s="189">
        <v>13342</v>
      </c>
      <c r="G52" s="189">
        <v>15566</v>
      </c>
      <c r="H52" s="189">
        <v>7525</v>
      </c>
      <c r="I52" s="189">
        <v>11083</v>
      </c>
      <c r="J52" s="189">
        <v>10342</v>
      </c>
      <c r="K52" s="189">
        <v>8925</v>
      </c>
      <c r="L52" s="189">
        <v>10348</v>
      </c>
      <c r="M52" s="189">
        <v>12183</v>
      </c>
      <c r="N52" s="221">
        <f>SUM(B52:M52)</f>
        <v>126955</v>
      </c>
    </row>
    <row r="53" ht="14.25" spans="1:14">
      <c r="A53" s="189">
        <v>2024</v>
      </c>
      <c r="B53" s="194">
        <v>5122</v>
      </c>
      <c r="C53" s="194">
        <v>7380</v>
      </c>
      <c r="D53" s="194">
        <v>9750</v>
      </c>
      <c r="E53" s="194">
        <v>11241</v>
      </c>
      <c r="F53" s="189">
        <v>10253</v>
      </c>
      <c r="G53" s="189">
        <v>17512</v>
      </c>
      <c r="H53" s="189">
        <v>6456</v>
      </c>
      <c r="I53" s="189">
        <v>11114</v>
      </c>
      <c r="J53" s="189">
        <v>12966</v>
      </c>
      <c r="K53" s="189">
        <v>11552</v>
      </c>
      <c r="L53" s="189">
        <v>11689</v>
      </c>
      <c r="M53" s="189">
        <v>13652</v>
      </c>
      <c r="N53" s="221">
        <f>SUM(B53:M53)</f>
        <v>128687</v>
      </c>
    </row>
    <row r="54" ht="14.25" spans="1:14">
      <c r="A54" s="189" t="s">
        <v>69</v>
      </c>
      <c r="B54" s="226">
        <f>B53/B52-1</f>
        <v>1.75376344086022</v>
      </c>
      <c r="C54" s="226">
        <f>C53/C52-1</f>
        <v>-0.0079311735448313</v>
      </c>
      <c r="D54" s="226">
        <f>D53/D52-1</f>
        <v>-0.496540328410617</v>
      </c>
      <c r="E54" s="226">
        <f t="shared" ref="E54:N54" si="31">E53/E52-1</f>
        <v>0.252339572192513</v>
      </c>
      <c r="F54" s="226">
        <f t="shared" si="31"/>
        <v>-0.231524509069105</v>
      </c>
      <c r="G54" s="226">
        <f t="shared" si="31"/>
        <v>0.125016060644995</v>
      </c>
      <c r="H54" s="226">
        <f t="shared" si="31"/>
        <v>-0.142059800664452</v>
      </c>
      <c r="I54" s="226">
        <f t="shared" si="31"/>
        <v>0.00279707660380768</v>
      </c>
      <c r="J54" s="226">
        <f t="shared" si="31"/>
        <v>0.253722684200348</v>
      </c>
      <c r="K54" s="226">
        <f t="shared" si="31"/>
        <v>0.294341736694678</v>
      </c>
      <c r="L54" s="226">
        <f t="shared" si="31"/>
        <v>0.129590258987244</v>
      </c>
      <c r="M54" s="226">
        <f t="shared" si="31"/>
        <v>0.120577854387261</v>
      </c>
      <c r="N54" s="226">
        <f t="shared" si="31"/>
        <v>0.0136426292780907</v>
      </c>
    </row>
    <row r="55" ht="14.25" spans="1:14">
      <c r="A55" s="189">
        <v>2025</v>
      </c>
      <c r="B55" s="194">
        <v>9343</v>
      </c>
      <c r="C55" s="194">
        <v>8949</v>
      </c>
      <c r="D55" s="194">
        <v>13304</v>
      </c>
      <c r="E55" s="194">
        <v>11286</v>
      </c>
      <c r="F55" s="189"/>
      <c r="G55" s="189"/>
      <c r="H55" s="189"/>
      <c r="I55" s="189"/>
      <c r="J55" s="189"/>
      <c r="K55" s="189"/>
      <c r="L55" s="189"/>
      <c r="M55" s="189"/>
      <c r="N55" s="221">
        <f>SUM(B55:M55)</f>
        <v>42882</v>
      </c>
    </row>
    <row r="56" ht="14.25" spans="1:14">
      <c r="A56" s="189" t="s">
        <v>69</v>
      </c>
      <c r="B56" s="226">
        <f>B55/B53-1</f>
        <v>0.824092151503319</v>
      </c>
      <c r="C56" s="226">
        <f>C55/C53-1</f>
        <v>0.21260162601626</v>
      </c>
      <c r="D56" s="226">
        <f>D55/D53-1</f>
        <v>0.364512820512821</v>
      </c>
      <c r="E56" s="226">
        <f>E55/E53-1</f>
        <v>0.00400320256204956</v>
      </c>
      <c r="F56" s="226"/>
      <c r="G56" s="226"/>
      <c r="H56" s="226"/>
      <c r="I56" s="226"/>
      <c r="J56" s="226"/>
      <c r="K56" s="226"/>
      <c r="L56" s="226"/>
      <c r="M56" s="226"/>
      <c r="N56" s="226"/>
    </row>
    <row r="57" ht="14.25" spans="1:14">
      <c r="B57" s="194"/>
      <c r="C57" s="194"/>
      <c r="D57" s="194"/>
      <c r="E57" s="194"/>
    </row>
    <row r="58" ht="14.25" spans="1:14">
      <c r="A58" s="215" t="s">
        <v>72</v>
      </c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</row>
    <row r="59" ht="14.25" spans="1:14">
      <c r="A59" s="189"/>
      <c r="B59" s="166" t="s">
        <v>51</v>
      </c>
      <c r="C59" s="166" t="s">
        <v>52</v>
      </c>
      <c r="D59" s="166" t="s">
        <v>53</v>
      </c>
      <c r="E59" s="166" t="s">
        <v>54</v>
      </c>
      <c r="F59" s="166" t="s">
        <v>55</v>
      </c>
      <c r="G59" s="166" t="s">
        <v>56</v>
      </c>
      <c r="H59" s="166" t="s">
        <v>57</v>
      </c>
      <c r="I59" s="166" t="s">
        <v>58</v>
      </c>
      <c r="J59" s="166" t="s">
        <v>59</v>
      </c>
      <c r="K59" s="166" t="s">
        <v>60</v>
      </c>
      <c r="L59" s="166" t="s">
        <v>61</v>
      </c>
      <c r="M59" s="166" t="s">
        <v>62</v>
      </c>
      <c r="N59" s="189" t="s">
        <v>63</v>
      </c>
    </row>
    <row r="60" ht="14.25" spans="1:14">
      <c r="A60" s="216">
        <v>2021</v>
      </c>
      <c r="B60" s="217">
        <f t="shared" ref="B60:N60" si="32">B12/B50</f>
        <v>0.808950587321619</v>
      </c>
      <c r="C60" s="217">
        <f t="shared" si="32"/>
        <v>0.790867409001591</v>
      </c>
      <c r="D60" s="217">
        <f t="shared" si="32"/>
        <v>0.848312773317669</v>
      </c>
      <c r="E60" s="217">
        <f t="shared" si="32"/>
        <v>0.800774722770773</v>
      </c>
      <c r="F60" s="217">
        <f t="shared" si="32"/>
        <v>0.833321481902866</v>
      </c>
      <c r="G60" s="217">
        <f t="shared" si="32"/>
        <v>0.849352687328364</v>
      </c>
      <c r="H60" s="217">
        <f t="shared" si="32"/>
        <v>0.846483296849719</v>
      </c>
      <c r="I60" s="217">
        <f t="shared" si="32"/>
        <v>0.876849089912948</v>
      </c>
      <c r="J60" s="217">
        <f t="shared" si="32"/>
        <v>0.913850600266785</v>
      </c>
      <c r="K60" s="217">
        <f t="shared" si="32"/>
        <v>0.89221867173331</v>
      </c>
      <c r="L60" s="217">
        <f t="shared" si="32"/>
        <v>0.911025271703549</v>
      </c>
      <c r="M60" s="217">
        <f t="shared" si="32"/>
        <v>0.899450576165702</v>
      </c>
      <c r="N60" s="217">
        <f t="shared" si="32"/>
        <v>0.756484149855908</v>
      </c>
    </row>
    <row r="61" ht="14.25" spans="1:14">
      <c r="A61" s="189">
        <v>2022</v>
      </c>
      <c r="B61" s="217">
        <f t="shared" ref="B61:N61" si="33">B18/B51</f>
        <v>0.904612291064471</v>
      </c>
      <c r="C61" s="217">
        <f t="shared" si="33"/>
        <v>0.860684914692525</v>
      </c>
      <c r="D61" s="217">
        <f t="shared" si="33"/>
        <v>0.919448207907378</v>
      </c>
      <c r="E61" s="217">
        <f t="shared" si="33"/>
        <v>0.842056555269923</v>
      </c>
      <c r="F61" s="217">
        <f t="shared" si="33"/>
        <v>0.885845540435122</v>
      </c>
      <c r="G61" s="217">
        <f t="shared" si="33"/>
        <v>0.898664519159788</v>
      </c>
      <c r="H61" s="217">
        <f t="shared" si="33"/>
        <v>0.829722643852629</v>
      </c>
      <c r="I61" s="217">
        <f t="shared" si="33"/>
        <v>0.861279624686565</v>
      </c>
      <c r="J61" s="217">
        <f t="shared" si="33"/>
        <v>0.891233101188038</v>
      </c>
      <c r="K61" s="217">
        <f t="shared" si="33"/>
        <v>0.864229972925625</v>
      </c>
      <c r="L61" s="217">
        <f t="shared" si="33"/>
        <v>0.892584430892226</v>
      </c>
      <c r="M61" s="217">
        <f t="shared" si="33"/>
        <v>0.876496949135377</v>
      </c>
      <c r="N61" s="217">
        <f t="shared" si="33"/>
        <v>0.880765678687998</v>
      </c>
    </row>
    <row r="62" ht="14.25" spans="1:14">
      <c r="A62" s="216">
        <v>2023</v>
      </c>
      <c r="B62" s="210">
        <f t="shared" ref="B62:N62" si="34">B25/B52</f>
        <v>0.762903225806452</v>
      </c>
      <c r="C62" s="210">
        <f t="shared" si="34"/>
        <v>0.924452211318726</v>
      </c>
      <c r="D62" s="210">
        <f t="shared" si="34"/>
        <v>0.911287824021481</v>
      </c>
      <c r="E62" s="210">
        <f t="shared" si="34"/>
        <v>0.910650623885918</v>
      </c>
      <c r="F62" s="210">
        <f t="shared" si="34"/>
        <v>0.889296956977964</v>
      </c>
      <c r="G62" s="210">
        <f t="shared" si="34"/>
        <v>0.909353719645381</v>
      </c>
      <c r="H62" s="210">
        <f t="shared" si="34"/>
        <v>0.898471760797342</v>
      </c>
      <c r="I62" s="210">
        <f t="shared" si="34"/>
        <v>0.899936840205721</v>
      </c>
      <c r="J62" s="210">
        <f t="shared" si="34"/>
        <v>0.92989750531812</v>
      </c>
      <c r="K62" s="210">
        <f t="shared" si="34"/>
        <v>0.91327731092437</v>
      </c>
      <c r="L62" s="210">
        <f t="shared" si="34"/>
        <v>0.906455353691535</v>
      </c>
      <c r="M62" s="210">
        <f t="shared" si="34"/>
        <v>0.894853484363457</v>
      </c>
      <c r="N62" s="210">
        <f t="shared" si="34"/>
        <v>0.90522626127368</v>
      </c>
    </row>
    <row r="63" ht="14.25" spans="1:14">
      <c r="A63" s="216">
        <v>2024</v>
      </c>
      <c r="B63" s="210">
        <f>B32/B53</f>
        <v>0.939281530652089</v>
      </c>
      <c r="C63" s="210">
        <f>C32/C53</f>
        <v>0.92059620596206</v>
      </c>
      <c r="D63" s="210">
        <f>D32/D53</f>
        <v>0.914769230769231</v>
      </c>
      <c r="E63" s="210">
        <f t="shared" ref="E63:N64" si="35">E32/E53</f>
        <v>0.90997242238235</v>
      </c>
      <c r="F63" s="210">
        <f t="shared" si="35"/>
        <v>0.8228811079684</v>
      </c>
      <c r="G63" s="210">
        <f t="shared" si="35"/>
        <v>0.853357697578803</v>
      </c>
      <c r="H63" s="210">
        <f t="shared" si="35"/>
        <v>0.942843866171004</v>
      </c>
      <c r="I63" s="210">
        <f t="shared" si="35"/>
        <v>0.957441065323016</v>
      </c>
      <c r="J63" s="210">
        <f t="shared" si="35"/>
        <v>0.974934443930279</v>
      </c>
      <c r="K63" s="210">
        <f t="shared" si="35"/>
        <v>0.955678670360111</v>
      </c>
      <c r="L63" s="210">
        <f t="shared" si="35"/>
        <v>0.949097442039524</v>
      </c>
      <c r="M63" s="210">
        <f t="shared" si="35"/>
        <v>0.898110167008497</v>
      </c>
      <c r="N63" s="210">
        <f t="shared" si="35"/>
        <v>0.916160917575202</v>
      </c>
    </row>
    <row r="64" ht="14.25" spans="1:14">
      <c r="A64" s="216">
        <v>2025</v>
      </c>
      <c r="B64" s="210">
        <f>B39/B55</f>
        <v>0.968532591244782</v>
      </c>
      <c r="C64" s="210">
        <f>C39/C55</f>
        <v>0.962453905464298</v>
      </c>
      <c r="D64" s="210">
        <f>D39/D55</f>
        <v>0.911680697534576</v>
      </c>
      <c r="E64" s="210">
        <f>E39/E55</f>
        <v>0.978380294169768</v>
      </c>
      <c r="F64" s="210"/>
      <c r="G64" s="210"/>
      <c r="H64" s="210"/>
      <c r="I64" s="210"/>
      <c r="J64" s="210"/>
      <c r="K64" s="210"/>
      <c r="L64" s="210"/>
      <c r="M64" s="210"/>
      <c r="N64" s="210">
        <f t="shared" si="35"/>
        <v>0</v>
      </c>
    </row>
  </sheetData>
  <hyperlinks>
    <hyperlink ref="A1" r:id="rId1" display="2024年5月汽车销量 |道路交通信息委员会 (ofv.no)"/>
  </hyperlink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2"/>
  <sheetViews>
    <sheetView zoomScale="126" zoomScaleNormal="126" topLeftCell="D37" workbookViewId="0">
      <selection activeCell="E39" sqref="E39"/>
    </sheetView>
  </sheetViews>
  <sheetFormatPr defaultColWidth="9.875" defaultRowHeight="13.5"/>
  <cols>
    <col min="1" max="1" width="24.25" customWidth="1"/>
    <col min="2" max="2" width="12"/>
    <col min="3" max="3" width="11.5" customWidth="1"/>
    <col min="4" max="4" width="10.5" customWidth="1"/>
    <col min="7" max="7" width="14"/>
    <col min="8" max="8" width="12.875"/>
    <col min="9" max="9" width="14"/>
    <col min="14" max="14" width="10.375"/>
    <col min="18" max="18" width="13.75"/>
    <col min="19" max="19" width="12.625"/>
  </cols>
  <sheetData>
    <row r="1" ht="14.25" spans="1:16">
      <c r="A1" s="205" t="s">
        <v>81</v>
      </c>
      <c r="B1" s="195" t="s">
        <v>33</v>
      </c>
      <c r="C1" s="195" t="s">
        <v>34</v>
      </c>
      <c r="D1" s="195" t="s">
        <v>35</v>
      </c>
      <c r="E1" s="195" t="s">
        <v>36</v>
      </c>
      <c r="F1" s="195" t="s">
        <v>37</v>
      </c>
      <c r="G1" s="195" t="s">
        <v>38</v>
      </c>
      <c r="H1" s="195" t="s">
        <v>39</v>
      </c>
      <c r="I1" s="194" t="s">
        <v>40</v>
      </c>
      <c r="J1" s="195" t="s">
        <v>41</v>
      </c>
      <c r="K1" s="194" t="s">
        <v>42</v>
      </c>
      <c r="L1" s="194" t="s">
        <v>43</v>
      </c>
      <c r="M1" s="194" t="s">
        <v>44</v>
      </c>
      <c r="N1" s="194" t="s">
        <v>75</v>
      </c>
      <c r="O1" s="194" t="s">
        <v>45</v>
      </c>
      <c r="P1" s="194">
        <v>2024</v>
      </c>
    </row>
    <row r="2" ht="14.25" spans="1:16">
      <c r="A2" s="205" t="s">
        <v>82</v>
      </c>
      <c r="B2" s="206"/>
      <c r="C2" s="206"/>
      <c r="D2" s="206"/>
      <c r="E2" s="206"/>
      <c r="F2" s="206"/>
      <c r="G2" s="206"/>
      <c r="H2" s="206">
        <v>17.2262</v>
      </c>
      <c r="I2" s="194">
        <v>14.0974</v>
      </c>
      <c r="J2" s="206">
        <v>32.478</v>
      </c>
      <c r="K2" s="206">
        <v>16.6782</v>
      </c>
      <c r="L2" s="206">
        <v>36.8888</v>
      </c>
      <c r="M2" s="206">
        <v>21.5119</v>
      </c>
      <c r="N2" s="213">
        <v>45.5994</v>
      </c>
      <c r="O2" s="206">
        <f>SUM(B31:G31)/10000</f>
        <v>24.8618</v>
      </c>
      <c r="P2" s="213">
        <f>549148/10000</f>
        <v>54.9148</v>
      </c>
    </row>
    <row r="3" ht="14.25" spans="1:16">
      <c r="A3" s="205" t="s">
        <v>29</v>
      </c>
      <c r="B3" s="207"/>
      <c r="C3" s="208"/>
      <c r="D3" s="208"/>
      <c r="E3" s="208"/>
      <c r="F3" s="208"/>
      <c r="G3" s="208"/>
      <c r="H3" s="208"/>
      <c r="I3" s="21"/>
      <c r="J3" s="208">
        <f t="shared" ref="J3:P3" si="0">(J2-H2)/H2</f>
        <v>0.885383891978498</v>
      </c>
      <c r="K3" s="209">
        <f t="shared" si="0"/>
        <v>0.183069218437442</v>
      </c>
      <c r="L3" s="210">
        <f t="shared" si="0"/>
        <v>0.135808855225075</v>
      </c>
      <c r="M3" s="210">
        <f t="shared" si="0"/>
        <v>0.289821443561056</v>
      </c>
      <c r="N3" s="210">
        <f t="shared" si="0"/>
        <v>0.236131291882631</v>
      </c>
      <c r="O3" s="210">
        <f t="shared" si="0"/>
        <v>0.155723111394158</v>
      </c>
      <c r="P3" s="210">
        <f t="shared" si="0"/>
        <v>0.204287775716347</v>
      </c>
    </row>
    <row r="4" ht="14.25" spans="1:16">
      <c r="A4" s="211" t="s">
        <v>83</v>
      </c>
      <c r="B4" s="212"/>
      <c r="C4" s="10"/>
      <c r="D4" s="10"/>
      <c r="E4" s="10"/>
      <c r="F4" s="10"/>
      <c r="G4" s="10"/>
      <c r="H4" s="10">
        <v>163.1064</v>
      </c>
      <c r="I4" s="213">
        <v>90.9973</v>
      </c>
      <c r="J4" s="10">
        <v>164.7181</v>
      </c>
      <c r="K4" s="213">
        <v>80.2069</v>
      </c>
      <c r="L4" s="10">
        <v>161.4152</v>
      </c>
      <c r="M4" s="10">
        <v>94.972</v>
      </c>
      <c r="N4" s="10">
        <v>189.4644</v>
      </c>
      <c r="O4" s="10">
        <f>SUM(B51:G51)/10000</f>
        <v>100.6763</v>
      </c>
      <c r="P4" s="10">
        <v>281.7259</v>
      </c>
    </row>
    <row r="5" ht="14.25" spans="1:16">
      <c r="A5" s="205" t="s">
        <v>84</v>
      </c>
      <c r="B5" s="214"/>
      <c r="C5" s="208"/>
      <c r="D5" s="208"/>
      <c r="E5" s="208"/>
      <c r="F5" s="208"/>
      <c r="G5" s="208"/>
      <c r="H5" s="208">
        <f>H2/H4</f>
        <v>0.105613268394128</v>
      </c>
      <c r="I5" s="208">
        <f>I2/J4</f>
        <v>0.0855850085691858</v>
      </c>
      <c r="J5" s="208">
        <f>J2/J4</f>
        <v>0.197173231114249</v>
      </c>
      <c r="K5" s="208">
        <f>K2/K4</f>
        <v>0.207939715909728</v>
      </c>
      <c r="L5" s="208">
        <f>L2/L4</f>
        <v>0.228533620129951</v>
      </c>
      <c r="M5" s="208">
        <f>M2/M4</f>
        <v>0.226507812829044</v>
      </c>
      <c r="N5" s="208">
        <f>N2/N4</f>
        <v>0.240675293089361</v>
      </c>
      <c r="O5" s="208">
        <f t="shared" ref="O5:P5" si="1">O2/O4</f>
        <v>0.246947891410392</v>
      </c>
      <c r="P5" s="208">
        <f t="shared" si="1"/>
        <v>0.194922795525722</v>
      </c>
    </row>
    <row r="6" spans="1:16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6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ht="14.25" spans="1:16">
      <c r="A8" s="189" t="s">
        <v>49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</row>
    <row r="9" ht="14.25" spans="1:16">
      <c r="A9" s="215" t="s">
        <v>85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89"/>
    </row>
    <row r="10" ht="14.25" spans="1:16">
      <c r="A10" s="216"/>
      <c r="B10" s="166" t="s">
        <v>51</v>
      </c>
      <c r="C10" s="166" t="s">
        <v>52</v>
      </c>
      <c r="D10" s="166" t="s">
        <v>53</v>
      </c>
      <c r="E10" s="166" t="s">
        <v>54</v>
      </c>
      <c r="F10" s="166" t="s">
        <v>55</v>
      </c>
      <c r="G10" s="166" t="s">
        <v>56</v>
      </c>
      <c r="H10" s="166" t="s">
        <v>57</v>
      </c>
      <c r="I10" s="166" t="s">
        <v>58</v>
      </c>
      <c r="J10" s="166" t="s">
        <v>59</v>
      </c>
      <c r="K10" s="166" t="s">
        <v>60</v>
      </c>
      <c r="L10" s="166" t="s">
        <v>61</v>
      </c>
      <c r="M10" s="166" t="s">
        <v>62</v>
      </c>
      <c r="N10" s="189" t="s">
        <v>63</v>
      </c>
    </row>
    <row r="11" ht="14.25" spans="1:16">
      <c r="A11" s="189">
        <v>2021</v>
      </c>
      <c r="B11" s="195">
        <f t="shared" ref="B11:M11" si="2">B13+B14</f>
        <v>13101</v>
      </c>
      <c r="C11" s="195">
        <f t="shared" si="2"/>
        <v>7180</v>
      </c>
      <c r="D11" s="195">
        <f t="shared" si="2"/>
        <v>42010</v>
      </c>
      <c r="E11" s="195">
        <f t="shared" si="2"/>
        <v>19770</v>
      </c>
      <c r="F11" s="195">
        <f t="shared" si="2"/>
        <v>24326</v>
      </c>
      <c r="G11" s="195">
        <f t="shared" si="2"/>
        <v>34581</v>
      </c>
      <c r="H11" s="195">
        <f t="shared" si="2"/>
        <v>22680</v>
      </c>
      <c r="I11" s="195">
        <f t="shared" si="2"/>
        <v>14220</v>
      </c>
      <c r="J11" s="195">
        <f t="shared" si="2"/>
        <v>49251</v>
      </c>
      <c r="K11" s="195">
        <f t="shared" si="2"/>
        <v>26209</v>
      </c>
      <c r="L11" s="195">
        <f t="shared" si="2"/>
        <v>35401</v>
      </c>
      <c r="M11" s="195">
        <f t="shared" si="2"/>
        <v>36041</v>
      </c>
      <c r="N11" s="195">
        <f>SUM(B11:L11)</f>
        <v>288729</v>
      </c>
    </row>
    <row r="12" ht="14.25" spans="1:16">
      <c r="A12" s="189" t="s">
        <v>64</v>
      </c>
      <c r="B12" s="189"/>
      <c r="C12" s="217">
        <f t="shared" ref="C12:M12" si="3">C11/B11-1</f>
        <v>-0.451950232806656</v>
      </c>
      <c r="D12" s="217">
        <f t="shared" si="3"/>
        <v>4.85097493036212</v>
      </c>
      <c r="E12" s="217">
        <f t="shared" si="3"/>
        <v>-0.529397762437515</v>
      </c>
      <c r="F12" s="217">
        <f t="shared" si="3"/>
        <v>0.230450177035913</v>
      </c>
      <c r="G12" s="217">
        <f t="shared" si="3"/>
        <v>0.421565403272219</v>
      </c>
      <c r="H12" s="217">
        <f t="shared" si="3"/>
        <v>-0.344148520864058</v>
      </c>
      <c r="I12" s="217">
        <f t="shared" si="3"/>
        <v>-0.373015873015873</v>
      </c>
      <c r="J12" s="217">
        <f t="shared" si="3"/>
        <v>2.46350210970464</v>
      </c>
      <c r="K12" s="217">
        <f t="shared" si="3"/>
        <v>-0.467848368561044</v>
      </c>
      <c r="L12" s="217">
        <f t="shared" si="3"/>
        <v>0.350719218589034</v>
      </c>
      <c r="M12" s="217">
        <f t="shared" si="3"/>
        <v>0.0180785853506964</v>
      </c>
      <c r="N12" s="218"/>
    </row>
    <row r="13" ht="14.25" spans="1:16">
      <c r="A13" s="219" t="s">
        <v>65</v>
      </c>
      <c r="B13" s="220">
        <v>6693</v>
      </c>
      <c r="C13" s="220">
        <v>3811</v>
      </c>
      <c r="D13" s="220">
        <v>23276</v>
      </c>
      <c r="E13" s="220">
        <v>9743</v>
      </c>
      <c r="F13" s="220">
        <v>13574</v>
      </c>
      <c r="G13" s="220">
        <v>20859</v>
      </c>
      <c r="H13" s="220">
        <v>11355</v>
      </c>
      <c r="I13" s="220">
        <v>7973</v>
      </c>
      <c r="J13" s="220">
        <v>33253</v>
      </c>
      <c r="K13" s="220">
        <v>17080</v>
      </c>
      <c r="L13" s="220">
        <v>22857</v>
      </c>
      <c r="M13" s="220">
        <v>27705</v>
      </c>
      <c r="N13" s="221">
        <f>SUM(B13:M13)</f>
        <v>198179</v>
      </c>
    </row>
    <row r="14" ht="14.25" spans="1:16">
      <c r="A14" s="219" t="s">
        <v>66</v>
      </c>
      <c r="B14" s="220">
        <v>6408</v>
      </c>
      <c r="C14" s="220">
        <v>3369</v>
      </c>
      <c r="D14" s="220">
        <v>18734</v>
      </c>
      <c r="E14" s="220">
        <v>10027</v>
      </c>
      <c r="F14" s="220">
        <v>10752</v>
      </c>
      <c r="G14" s="220">
        <v>13722</v>
      </c>
      <c r="H14" s="220">
        <v>11325</v>
      </c>
      <c r="I14" s="220">
        <v>6247</v>
      </c>
      <c r="J14" s="220">
        <v>15998</v>
      </c>
      <c r="K14" s="220">
        <v>9129</v>
      </c>
      <c r="L14" s="220">
        <v>12544</v>
      </c>
      <c r="M14" s="220">
        <v>8336</v>
      </c>
      <c r="N14" s="221">
        <f>SUM(B14:M14)</f>
        <v>126591</v>
      </c>
    </row>
    <row r="15" ht="14.25" spans="1:16">
      <c r="A15" s="219" t="s">
        <v>67</v>
      </c>
      <c r="B15" s="222">
        <f t="shared" ref="B15:N15" si="4">B13/B11</f>
        <v>0.510877032287612</v>
      </c>
      <c r="C15" s="222">
        <f t="shared" si="4"/>
        <v>0.530779944289694</v>
      </c>
      <c r="D15" s="222">
        <f t="shared" si="4"/>
        <v>0.554058557486313</v>
      </c>
      <c r="E15" s="222">
        <f t="shared" si="4"/>
        <v>0.492817400101163</v>
      </c>
      <c r="F15" s="222">
        <f t="shared" si="4"/>
        <v>0.558003781961687</v>
      </c>
      <c r="G15" s="222">
        <f t="shared" si="4"/>
        <v>0.603192504554524</v>
      </c>
      <c r="H15" s="222">
        <f t="shared" si="4"/>
        <v>0.500661375661376</v>
      </c>
      <c r="I15" s="222">
        <f t="shared" si="4"/>
        <v>0.560689170182841</v>
      </c>
      <c r="J15" s="222">
        <f t="shared" si="4"/>
        <v>0.675174108139936</v>
      </c>
      <c r="K15" s="222">
        <f t="shared" si="4"/>
        <v>0.651684535846465</v>
      </c>
      <c r="L15" s="222">
        <f t="shared" si="4"/>
        <v>0.645659727126352</v>
      </c>
      <c r="M15" s="222">
        <f t="shared" si="4"/>
        <v>0.768707860492217</v>
      </c>
      <c r="N15" s="207">
        <f t="shared" si="4"/>
        <v>0.686384117979143</v>
      </c>
    </row>
    <row r="16" ht="14.25" spans="1:16">
      <c r="A16" s="219" t="s">
        <v>68</v>
      </c>
      <c r="B16" s="222">
        <f t="shared" ref="B16:N16" si="5">B14/B11</f>
        <v>0.489122967712388</v>
      </c>
      <c r="C16" s="222">
        <f t="shared" si="5"/>
        <v>0.469220055710306</v>
      </c>
      <c r="D16" s="222">
        <f t="shared" si="5"/>
        <v>0.445941442513687</v>
      </c>
      <c r="E16" s="222">
        <f t="shared" si="5"/>
        <v>0.507182599898837</v>
      </c>
      <c r="F16" s="222">
        <f t="shared" si="5"/>
        <v>0.441996218038313</v>
      </c>
      <c r="G16" s="222">
        <f t="shared" si="5"/>
        <v>0.396807495445476</v>
      </c>
      <c r="H16" s="222">
        <f t="shared" si="5"/>
        <v>0.499338624338624</v>
      </c>
      <c r="I16" s="222">
        <f t="shared" si="5"/>
        <v>0.439310829817159</v>
      </c>
      <c r="J16" s="222">
        <f t="shared" si="5"/>
        <v>0.324825891860064</v>
      </c>
      <c r="K16" s="222">
        <f t="shared" si="5"/>
        <v>0.348315464153535</v>
      </c>
      <c r="L16" s="222">
        <f t="shared" si="5"/>
        <v>0.354340272873648</v>
      </c>
      <c r="M16" s="222">
        <f t="shared" si="5"/>
        <v>0.231292139507783</v>
      </c>
      <c r="N16" s="207">
        <f t="shared" si="5"/>
        <v>0.438442276321395</v>
      </c>
    </row>
    <row r="17" ht="14.25" spans="1:15">
      <c r="A17" s="189">
        <v>2022</v>
      </c>
      <c r="B17" s="195">
        <f t="shared" ref="B17:N17" si="6">B20+B21</f>
        <v>23480</v>
      </c>
      <c r="C17" s="195">
        <f t="shared" si="6"/>
        <v>15094</v>
      </c>
      <c r="D17" s="195">
        <f t="shared" si="6"/>
        <v>55622</v>
      </c>
      <c r="E17" s="195">
        <f t="shared" si="6"/>
        <v>19348</v>
      </c>
      <c r="F17" s="195">
        <f t="shared" si="6"/>
        <v>22787</v>
      </c>
      <c r="G17" s="195">
        <f t="shared" si="6"/>
        <v>30451</v>
      </c>
      <c r="H17" s="195">
        <f t="shared" si="6"/>
        <v>18776</v>
      </c>
      <c r="I17" s="195">
        <f t="shared" si="6"/>
        <v>13890</v>
      </c>
      <c r="J17" s="195">
        <f t="shared" si="6"/>
        <v>50397</v>
      </c>
      <c r="K17" s="195">
        <f t="shared" si="6"/>
        <v>28832</v>
      </c>
      <c r="L17" s="195">
        <f t="shared" si="6"/>
        <v>39558</v>
      </c>
      <c r="M17" s="195">
        <f t="shared" si="6"/>
        <v>50653</v>
      </c>
      <c r="N17" s="195">
        <f t="shared" si="6"/>
        <v>368888</v>
      </c>
      <c r="O17" s="151">
        <f>SUM(B17:K17)</f>
        <v>278677</v>
      </c>
    </row>
    <row r="18" ht="14.25" spans="1:15">
      <c r="A18" s="189" t="s">
        <v>64</v>
      </c>
      <c r="B18" s="217"/>
      <c r="C18" s="217">
        <f t="shared" ref="C18:M18" si="7">C17/B17-1</f>
        <v>-0.357155025553663</v>
      </c>
      <c r="D18" s="217">
        <f t="shared" si="7"/>
        <v>2.6850404134093</v>
      </c>
      <c r="E18" s="217">
        <f t="shared" si="7"/>
        <v>-0.652152026176693</v>
      </c>
      <c r="F18" s="217">
        <f t="shared" si="7"/>
        <v>0.177744469712632</v>
      </c>
      <c r="G18" s="217">
        <f t="shared" si="7"/>
        <v>0.336332119190767</v>
      </c>
      <c r="H18" s="217">
        <f t="shared" si="7"/>
        <v>-0.383402843913172</v>
      </c>
      <c r="I18" s="217">
        <f t="shared" si="7"/>
        <v>-0.260225820195995</v>
      </c>
      <c r="J18" s="217">
        <f t="shared" si="7"/>
        <v>2.62829373650108</v>
      </c>
      <c r="K18" s="217">
        <f t="shared" si="7"/>
        <v>-0.427902454511181</v>
      </c>
      <c r="L18" s="217">
        <f t="shared" si="7"/>
        <v>0.372017203107658</v>
      </c>
      <c r="M18" s="217">
        <f t="shared" si="7"/>
        <v>0.280474240355933</v>
      </c>
      <c r="N18" s="189"/>
    </row>
    <row r="19" ht="14.25" spans="1:15">
      <c r="A19" s="189" t="s">
        <v>69</v>
      </c>
      <c r="B19" s="217">
        <f t="shared" ref="B19:N19" si="8">(B17-B11)/B11</f>
        <v>0.792229600793833</v>
      </c>
      <c r="C19" s="217">
        <f t="shared" si="8"/>
        <v>1.10222841225627</v>
      </c>
      <c r="D19" s="217">
        <f t="shared" si="8"/>
        <v>0.324018090930731</v>
      </c>
      <c r="E19" s="217">
        <f t="shared" si="8"/>
        <v>-0.0213454729387962</v>
      </c>
      <c r="F19" s="217">
        <f t="shared" si="8"/>
        <v>-0.0632656417002384</v>
      </c>
      <c r="G19" s="217">
        <f t="shared" si="8"/>
        <v>-0.119429744657471</v>
      </c>
      <c r="H19" s="217">
        <f t="shared" si="8"/>
        <v>-0.172134038800705</v>
      </c>
      <c r="I19" s="217">
        <f t="shared" si="8"/>
        <v>-0.0232067510548523</v>
      </c>
      <c r="J19" s="217">
        <f t="shared" si="8"/>
        <v>0.0232685630748614</v>
      </c>
      <c r="K19" s="217">
        <f t="shared" si="8"/>
        <v>0.10008012514785</v>
      </c>
      <c r="L19" s="217">
        <f t="shared" si="8"/>
        <v>0.117426061410695</v>
      </c>
      <c r="M19" s="217">
        <f t="shared" si="8"/>
        <v>0.405427152409756</v>
      </c>
      <c r="N19" s="217">
        <f t="shared" si="8"/>
        <v>0.277627117470015</v>
      </c>
    </row>
    <row r="20" ht="14.25" spans="1:15">
      <c r="A20" s="219" t="s">
        <v>65</v>
      </c>
      <c r="B20" s="220">
        <v>14433</v>
      </c>
      <c r="C20" s="220">
        <v>10417</v>
      </c>
      <c r="D20" s="220">
        <v>39315</v>
      </c>
      <c r="E20" s="220">
        <v>12899</v>
      </c>
      <c r="F20" s="219">
        <v>15448</v>
      </c>
      <c r="G20" s="220">
        <v>22737</v>
      </c>
      <c r="H20" s="220">
        <v>12243</v>
      </c>
      <c r="I20" s="220">
        <v>10006</v>
      </c>
      <c r="J20" s="220">
        <v>38116</v>
      </c>
      <c r="K20" s="220">
        <v>19933</v>
      </c>
      <c r="L20" s="220">
        <v>29372</v>
      </c>
      <c r="M20" s="220">
        <v>42286</v>
      </c>
      <c r="N20" s="221">
        <f>SUM(B20:M20)</f>
        <v>267205</v>
      </c>
    </row>
    <row r="21" ht="14.25" spans="1:15">
      <c r="A21" s="219" t="s">
        <v>66</v>
      </c>
      <c r="B21" s="220">
        <v>9047</v>
      </c>
      <c r="C21" s="220">
        <v>4677</v>
      </c>
      <c r="D21" s="220">
        <v>16307</v>
      </c>
      <c r="E21" s="220">
        <v>6449</v>
      </c>
      <c r="F21" s="219">
        <v>7339</v>
      </c>
      <c r="G21" s="220">
        <v>7714</v>
      </c>
      <c r="H21" s="220">
        <v>6533</v>
      </c>
      <c r="I21" s="220">
        <v>3884</v>
      </c>
      <c r="J21" s="220">
        <v>12281</v>
      </c>
      <c r="K21" s="220">
        <v>8899</v>
      </c>
      <c r="L21" s="220">
        <v>10186</v>
      </c>
      <c r="M21" s="220">
        <v>8367</v>
      </c>
      <c r="N21" s="221">
        <f>SUM(B21:M21)</f>
        <v>101683</v>
      </c>
    </row>
    <row r="22" ht="14.25" spans="1:15">
      <c r="A22" s="219" t="s">
        <v>67</v>
      </c>
      <c r="B22" s="223">
        <f t="shared" ref="B22:N22" si="9">B20/B17</f>
        <v>0.6146933560477</v>
      </c>
      <c r="C22" s="223">
        <f t="shared" si="9"/>
        <v>0.690141778190009</v>
      </c>
      <c r="D22" s="223">
        <f t="shared" si="9"/>
        <v>0.706824637733271</v>
      </c>
      <c r="E22" s="223">
        <f t="shared" si="9"/>
        <v>0.666683894976225</v>
      </c>
      <c r="F22" s="223">
        <f t="shared" si="9"/>
        <v>0.67793039891166</v>
      </c>
      <c r="G22" s="223">
        <f t="shared" si="9"/>
        <v>0.746674986043151</v>
      </c>
      <c r="H22" s="223">
        <f t="shared" si="9"/>
        <v>0.652055815935236</v>
      </c>
      <c r="I22" s="223">
        <f t="shared" si="9"/>
        <v>0.720374370050396</v>
      </c>
      <c r="J22" s="223">
        <f t="shared" si="9"/>
        <v>0.756314860011509</v>
      </c>
      <c r="K22" s="223">
        <f t="shared" si="9"/>
        <v>0.691349889012209</v>
      </c>
      <c r="L22" s="223">
        <f t="shared" si="9"/>
        <v>0.742504676677284</v>
      </c>
      <c r="M22" s="223">
        <f t="shared" si="9"/>
        <v>0.834817286241684</v>
      </c>
      <c r="N22" s="217">
        <f t="shared" si="9"/>
        <v>0.724352649042528</v>
      </c>
    </row>
    <row r="23" ht="14.25" spans="1:15">
      <c r="A23" s="219" t="s">
        <v>68</v>
      </c>
      <c r="B23" s="224">
        <f t="shared" ref="B23:N23" si="10">B21/B17</f>
        <v>0.3853066439523</v>
      </c>
      <c r="C23" s="224">
        <f t="shared" si="10"/>
        <v>0.309858221809991</v>
      </c>
      <c r="D23" s="224">
        <f t="shared" si="10"/>
        <v>0.293175362266729</v>
      </c>
      <c r="E23" s="224">
        <f t="shared" si="10"/>
        <v>0.333316105023775</v>
      </c>
      <c r="F23" s="224">
        <f t="shared" si="10"/>
        <v>0.32206960108834</v>
      </c>
      <c r="G23" s="224">
        <f t="shared" si="10"/>
        <v>0.253325013956849</v>
      </c>
      <c r="H23" s="224">
        <f t="shared" si="10"/>
        <v>0.347944184064764</v>
      </c>
      <c r="I23" s="224">
        <f t="shared" si="10"/>
        <v>0.279625629949604</v>
      </c>
      <c r="J23" s="224">
        <f t="shared" si="10"/>
        <v>0.243685139988491</v>
      </c>
      <c r="K23" s="224">
        <f t="shared" si="10"/>
        <v>0.308650110987791</v>
      </c>
      <c r="L23" s="224">
        <f t="shared" si="10"/>
        <v>0.257495323322716</v>
      </c>
      <c r="M23" s="224">
        <f t="shared" si="10"/>
        <v>0.165182713758316</v>
      </c>
      <c r="N23" s="217">
        <f t="shared" si="10"/>
        <v>0.275647350957472</v>
      </c>
    </row>
    <row r="24" ht="14.25" spans="1:15">
      <c r="A24" s="189">
        <v>2023</v>
      </c>
      <c r="B24" s="221">
        <f>SUM(B27,B28)</f>
        <v>26402</v>
      </c>
      <c r="C24" s="221">
        <f>SUM(C27,C28)</f>
        <v>17033</v>
      </c>
      <c r="D24" s="189">
        <f t="shared" ref="D24:J24" si="11">D27+D28</f>
        <v>64559</v>
      </c>
      <c r="E24" s="189">
        <f t="shared" si="11"/>
        <v>29117</v>
      </c>
      <c r="F24" s="189">
        <f t="shared" si="11"/>
        <v>33538</v>
      </c>
      <c r="G24" s="189">
        <f t="shared" si="11"/>
        <v>44470</v>
      </c>
      <c r="H24" s="189">
        <f t="shared" si="11"/>
        <v>34712</v>
      </c>
      <c r="I24" s="189">
        <f t="shared" si="11"/>
        <v>23844</v>
      </c>
      <c r="J24" s="189">
        <f t="shared" si="11"/>
        <v>63858</v>
      </c>
      <c r="K24" s="189">
        <f t="shared" ref="K24" si="12">K27+K28</f>
        <v>38228</v>
      </c>
      <c r="L24" s="189">
        <v>40230</v>
      </c>
      <c r="M24" s="189">
        <v>40003</v>
      </c>
      <c r="N24" s="221">
        <f t="shared" ref="N24:N28" si="13">SUM(B24:M24)</f>
        <v>455994</v>
      </c>
    </row>
    <row r="25" ht="14.25" spans="1:15">
      <c r="A25" s="189" t="s">
        <v>64</v>
      </c>
      <c r="B25" s="194"/>
      <c r="C25" s="226">
        <f t="shared" ref="C25:M25" si="14">C24/B24-1</f>
        <v>-0.354859480342398</v>
      </c>
      <c r="D25" s="226">
        <f t="shared" si="14"/>
        <v>2.79023072858569</v>
      </c>
      <c r="E25" s="226">
        <f t="shared" si="14"/>
        <v>-0.548986198670983</v>
      </c>
      <c r="F25" s="226">
        <f t="shared" si="14"/>
        <v>0.151835697358931</v>
      </c>
      <c r="G25" s="226">
        <f t="shared" si="14"/>
        <v>0.325958614109368</v>
      </c>
      <c r="H25" s="226">
        <f t="shared" si="14"/>
        <v>-0.219428828423656</v>
      </c>
      <c r="I25" s="226">
        <f t="shared" si="14"/>
        <v>-0.313090573864946</v>
      </c>
      <c r="J25" s="226">
        <f t="shared" si="14"/>
        <v>1.67815802717665</v>
      </c>
      <c r="K25" s="226">
        <f t="shared" si="14"/>
        <v>-0.401359265871152</v>
      </c>
      <c r="L25" s="226">
        <f t="shared" si="14"/>
        <v>0.0523699905828188</v>
      </c>
      <c r="M25" s="226">
        <f t="shared" si="14"/>
        <v>-0.00564255530698488</v>
      </c>
    </row>
    <row r="26" ht="14.25" spans="1:15">
      <c r="A26" s="189" t="s">
        <v>69</v>
      </c>
      <c r="B26" s="207">
        <f t="shared" ref="B26:H26" si="15">(B24-B17)/B17</f>
        <v>0.124446337308348</v>
      </c>
      <c r="C26" s="207">
        <f t="shared" si="15"/>
        <v>0.128461640386909</v>
      </c>
      <c r="D26" s="207">
        <f t="shared" si="15"/>
        <v>0.160673834094423</v>
      </c>
      <c r="E26" s="207">
        <f t="shared" si="15"/>
        <v>0.504910068224106</v>
      </c>
      <c r="F26" s="207">
        <f t="shared" si="15"/>
        <v>0.471804098828279</v>
      </c>
      <c r="G26" s="207">
        <f t="shared" si="15"/>
        <v>0.460378969491971</v>
      </c>
      <c r="H26" s="207">
        <f t="shared" si="15"/>
        <v>0.848743076267576</v>
      </c>
      <c r="I26" s="207">
        <f t="shared" ref="I26:K26" si="16">(I24-I17)/I17</f>
        <v>0.716630669546436</v>
      </c>
      <c r="J26" s="207">
        <f t="shared" si="16"/>
        <v>0.267099232097149</v>
      </c>
      <c r="K26" s="207">
        <f t="shared" si="16"/>
        <v>0.325887902330744</v>
      </c>
      <c r="L26" s="207">
        <f>L24/L17-1</f>
        <v>0.0169877142423782</v>
      </c>
      <c r="M26" s="226">
        <f>M24/M17-1</f>
        <v>-0.210254081693088</v>
      </c>
      <c r="N26" s="217">
        <f>N24/SUM(B17:M17)-1</f>
        <v>0.236131291882631</v>
      </c>
    </row>
    <row r="27" ht="14.25" spans="1:15">
      <c r="A27" s="219" t="s">
        <v>65</v>
      </c>
      <c r="B27" s="220">
        <v>17293</v>
      </c>
      <c r="C27" s="220">
        <v>12310</v>
      </c>
      <c r="D27" s="233">
        <v>46626</v>
      </c>
      <c r="E27" s="233">
        <v>20522</v>
      </c>
      <c r="F27" s="233">
        <v>24513</v>
      </c>
      <c r="G27" s="233">
        <v>31700</v>
      </c>
      <c r="H27" s="233">
        <v>23010</v>
      </c>
      <c r="I27" s="233">
        <v>17243</v>
      </c>
      <c r="J27" s="233">
        <v>45323</v>
      </c>
      <c r="K27" s="233">
        <v>23943</v>
      </c>
      <c r="L27" s="233">
        <v>24359</v>
      </c>
      <c r="M27" s="233">
        <v>27841</v>
      </c>
      <c r="N27" s="221">
        <f t="shared" si="13"/>
        <v>314683</v>
      </c>
    </row>
    <row r="28" ht="14.25" spans="1:15">
      <c r="A28" s="219" t="s">
        <v>66</v>
      </c>
      <c r="B28" s="220">
        <v>9109</v>
      </c>
      <c r="C28" s="220">
        <v>4723</v>
      </c>
      <c r="D28" s="233">
        <v>17933</v>
      </c>
      <c r="E28" s="233">
        <v>8595</v>
      </c>
      <c r="F28" s="233">
        <v>9025</v>
      </c>
      <c r="G28" s="233">
        <v>12770</v>
      </c>
      <c r="H28" s="233">
        <v>11702</v>
      </c>
      <c r="I28" s="233">
        <v>6601</v>
      </c>
      <c r="J28" s="233">
        <v>18535</v>
      </c>
      <c r="K28" s="233">
        <v>14285</v>
      </c>
      <c r="L28" s="233">
        <v>15871</v>
      </c>
      <c r="M28" s="233">
        <v>12162</v>
      </c>
      <c r="N28" s="221">
        <f t="shared" si="13"/>
        <v>141311</v>
      </c>
    </row>
    <row r="29" ht="14.25" spans="1:15">
      <c r="A29" s="219" t="s">
        <v>67</v>
      </c>
      <c r="B29" s="222">
        <f t="shared" ref="B29:H29" si="17">B27/B24</f>
        <v>0.654988258465268</v>
      </c>
      <c r="C29" s="222">
        <f t="shared" si="17"/>
        <v>0.722714730229554</v>
      </c>
      <c r="D29" s="235">
        <f t="shared" si="17"/>
        <v>0.722223082761505</v>
      </c>
      <c r="E29" s="235">
        <f t="shared" si="17"/>
        <v>0.70481162207645</v>
      </c>
      <c r="F29" s="235">
        <f t="shared" si="17"/>
        <v>0.730902260122846</v>
      </c>
      <c r="G29" s="235">
        <f t="shared" si="17"/>
        <v>0.712840116932764</v>
      </c>
      <c r="H29" s="235">
        <f t="shared" si="17"/>
        <v>0.662883152800184</v>
      </c>
      <c r="I29" s="235">
        <f t="shared" ref="I29:N29" si="18">I27/I24</f>
        <v>0.723158865962087</v>
      </c>
      <c r="J29" s="235">
        <f t="shared" si="18"/>
        <v>0.70974662532494</v>
      </c>
      <c r="K29" s="235">
        <f t="shared" si="18"/>
        <v>0.626321021240975</v>
      </c>
      <c r="L29" s="235">
        <f t="shared" si="18"/>
        <v>0.605493412875963</v>
      </c>
      <c r="M29" s="235">
        <f t="shared" si="18"/>
        <v>0.695972802039847</v>
      </c>
      <c r="N29" s="217">
        <f t="shared" si="18"/>
        <v>0.690103378553227</v>
      </c>
    </row>
    <row r="30" ht="14.25" spans="1:15">
      <c r="A30" s="219" t="s">
        <v>68</v>
      </c>
      <c r="B30" s="222">
        <f t="shared" ref="B30:H30" si="19">B28/B24</f>
        <v>0.345011741534732</v>
      </c>
      <c r="C30" s="222">
        <f t="shared" si="19"/>
        <v>0.277285269770446</v>
      </c>
      <c r="D30" s="235">
        <f t="shared" si="19"/>
        <v>0.277776917238495</v>
      </c>
      <c r="E30" s="235">
        <f t="shared" si="19"/>
        <v>0.29518837792355</v>
      </c>
      <c r="F30" s="235">
        <f t="shared" si="19"/>
        <v>0.269097739877154</v>
      </c>
      <c r="G30" s="235">
        <f t="shared" si="19"/>
        <v>0.287159883067236</v>
      </c>
      <c r="H30" s="235">
        <f t="shared" si="19"/>
        <v>0.337116847199816</v>
      </c>
      <c r="I30" s="235">
        <f t="shared" ref="I30:N30" si="20">I28/I24</f>
        <v>0.276841134037913</v>
      </c>
      <c r="J30" s="235">
        <f t="shared" si="20"/>
        <v>0.29025337467506</v>
      </c>
      <c r="K30" s="235">
        <f t="shared" si="20"/>
        <v>0.373678978759025</v>
      </c>
      <c r="L30" s="235">
        <f t="shared" si="20"/>
        <v>0.394506587124037</v>
      </c>
      <c r="M30" s="235">
        <f t="shared" si="20"/>
        <v>0.304027197960153</v>
      </c>
      <c r="N30" s="217">
        <f t="shared" si="20"/>
        <v>0.309896621446773</v>
      </c>
    </row>
    <row r="31" ht="14.25" spans="1:15">
      <c r="A31" s="189">
        <v>2024</v>
      </c>
      <c r="B31" s="221">
        <f>SUM(B34:B35)</f>
        <v>32879</v>
      </c>
      <c r="C31" s="221">
        <f>SUM(C34:C35)</f>
        <v>21089</v>
      </c>
      <c r="D31" s="189">
        <f>48388+24517</f>
        <v>72905</v>
      </c>
      <c r="E31" s="189">
        <f>E34+E35</f>
        <v>33210</v>
      </c>
      <c r="F31" s="189">
        <f>F34+F35</f>
        <v>37897</v>
      </c>
      <c r="G31" s="189">
        <f>G34+G35</f>
        <v>50638</v>
      </c>
      <c r="H31" s="189">
        <f>H34+H35</f>
        <v>40484</v>
      </c>
      <c r="I31" s="189">
        <f>I34+I35</f>
        <v>24899</v>
      </c>
      <c r="J31" s="189">
        <v>80873</v>
      </c>
      <c r="K31" s="189">
        <v>43634</v>
      </c>
      <c r="L31" s="189">
        <f>L34+L35</f>
        <v>54268</v>
      </c>
      <c r="M31" s="189">
        <f>M34+M35</f>
        <v>56372</v>
      </c>
      <c r="N31" s="221">
        <f>SUM(B31:M31)</f>
        <v>549148</v>
      </c>
    </row>
    <row r="32" ht="14.25" spans="1:15">
      <c r="A32" s="189" t="s">
        <v>64</v>
      </c>
      <c r="B32" s="207">
        <f>B31/M24-1</f>
        <v>-0.178086643501737</v>
      </c>
      <c r="C32" s="207">
        <f t="shared" ref="C32:K32" si="21">C31/B31-1</f>
        <v>-0.358587548283099</v>
      </c>
      <c r="D32" s="207">
        <f t="shared" si="21"/>
        <v>2.45701550571388</v>
      </c>
      <c r="E32" s="207">
        <f t="shared" si="21"/>
        <v>-0.544475687538578</v>
      </c>
      <c r="F32" s="207">
        <f t="shared" si="21"/>
        <v>0.141132189099669</v>
      </c>
      <c r="G32" s="226">
        <f t="shared" si="21"/>
        <v>0.336200754677151</v>
      </c>
      <c r="H32" s="226">
        <f t="shared" si="21"/>
        <v>-0.200521347604566</v>
      </c>
      <c r="I32" s="226">
        <f t="shared" si="21"/>
        <v>-0.384966900503903</v>
      </c>
      <c r="J32" s="226">
        <f t="shared" si="21"/>
        <v>2.24804209004378</v>
      </c>
      <c r="K32" s="226">
        <f t="shared" si="21"/>
        <v>-0.460462700777763</v>
      </c>
      <c r="L32" s="226">
        <f t="shared" ref="L32" si="22">L31/K31-1</f>
        <v>0.243709034239355</v>
      </c>
      <c r="M32" s="226">
        <f t="shared" ref="M32" si="23">M31/L31-1</f>
        <v>0.0387705461782266</v>
      </c>
    </row>
    <row r="33" ht="14.25" spans="1:14">
      <c r="A33" s="189" t="s">
        <v>69</v>
      </c>
      <c r="B33" s="207">
        <f t="shared" ref="B33:J33" si="24">B31/B24-1</f>
        <v>0.245322324066359</v>
      </c>
      <c r="C33" s="207">
        <f t="shared" si="24"/>
        <v>0.238125990723889</v>
      </c>
      <c r="D33" s="207">
        <f t="shared" si="24"/>
        <v>0.129277095370127</v>
      </c>
      <c r="E33" s="207">
        <f t="shared" si="24"/>
        <v>0.140570800563245</v>
      </c>
      <c r="F33" s="207">
        <f t="shared" si="24"/>
        <v>0.129971972091359</v>
      </c>
      <c r="G33" s="207">
        <f t="shared" si="24"/>
        <v>0.138700247357769</v>
      </c>
      <c r="H33" s="207">
        <f t="shared" si="24"/>
        <v>0.166282553583775</v>
      </c>
      <c r="I33" s="207">
        <f t="shared" si="24"/>
        <v>0.0442459318906223</v>
      </c>
      <c r="J33" s="207">
        <f t="shared" si="24"/>
        <v>0.266450562184848</v>
      </c>
      <c r="K33" s="207">
        <f t="shared" ref="K33:M33" si="25">K31/K24-1</f>
        <v>0.141414669875484</v>
      </c>
      <c r="L33" s="207">
        <f t="shared" si="25"/>
        <v>0.34894357444693</v>
      </c>
      <c r="M33" s="207">
        <f t="shared" si="25"/>
        <v>0.409194310426718</v>
      </c>
      <c r="N33" s="217">
        <f>(N31-N24)/N24</f>
        <v>0.204287775716347</v>
      </c>
    </row>
    <row r="34" ht="14.25" spans="1:14">
      <c r="A34" s="219" t="s">
        <v>65</v>
      </c>
      <c r="B34" s="220">
        <v>20935</v>
      </c>
      <c r="C34" s="220">
        <v>14991</v>
      </c>
      <c r="D34" s="233">
        <v>48388</v>
      </c>
      <c r="E34" s="233">
        <v>22717</v>
      </c>
      <c r="F34" s="233">
        <v>26031</v>
      </c>
      <c r="G34" s="233">
        <v>34034</v>
      </c>
      <c r="H34" s="233">
        <v>27335</v>
      </c>
      <c r="I34" s="233">
        <v>19113</v>
      </c>
      <c r="J34" s="233">
        <v>56387</v>
      </c>
      <c r="K34" s="233">
        <v>29802</v>
      </c>
      <c r="L34" s="233">
        <v>38581</v>
      </c>
      <c r="M34" s="233">
        <v>43656</v>
      </c>
      <c r="N34" s="221">
        <f>SUM(B34:M34)</f>
        <v>381970</v>
      </c>
    </row>
    <row r="35" ht="14.25" spans="1:14">
      <c r="A35" s="219" t="s">
        <v>66</v>
      </c>
      <c r="B35" s="220">
        <v>11944</v>
      </c>
      <c r="C35" s="220">
        <v>6098</v>
      </c>
      <c r="D35" s="233">
        <v>24517</v>
      </c>
      <c r="E35" s="233">
        <v>10493</v>
      </c>
      <c r="F35" s="233">
        <v>11866</v>
      </c>
      <c r="G35" s="233">
        <v>16604</v>
      </c>
      <c r="H35" s="233">
        <v>13149</v>
      </c>
      <c r="I35" s="233">
        <v>5786</v>
      </c>
      <c r="J35" s="233">
        <v>24468</v>
      </c>
      <c r="K35" s="233">
        <v>13832</v>
      </c>
      <c r="L35" s="233">
        <v>15687</v>
      </c>
      <c r="M35" s="233">
        <v>12716</v>
      </c>
      <c r="N35" s="221">
        <f>SUM(B35:M35)</f>
        <v>167160</v>
      </c>
    </row>
    <row r="36" ht="14.25" spans="1:14">
      <c r="A36" s="219" t="s">
        <v>67</v>
      </c>
      <c r="B36" s="222">
        <f t="shared" ref="B36:J36" si="26">B34/B31</f>
        <v>0.636728610967487</v>
      </c>
      <c r="C36" s="222">
        <f t="shared" si="26"/>
        <v>0.71084451609844</v>
      </c>
      <c r="D36" s="222">
        <f t="shared" si="26"/>
        <v>0.663713051231054</v>
      </c>
      <c r="E36" s="222">
        <f t="shared" si="26"/>
        <v>0.684040951520626</v>
      </c>
      <c r="F36" s="222">
        <f t="shared" si="26"/>
        <v>0.686888144180278</v>
      </c>
      <c r="G36" s="235">
        <f t="shared" si="26"/>
        <v>0.672103953552668</v>
      </c>
      <c r="H36" s="235">
        <f t="shared" si="26"/>
        <v>0.675205019266871</v>
      </c>
      <c r="I36" s="235">
        <f t="shared" si="26"/>
        <v>0.767621189606008</v>
      </c>
      <c r="J36" s="235">
        <f t="shared" si="26"/>
        <v>0.697228988661234</v>
      </c>
      <c r="K36" s="235">
        <f t="shared" ref="K36:N36" si="27">K34/K31</f>
        <v>0.682999495806023</v>
      </c>
      <c r="L36" s="235">
        <f t="shared" si="27"/>
        <v>0.710934620770988</v>
      </c>
      <c r="M36" s="235">
        <f t="shared" si="27"/>
        <v>0.774427020506634</v>
      </c>
      <c r="N36" s="217">
        <f t="shared" si="27"/>
        <v>0.695568407788064</v>
      </c>
    </row>
    <row r="37" ht="14.25" spans="1:14">
      <c r="A37" s="219" t="s">
        <v>68</v>
      </c>
      <c r="B37" s="222">
        <f t="shared" ref="B37:J37" si="28">B35/B31</f>
        <v>0.363271389032513</v>
      </c>
      <c r="C37" s="222">
        <f t="shared" si="28"/>
        <v>0.28915548390156</v>
      </c>
      <c r="D37" s="222">
        <f t="shared" si="28"/>
        <v>0.336286948768946</v>
      </c>
      <c r="E37" s="222">
        <f t="shared" si="28"/>
        <v>0.315959048479374</v>
      </c>
      <c r="F37" s="222">
        <f t="shared" si="28"/>
        <v>0.313111855819722</v>
      </c>
      <c r="G37" s="235">
        <f t="shared" si="28"/>
        <v>0.327896046447332</v>
      </c>
      <c r="H37" s="235">
        <f t="shared" si="28"/>
        <v>0.324794980733129</v>
      </c>
      <c r="I37" s="235">
        <f t="shared" si="28"/>
        <v>0.232378810393992</v>
      </c>
      <c r="J37" s="235">
        <f t="shared" si="28"/>
        <v>0.302548440146897</v>
      </c>
      <c r="K37" s="235">
        <f t="shared" ref="K37:N37" si="29">K35/K31</f>
        <v>0.317000504193977</v>
      </c>
      <c r="L37" s="235">
        <f t="shared" si="29"/>
        <v>0.289065379229012</v>
      </c>
      <c r="M37" s="235">
        <f t="shared" si="29"/>
        <v>0.225572979493365</v>
      </c>
      <c r="N37" s="217">
        <f t="shared" si="29"/>
        <v>0.304398814163031</v>
      </c>
    </row>
    <row r="38" ht="14.25" spans="1:14">
      <c r="A38" s="189">
        <v>2025</v>
      </c>
      <c r="B38" s="221">
        <f>SUM(B41:B42)</f>
        <v>42232</v>
      </c>
      <c r="C38" s="221">
        <f>SUM(C41:C42)</f>
        <v>28517</v>
      </c>
      <c r="D38" s="221">
        <f>SUM(D41:D42)</f>
        <v>103128</v>
      </c>
      <c r="E38" s="189">
        <f>E41+E42</f>
        <v>38631</v>
      </c>
      <c r="F38" s="189"/>
      <c r="G38" s="189"/>
      <c r="H38" s="189"/>
      <c r="I38" s="189"/>
      <c r="J38" s="189"/>
      <c r="K38" s="189"/>
      <c r="L38" s="189"/>
      <c r="M38" s="189"/>
      <c r="N38" s="221">
        <f>SUM(B38:M38)</f>
        <v>212508</v>
      </c>
    </row>
    <row r="39" ht="14.25" spans="1:14">
      <c r="A39" s="189" t="s">
        <v>64</v>
      </c>
      <c r="B39" s="207">
        <f>B38/M31-1</f>
        <v>-0.250833747250408</v>
      </c>
      <c r="C39" s="207">
        <f t="shared" ref="C39:E39" si="30">C38/B38-1</f>
        <v>-0.324753741238871</v>
      </c>
      <c r="D39" s="207">
        <f t="shared" si="30"/>
        <v>2.61636918329418</v>
      </c>
      <c r="E39" s="207">
        <f t="shared" si="30"/>
        <v>-0.625407260879683</v>
      </c>
      <c r="F39" s="207"/>
      <c r="G39" s="226"/>
      <c r="H39" s="226"/>
      <c r="I39" s="226"/>
      <c r="J39" s="226"/>
      <c r="K39" s="226"/>
      <c r="L39" s="226"/>
      <c r="M39" s="226"/>
    </row>
    <row r="40" ht="14.25" spans="1:14">
      <c r="A40" s="189" t="s">
        <v>69</v>
      </c>
      <c r="B40" s="207">
        <f t="shared" ref="B40:E40" si="31">B38/B31-1</f>
        <v>0.28446728915113</v>
      </c>
      <c r="C40" s="207">
        <f t="shared" si="31"/>
        <v>0.352221537294324</v>
      </c>
      <c r="D40" s="207">
        <f t="shared" si="31"/>
        <v>0.414553185652561</v>
      </c>
      <c r="E40" s="207">
        <f t="shared" si="31"/>
        <v>0.16323396567299</v>
      </c>
      <c r="F40" s="207"/>
      <c r="G40" s="207"/>
      <c r="H40" s="207"/>
      <c r="I40" s="207"/>
      <c r="J40" s="207"/>
      <c r="K40" s="207"/>
      <c r="L40" s="207"/>
      <c r="M40" s="207"/>
      <c r="N40" s="217">
        <f>(N38-N31)/N31</f>
        <v>-0.613022354629353</v>
      </c>
    </row>
    <row r="41" ht="14.25" spans="1:14">
      <c r="A41" s="219" t="s">
        <v>65</v>
      </c>
      <c r="B41" s="227">
        <f>50878-C41</f>
        <v>29634</v>
      </c>
      <c r="C41" s="227">
        <v>21244</v>
      </c>
      <c r="D41" s="233">
        <v>69313</v>
      </c>
      <c r="E41" s="233">
        <v>24558</v>
      </c>
      <c r="F41" s="233"/>
      <c r="G41" s="233"/>
      <c r="H41" s="233"/>
      <c r="I41" s="233"/>
      <c r="J41" s="233"/>
      <c r="K41" s="233"/>
      <c r="L41" s="233"/>
      <c r="M41" s="233"/>
      <c r="N41" s="221">
        <f>SUM(B41:M41)</f>
        <v>144749</v>
      </c>
    </row>
    <row r="42" ht="14.25" spans="1:14">
      <c r="A42" s="219" t="s">
        <v>66</v>
      </c>
      <c r="B42" s="227">
        <f>19871-C42</f>
        <v>12598</v>
      </c>
      <c r="C42" s="227">
        <v>7273</v>
      </c>
      <c r="D42" s="233">
        <v>33815</v>
      </c>
      <c r="E42" s="233">
        <v>14073</v>
      </c>
      <c r="F42" s="233"/>
      <c r="G42" s="233"/>
      <c r="H42" s="233"/>
      <c r="I42" s="233"/>
      <c r="J42" s="233"/>
      <c r="K42" s="233"/>
      <c r="L42" s="233"/>
      <c r="M42" s="233"/>
      <c r="N42" s="234">
        <f>SUM(B42:M42)</f>
        <v>67759</v>
      </c>
    </row>
    <row r="43" ht="14.25" spans="1:14">
      <c r="A43" s="219" t="s">
        <v>67</v>
      </c>
      <c r="B43" s="222">
        <f t="shared" ref="B43:N43" si="32">B41/B38</f>
        <v>0.701695396855465</v>
      </c>
      <c r="C43" s="222">
        <f t="shared" si="32"/>
        <v>0.744959147175369</v>
      </c>
      <c r="D43" s="222">
        <f t="shared" si="32"/>
        <v>0.672106508416725</v>
      </c>
      <c r="E43" s="222">
        <f t="shared" si="32"/>
        <v>0.635707074629184</v>
      </c>
      <c r="F43" s="222"/>
      <c r="G43" s="235"/>
      <c r="H43" s="235"/>
      <c r="I43" s="235"/>
      <c r="J43" s="235"/>
      <c r="K43" s="235"/>
      <c r="L43" s="235"/>
      <c r="M43" s="235"/>
      <c r="N43" s="217">
        <f t="shared" si="32"/>
        <v>0.681146121557777</v>
      </c>
    </row>
    <row r="44" ht="14.25" spans="1:14">
      <c r="A44" s="219" t="s">
        <v>68</v>
      </c>
      <c r="B44" s="222">
        <f t="shared" ref="B44:E44" si="33">B42/B38</f>
        <v>0.298304603144535</v>
      </c>
      <c r="C44" s="222">
        <f t="shared" si="33"/>
        <v>0.255040852824631</v>
      </c>
      <c r="D44" s="222">
        <f t="shared" si="33"/>
        <v>0.327893491583275</v>
      </c>
      <c r="E44" s="222">
        <f t="shared" si="33"/>
        <v>0.364292925370816</v>
      </c>
      <c r="F44" s="222"/>
      <c r="G44" s="235"/>
      <c r="H44" s="235"/>
      <c r="I44" s="235"/>
      <c r="J44" s="235"/>
      <c r="K44" s="235"/>
      <c r="L44" s="235"/>
      <c r="M44" s="235"/>
      <c r="N44" s="217">
        <f>N42/N38</f>
        <v>0.318853878442223</v>
      </c>
    </row>
    <row r="45" ht="14.25" spans="1:14">
      <c r="A45" s="215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</row>
    <row r="46" ht="14.25" spans="1:14">
      <c r="A46" s="215" t="s">
        <v>86</v>
      </c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</row>
    <row r="47" ht="14.25" spans="1:14">
      <c r="A47" s="216"/>
      <c r="B47" s="166" t="s">
        <v>51</v>
      </c>
      <c r="C47" s="166" t="s">
        <v>52</v>
      </c>
      <c r="D47" s="166" t="s">
        <v>53</v>
      </c>
      <c r="E47" s="166" t="s">
        <v>54</v>
      </c>
      <c r="F47" s="166" t="s">
        <v>55</v>
      </c>
      <c r="G47" s="166" t="s">
        <v>56</v>
      </c>
      <c r="H47" s="166" t="s">
        <v>57</v>
      </c>
      <c r="I47" s="166" t="s">
        <v>58</v>
      </c>
      <c r="J47" s="166" t="s">
        <v>59</v>
      </c>
      <c r="K47" s="166" t="s">
        <v>60</v>
      </c>
      <c r="L47" s="166" t="s">
        <v>61</v>
      </c>
      <c r="M47" s="166" t="s">
        <v>62</v>
      </c>
      <c r="N47" s="189" t="s">
        <v>63</v>
      </c>
    </row>
    <row r="48" ht="14.25" spans="1:14">
      <c r="A48" s="216">
        <v>2021</v>
      </c>
      <c r="B48" s="195">
        <v>90249</v>
      </c>
      <c r="C48" s="195">
        <v>51312</v>
      </c>
      <c r="D48" s="195">
        <v>283964</v>
      </c>
      <c r="E48" s="195">
        <v>141583</v>
      </c>
      <c r="F48" s="195">
        <v>156737</v>
      </c>
      <c r="G48" s="195">
        <v>186128</v>
      </c>
      <c r="H48" s="195">
        <v>123316</v>
      </c>
      <c r="I48" s="195">
        <v>68013</v>
      </c>
      <c r="J48" s="195">
        <v>215112</v>
      </c>
      <c r="K48" s="195">
        <v>106465</v>
      </c>
      <c r="L48" s="195">
        <v>115706</v>
      </c>
      <c r="M48" s="195">
        <v>108596</v>
      </c>
      <c r="N48" s="221">
        <f>SUM(B48:M48)</f>
        <v>1647181</v>
      </c>
    </row>
    <row r="49" ht="14.25" spans="1:16">
      <c r="A49" s="189">
        <v>2022</v>
      </c>
      <c r="B49" s="195">
        <v>115087</v>
      </c>
      <c r="C49" s="195">
        <v>58994</v>
      </c>
      <c r="D49" s="195">
        <v>243479</v>
      </c>
      <c r="E49" s="195">
        <v>119167</v>
      </c>
      <c r="F49" s="189">
        <v>124394</v>
      </c>
      <c r="G49" s="195">
        <v>140948</v>
      </c>
      <c r="H49" s="195">
        <v>112162</v>
      </c>
      <c r="I49" s="195">
        <v>68858</v>
      </c>
      <c r="J49" s="195">
        <v>225269</v>
      </c>
      <c r="K49" s="195">
        <v>134443</v>
      </c>
      <c r="L49" s="195">
        <v>142889</v>
      </c>
      <c r="M49" s="195">
        <v>128462</v>
      </c>
      <c r="N49" s="221">
        <f>SUM(B49:M49)</f>
        <v>1614152</v>
      </c>
    </row>
    <row r="50" ht="14.25" spans="1:16">
      <c r="A50" s="189">
        <v>2023</v>
      </c>
      <c r="B50" s="195">
        <v>131994</v>
      </c>
      <c r="C50" s="195">
        <v>74441</v>
      </c>
      <c r="D50" s="194">
        <v>287825</v>
      </c>
      <c r="E50" s="194">
        <v>132990</v>
      </c>
      <c r="F50" s="189">
        <v>145204</v>
      </c>
      <c r="G50" s="189">
        <v>177266</v>
      </c>
      <c r="H50" s="189">
        <v>143921</v>
      </c>
      <c r="I50" s="189">
        <v>85657</v>
      </c>
      <c r="J50" s="189">
        <v>272610</v>
      </c>
      <c r="K50" s="189">
        <v>153529</v>
      </c>
      <c r="L50" s="189">
        <v>156525</v>
      </c>
      <c r="M50" s="195">
        <v>141092</v>
      </c>
      <c r="N50" s="221">
        <f>SUM(B50:M50)</f>
        <v>1903054</v>
      </c>
    </row>
    <row r="51" s="204" customFormat="1" ht="14.25" spans="1:16">
      <c r="A51" s="189">
        <v>2024</v>
      </c>
      <c r="B51" s="229">
        <v>142876</v>
      </c>
      <c r="C51" s="229">
        <v>84886</v>
      </c>
      <c r="D51" s="229">
        <v>317786</v>
      </c>
      <c r="E51" s="229">
        <v>134274</v>
      </c>
      <c r="F51" s="229">
        <v>147678</v>
      </c>
      <c r="G51" s="229">
        <v>179263</v>
      </c>
      <c r="H51" s="229">
        <v>147517</v>
      </c>
      <c r="I51" s="229">
        <v>84575</v>
      </c>
      <c r="J51" s="237">
        <v>275239</v>
      </c>
      <c r="K51" s="237">
        <v>144288</v>
      </c>
      <c r="L51" s="237">
        <v>153610</v>
      </c>
      <c r="M51" s="237">
        <v>140786</v>
      </c>
      <c r="N51" s="238">
        <f>SUM(B51:M51)</f>
        <v>1952778</v>
      </c>
      <c r="O51" s="189"/>
      <c r="P51" s="230"/>
    </row>
    <row r="52" ht="14.25" spans="1:16">
      <c r="A52" s="189" t="s">
        <v>69</v>
      </c>
      <c r="B52" s="226">
        <f t="shared" ref="B52:N52" si="34">B51/B50-1</f>
        <v>0.08244314135491</v>
      </c>
      <c r="C52" s="226">
        <f t="shared" si="34"/>
        <v>0.140312462218401</v>
      </c>
      <c r="D52" s="226">
        <f t="shared" si="34"/>
        <v>0.104094501867454</v>
      </c>
      <c r="E52" s="226">
        <f t="shared" si="34"/>
        <v>0.00965486126776449</v>
      </c>
      <c r="F52" s="226">
        <f t="shared" si="34"/>
        <v>0.0170380981240186</v>
      </c>
      <c r="G52" s="226">
        <f t="shared" si="34"/>
        <v>0.0112655557185246</v>
      </c>
      <c r="H52" s="226">
        <f t="shared" si="34"/>
        <v>0.0249859297809214</v>
      </c>
      <c r="I52" s="226">
        <f t="shared" si="34"/>
        <v>-0.0126317755700059</v>
      </c>
      <c r="J52" s="226">
        <f t="shared" si="34"/>
        <v>0.00964381350647447</v>
      </c>
      <c r="K52" s="226">
        <f t="shared" si="34"/>
        <v>-0.0601905828866207</v>
      </c>
      <c r="L52" s="226">
        <f t="shared" si="34"/>
        <v>-0.0186232231272959</v>
      </c>
      <c r="M52" s="226">
        <f t="shared" si="34"/>
        <v>-0.00216879766393563</v>
      </c>
      <c r="N52" s="226">
        <f t="shared" si="34"/>
        <v>0.026128528144761</v>
      </c>
    </row>
    <row r="53" s="204" customFormat="1" ht="14.25" spans="1:16">
      <c r="A53" s="189">
        <v>2025</v>
      </c>
      <c r="B53" s="236">
        <f>223399-C53</f>
        <v>139345</v>
      </c>
      <c r="C53" s="236">
        <v>84054</v>
      </c>
      <c r="D53" s="229">
        <v>357103</v>
      </c>
      <c r="E53" s="229">
        <v>120331</v>
      </c>
      <c r="F53" s="229"/>
      <c r="G53" s="229"/>
      <c r="H53" s="229"/>
      <c r="I53" s="229"/>
      <c r="J53" s="237"/>
      <c r="K53" s="237"/>
      <c r="L53" s="237"/>
      <c r="M53" s="237"/>
      <c r="N53" s="238">
        <f>SUM(B53:M53)</f>
        <v>700833</v>
      </c>
      <c r="O53" s="189"/>
      <c r="P53" s="230"/>
    </row>
    <row r="54" ht="14.25" spans="1:16">
      <c r="A54" s="189" t="s">
        <v>69</v>
      </c>
      <c r="B54" s="226">
        <f>B53/B51-1</f>
        <v>-0.0247137377866121</v>
      </c>
      <c r="C54" s="226">
        <f>C53/C51-1</f>
        <v>-0.0098013806752586</v>
      </c>
      <c r="D54" s="226">
        <f>D53/D51-1</f>
        <v>0.123721623985953</v>
      </c>
      <c r="E54" s="226">
        <f>E53/E51-1</f>
        <v>-0.103839909438909</v>
      </c>
      <c r="F54" s="226"/>
      <c r="G54" s="226"/>
      <c r="H54" s="226"/>
      <c r="I54" s="226"/>
      <c r="J54" s="226"/>
      <c r="K54" s="226"/>
      <c r="L54" s="226"/>
      <c r="M54" s="226"/>
      <c r="N54" s="226"/>
    </row>
    <row r="55" ht="14.25" spans="1:16">
      <c r="B55" s="194"/>
      <c r="C55" s="194"/>
      <c r="D55" s="194"/>
      <c r="E55" s="194"/>
      <c r="F55" s="194"/>
      <c r="G55" s="194"/>
    </row>
    <row r="56" ht="14.25" spans="1:16">
      <c r="A56" s="215" t="s">
        <v>72</v>
      </c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</row>
    <row r="57" ht="14.25" spans="1:16">
      <c r="A57" s="189"/>
      <c r="B57" s="166" t="s">
        <v>51</v>
      </c>
      <c r="C57" s="166" t="s">
        <v>52</v>
      </c>
      <c r="D57" s="166" t="s">
        <v>53</v>
      </c>
      <c r="E57" s="166" t="s">
        <v>54</v>
      </c>
      <c r="F57" s="166" t="s">
        <v>55</v>
      </c>
      <c r="G57" s="166" t="s">
        <v>56</v>
      </c>
      <c r="H57" s="166" t="s">
        <v>57</v>
      </c>
      <c r="I57" s="166" t="s">
        <v>58</v>
      </c>
      <c r="J57" s="166" t="s">
        <v>59</v>
      </c>
      <c r="K57" s="166" t="s">
        <v>60</v>
      </c>
      <c r="L57" s="166" t="s">
        <v>61</v>
      </c>
      <c r="M57" s="166" t="s">
        <v>62</v>
      </c>
      <c r="N57" s="189" t="s">
        <v>63</v>
      </c>
    </row>
    <row r="58" ht="14.25" spans="1:16">
      <c r="A58" s="216">
        <v>2021</v>
      </c>
      <c r="B58" s="217">
        <f t="shared" ref="B58:N58" si="35">B11/B48</f>
        <v>0.145165043379982</v>
      </c>
      <c r="C58" s="217">
        <f t="shared" si="35"/>
        <v>0.13992828188338</v>
      </c>
      <c r="D58" s="217">
        <f t="shared" si="35"/>
        <v>0.147941288332324</v>
      </c>
      <c r="E58" s="217">
        <f t="shared" si="35"/>
        <v>0.139635408205787</v>
      </c>
      <c r="F58" s="217">
        <f t="shared" si="35"/>
        <v>0.155202664335798</v>
      </c>
      <c r="G58" s="217">
        <f t="shared" si="35"/>
        <v>0.185791498323734</v>
      </c>
      <c r="H58" s="217">
        <f t="shared" si="35"/>
        <v>0.183917739790457</v>
      </c>
      <c r="I58" s="217">
        <f t="shared" si="35"/>
        <v>0.209077676326585</v>
      </c>
      <c r="J58" s="217">
        <f t="shared" si="35"/>
        <v>0.228955148945666</v>
      </c>
      <c r="K58" s="217">
        <f t="shared" si="35"/>
        <v>0.246174799229794</v>
      </c>
      <c r="L58" s="217">
        <f t="shared" si="35"/>
        <v>0.305956475895805</v>
      </c>
      <c r="M58" s="217">
        <f t="shared" si="35"/>
        <v>0.331881468930716</v>
      </c>
      <c r="N58" s="217">
        <f t="shared" si="35"/>
        <v>0.175286747479482</v>
      </c>
    </row>
    <row r="59" ht="14.25" spans="1:16">
      <c r="A59" s="189">
        <v>2022</v>
      </c>
      <c r="B59" s="217">
        <f t="shared" ref="B59:N59" si="36">B17/B49</f>
        <v>0.204019567805226</v>
      </c>
      <c r="C59" s="217">
        <f t="shared" si="36"/>
        <v>0.255856527782486</v>
      </c>
      <c r="D59" s="217">
        <f t="shared" si="36"/>
        <v>0.228446806500766</v>
      </c>
      <c r="E59" s="217">
        <f t="shared" si="36"/>
        <v>0.162360385005916</v>
      </c>
      <c r="F59" s="217">
        <f t="shared" si="36"/>
        <v>0.183184076402399</v>
      </c>
      <c r="G59" s="217">
        <f t="shared" si="36"/>
        <v>0.21604421488776</v>
      </c>
      <c r="H59" s="217">
        <f t="shared" si="36"/>
        <v>0.167400723952854</v>
      </c>
      <c r="I59" s="217">
        <f t="shared" si="36"/>
        <v>0.201719480670365</v>
      </c>
      <c r="J59" s="217">
        <f t="shared" si="36"/>
        <v>0.223719197936689</v>
      </c>
      <c r="K59" s="217">
        <f t="shared" si="36"/>
        <v>0.214455196626079</v>
      </c>
      <c r="L59" s="217">
        <f t="shared" si="36"/>
        <v>0.276844263729188</v>
      </c>
      <c r="M59" s="217">
        <f t="shared" si="36"/>
        <v>0.394303373760334</v>
      </c>
      <c r="N59" s="217">
        <f t="shared" si="36"/>
        <v>0.228533620129951</v>
      </c>
    </row>
    <row r="60" ht="14.25" spans="1:16">
      <c r="A60" s="189">
        <v>2023</v>
      </c>
      <c r="B60" s="210">
        <f t="shared" ref="B60:N60" si="37">B24/B50</f>
        <v>0.200024243526221</v>
      </c>
      <c r="C60" s="210">
        <f t="shared" si="37"/>
        <v>0.228812079364866</v>
      </c>
      <c r="D60" s="210">
        <f t="shared" si="37"/>
        <v>0.224299487535829</v>
      </c>
      <c r="E60" s="210">
        <f t="shared" si="37"/>
        <v>0.218941273779983</v>
      </c>
      <c r="F60" s="210">
        <f t="shared" si="37"/>
        <v>0.230971598578552</v>
      </c>
      <c r="G60" s="210">
        <f t="shared" si="37"/>
        <v>0.250865930296842</v>
      </c>
      <c r="H60" s="210">
        <f t="shared" si="37"/>
        <v>0.241187873903044</v>
      </c>
      <c r="I60" s="210">
        <f t="shared" si="37"/>
        <v>0.278366041304272</v>
      </c>
      <c r="J60" s="210">
        <f t="shared" si="37"/>
        <v>0.23424672609222</v>
      </c>
      <c r="K60" s="210">
        <f t="shared" si="37"/>
        <v>0.248995303818823</v>
      </c>
      <c r="L60" s="210">
        <f t="shared" si="37"/>
        <v>0.257019645424054</v>
      </c>
      <c r="M60" s="210">
        <f t="shared" si="37"/>
        <v>0.283524225328155</v>
      </c>
      <c r="N60" s="210">
        <f t="shared" si="37"/>
        <v>0.239611697828858</v>
      </c>
    </row>
    <row r="61" ht="14.25" spans="1:16">
      <c r="A61" s="189">
        <v>2024</v>
      </c>
      <c r="B61" s="210">
        <f>B31/B51</f>
        <v>0.230122623813657</v>
      </c>
      <c r="C61" s="210">
        <f t="shared" ref="C61:N61" si="38">C31/C51</f>
        <v>0.248439083005443</v>
      </c>
      <c r="D61" s="210">
        <f t="shared" si="38"/>
        <v>0.229415392748579</v>
      </c>
      <c r="E61" s="210">
        <f t="shared" si="38"/>
        <v>0.247330086241566</v>
      </c>
      <c r="F61" s="210">
        <f t="shared" si="38"/>
        <v>0.256619130811631</v>
      </c>
      <c r="G61" s="210">
        <f t="shared" si="38"/>
        <v>0.282478816041235</v>
      </c>
      <c r="H61" s="210">
        <f t="shared" si="38"/>
        <v>0.274436166679095</v>
      </c>
      <c r="I61" s="210">
        <f t="shared" si="38"/>
        <v>0.294401418859001</v>
      </c>
      <c r="J61" s="210">
        <f t="shared" si="38"/>
        <v>0.29382827288284</v>
      </c>
      <c r="K61" s="210">
        <f t="shared" si="38"/>
        <v>0.302409070747394</v>
      </c>
      <c r="L61" s="210">
        <f t="shared" si="38"/>
        <v>0.353284291387279</v>
      </c>
      <c r="M61" s="210">
        <f t="shared" si="38"/>
        <v>0.400409131589789</v>
      </c>
      <c r="N61" s="210">
        <f t="shared" si="38"/>
        <v>0.281213737557469</v>
      </c>
    </row>
    <row r="62" ht="14.25" spans="1:16">
      <c r="A62" s="189">
        <v>2025</v>
      </c>
      <c r="B62" s="210">
        <f>B38/B53</f>
        <v>0.30307510136711</v>
      </c>
      <c r="C62" s="210">
        <f>C38/C53</f>
        <v>0.339269993099674</v>
      </c>
      <c r="D62" s="210">
        <f>D38/D53</f>
        <v>0.2887906290342</v>
      </c>
      <c r="E62" s="210">
        <f>E38/E53</f>
        <v>0.321039466139233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2"/>
  <sheetViews>
    <sheetView zoomScale="129" zoomScaleNormal="129" topLeftCell="D46" workbookViewId="0">
      <selection activeCell="P18" sqref="P18:Z30"/>
    </sheetView>
  </sheetViews>
  <sheetFormatPr defaultColWidth="9.375" defaultRowHeight="13.5"/>
  <cols>
    <col min="1" max="1" width="24.25" customWidth="1"/>
    <col min="2" max="2" width="11.125"/>
    <col min="4" max="4" width="10.125" customWidth="1"/>
    <col min="7" max="9" width="14"/>
  </cols>
  <sheetData>
    <row r="1" ht="14.25" spans="1:16">
      <c r="A1" s="205" t="s">
        <v>87</v>
      </c>
      <c r="B1" s="195" t="s">
        <v>33</v>
      </c>
      <c r="C1" s="195" t="s">
        <v>34</v>
      </c>
      <c r="D1" s="195" t="s">
        <v>35</v>
      </c>
      <c r="E1" s="195" t="s">
        <v>36</v>
      </c>
      <c r="F1" s="195" t="s">
        <v>37</v>
      </c>
      <c r="G1" s="195" t="s">
        <v>38</v>
      </c>
      <c r="H1" s="195" t="s">
        <v>39</v>
      </c>
      <c r="I1" s="194" t="s">
        <v>40</v>
      </c>
      <c r="J1" s="195" t="s">
        <v>41</v>
      </c>
      <c r="K1" s="194" t="s">
        <v>42</v>
      </c>
      <c r="L1" s="194" t="s">
        <v>43</v>
      </c>
      <c r="M1" s="194" t="s">
        <v>44</v>
      </c>
      <c r="N1" s="194">
        <v>2023</v>
      </c>
      <c r="O1" s="194" t="s">
        <v>45</v>
      </c>
      <c r="P1" s="194">
        <v>2024</v>
      </c>
    </row>
    <row r="2" ht="14.25" spans="1:16">
      <c r="A2" s="205" t="s">
        <v>88</v>
      </c>
      <c r="B2" s="206"/>
      <c r="C2" s="206"/>
      <c r="D2" s="206"/>
      <c r="E2" s="206"/>
      <c r="F2" s="206"/>
      <c r="G2" s="206"/>
      <c r="H2" s="206">
        <v>18.8196</v>
      </c>
      <c r="I2" s="194">
        <v>14.539</v>
      </c>
      <c r="J2" s="206">
        <v>30.6231</v>
      </c>
      <c r="K2" s="206">
        <v>15.5154</v>
      </c>
      <c r="L2" s="206">
        <v>33.067</v>
      </c>
      <c r="M2" s="206">
        <v>21.6068</v>
      </c>
      <c r="N2" s="206">
        <v>46.1423</v>
      </c>
      <c r="O2" s="206">
        <f>SUM(B31:G31)/10000</f>
        <v>23.1504</v>
      </c>
      <c r="P2" s="206">
        <f>SUM(B31:M31)/10000</f>
        <v>43.7056</v>
      </c>
    </row>
    <row r="3" ht="14.25" spans="1:16">
      <c r="A3" s="205" t="s">
        <v>29</v>
      </c>
      <c r="B3" s="207"/>
      <c r="C3" s="208"/>
      <c r="D3" s="208"/>
      <c r="E3" s="208"/>
      <c r="F3" s="208"/>
      <c r="G3" s="208"/>
      <c r="H3" s="208"/>
      <c r="I3" s="21"/>
      <c r="J3" s="208">
        <f t="shared" ref="J3:P3" si="0">(J2-H2)/H2</f>
        <v>0.627191863801569</v>
      </c>
      <c r="K3" s="209">
        <f t="shared" si="0"/>
        <v>0.067157301052342</v>
      </c>
      <c r="L3" s="210">
        <f t="shared" si="0"/>
        <v>0.0798057675414964</v>
      </c>
      <c r="M3" s="210">
        <f t="shared" si="0"/>
        <v>0.392603477834925</v>
      </c>
      <c r="N3" s="210">
        <f t="shared" si="0"/>
        <v>0.395418392959748</v>
      </c>
      <c r="O3" s="210">
        <f t="shared" si="0"/>
        <v>0.0714404724438603</v>
      </c>
      <c r="P3" s="210">
        <f t="shared" si="0"/>
        <v>-0.0528083775624536</v>
      </c>
    </row>
    <row r="4" ht="14.25" spans="1:16">
      <c r="A4" s="211" t="s">
        <v>89</v>
      </c>
      <c r="B4" s="212"/>
      <c r="C4" s="10"/>
      <c r="D4" s="10"/>
      <c r="E4" s="10"/>
      <c r="F4" s="10"/>
      <c r="G4" s="10"/>
      <c r="H4" s="10">
        <v>165.0118</v>
      </c>
      <c r="I4" s="194">
        <v>92.2766</v>
      </c>
      <c r="J4" s="10">
        <v>165.9134</v>
      </c>
      <c r="K4" s="213">
        <v>78.102</v>
      </c>
      <c r="L4" s="10">
        <v>153.8076</v>
      </c>
      <c r="M4" s="10">
        <v>88.074</v>
      </c>
      <c r="N4" s="10">
        <v>176.5964</v>
      </c>
      <c r="O4" s="10">
        <f>SUM(B50:G50)/10000</f>
        <v>88.074</v>
      </c>
      <c r="P4" s="10">
        <f>N51/10000</f>
        <v>174.5257</v>
      </c>
    </row>
    <row r="5" ht="14.25" spans="1:16">
      <c r="A5" s="205" t="s">
        <v>90</v>
      </c>
      <c r="B5" s="214"/>
      <c r="C5" s="208"/>
      <c r="D5" s="208"/>
      <c r="E5" s="208"/>
      <c r="F5" s="208"/>
      <c r="G5" s="208"/>
      <c r="H5" s="208">
        <f t="shared" ref="H5:P5" si="1">H2/H4</f>
        <v>0.114050025513327</v>
      </c>
      <c r="I5" s="208">
        <f t="shared" si="1"/>
        <v>0.157558904424307</v>
      </c>
      <c r="J5" s="208">
        <f t="shared" si="1"/>
        <v>0.184572795205209</v>
      </c>
      <c r="K5" s="208">
        <f t="shared" si="1"/>
        <v>0.198655604209879</v>
      </c>
      <c r="L5" s="208">
        <f t="shared" si="1"/>
        <v>0.21498937633771</v>
      </c>
      <c r="M5" s="208">
        <f t="shared" si="1"/>
        <v>0.245325521720372</v>
      </c>
      <c r="N5" s="208">
        <f t="shared" si="1"/>
        <v>0.261286753297349</v>
      </c>
      <c r="O5" s="208">
        <f t="shared" si="1"/>
        <v>0.262851692894611</v>
      </c>
      <c r="P5" s="208">
        <f t="shared" si="1"/>
        <v>0.250425009038783</v>
      </c>
    </row>
    <row r="6" spans="1:16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6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ht="14.25" spans="1:16">
      <c r="A8" s="151" t="s">
        <v>49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</row>
    <row r="9" ht="14.25" spans="1:16">
      <c r="A9" s="215" t="s">
        <v>91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89"/>
    </row>
    <row r="10" ht="14.25" spans="1:16">
      <c r="A10" s="216"/>
      <c r="B10" s="166" t="s">
        <v>51</v>
      </c>
      <c r="C10" s="166" t="s">
        <v>52</v>
      </c>
      <c r="D10" s="166" t="s">
        <v>53</v>
      </c>
      <c r="E10" s="166" t="s">
        <v>54</v>
      </c>
      <c r="F10" s="166" t="s">
        <v>55</v>
      </c>
      <c r="G10" s="166" t="s">
        <v>56</v>
      </c>
      <c r="H10" s="166" t="s">
        <v>57</v>
      </c>
      <c r="I10" s="166" t="s">
        <v>58</v>
      </c>
      <c r="J10" s="166" t="s">
        <v>59</v>
      </c>
      <c r="K10" s="166" t="s">
        <v>60</v>
      </c>
      <c r="L10" s="166" t="s">
        <v>61</v>
      </c>
      <c r="M10" s="166" t="s">
        <v>62</v>
      </c>
      <c r="N10" s="189" t="s">
        <v>63</v>
      </c>
    </row>
    <row r="11" ht="14.25" spans="1:16">
      <c r="A11" s="189">
        <v>2021</v>
      </c>
      <c r="B11" s="195">
        <f t="shared" ref="B11:M11" si="2">B13+B14</f>
        <v>14917</v>
      </c>
      <c r="C11" s="195">
        <f t="shared" si="2"/>
        <v>17889</v>
      </c>
      <c r="D11" s="195">
        <f t="shared" si="2"/>
        <v>29757</v>
      </c>
      <c r="E11" s="195">
        <f t="shared" si="2"/>
        <v>20653</v>
      </c>
      <c r="F11" s="195">
        <f t="shared" si="2"/>
        <v>24537</v>
      </c>
      <c r="G11" s="195">
        <f t="shared" si="2"/>
        <v>37629</v>
      </c>
      <c r="H11" s="195">
        <f t="shared" si="2"/>
        <v>18178</v>
      </c>
      <c r="I11" s="195">
        <f t="shared" si="2"/>
        <v>17889</v>
      </c>
      <c r="J11" s="195">
        <f t="shared" si="2"/>
        <v>29669</v>
      </c>
      <c r="K11" s="195">
        <f t="shared" si="2"/>
        <v>27349</v>
      </c>
      <c r="L11" s="195">
        <f t="shared" si="2"/>
        <v>29079</v>
      </c>
      <c r="M11" s="195">
        <f t="shared" si="2"/>
        <v>38669</v>
      </c>
      <c r="N11" s="195">
        <f>SUM(B11:L11)</f>
        <v>267546</v>
      </c>
    </row>
    <row r="12" ht="14.25" spans="1:16">
      <c r="A12" s="189" t="s">
        <v>64</v>
      </c>
      <c r="B12" s="189"/>
      <c r="C12" s="217">
        <f t="shared" ref="C12:M12" si="3">C11/B11-1</f>
        <v>0.199235771267681</v>
      </c>
      <c r="D12" s="217">
        <f t="shared" si="3"/>
        <v>0.663424450779809</v>
      </c>
      <c r="E12" s="217">
        <f t="shared" si="3"/>
        <v>-0.305944819706288</v>
      </c>
      <c r="F12" s="217">
        <f t="shared" si="3"/>
        <v>0.188059846027212</v>
      </c>
      <c r="G12" s="217">
        <f t="shared" si="3"/>
        <v>0.533561560092921</v>
      </c>
      <c r="H12" s="217">
        <f t="shared" si="3"/>
        <v>-0.516915145233729</v>
      </c>
      <c r="I12" s="217">
        <f t="shared" si="3"/>
        <v>-0.0158983386511168</v>
      </c>
      <c r="J12" s="217">
        <f t="shared" si="3"/>
        <v>0.658505226675611</v>
      </c>
      <c r="K12" s="217">
        <f t="shared" si="3"/>
        <v>-0.078196096936196</v>
      </c>
      <c r="L12" s="217">
        <f t="shared" si="3"/>
        <v>0.0632564261947421</v>
      </c>
      <c r="M12" s="217">
        <f t="shared" si="3"/>
        <v>0.329791258296365</v>
      </c>
      <c r="N12" s="218"/>
    </row>
    <row r="13" ht="14.25" spans="1:16">
      <c r="A13" s="219" t="s">
        <v>65</v>
      </c>
      <c r="B13" s="220">
        <v>6723</v>
      </c>
      <c r="C13" s="220">
        <v>8582</v>
      </c>
      <c r="D13" s="220">
        <v>15673</v>
      </c>
      <c r="E13" s="220">
        <v>9325</v>
      </c>
      <c r="F13" s="220">
        <v>11348</v>
      </c>
      <c r="G13" s="220">
        <v>20978</v>
      </c>
      <c r="H13" s="220">
        <v>7728</v>
      </c>
      <c r="I13" s="220">
        <v>10279</v>
      </c>
      <c r="J13" s="220">
        <v>17614</v>
      </c>
      <c r="K13" s="220">
        <v>15827</v>
      </c>
      <c r="L13" s="220">
        <v>16864</v>
      </c>
      <c r="M13" s="220">
        <v>23172</v>
      </c>
      <c r="N13" s="221">
        <f>SUM(B13:M13)</f>
        <v>164113</v>
      </c>
    </row>
    <row r="14" ht="14.25" spans="1:16">
      <c r="A14" s="219" t="s">
        <v>66</v>
      </c>
      <c r="B14" s="220">
        <v>8194</v>
      </c>
      <c r="C14" s="220">
        <v>9307</v>
      </c>
      <c r="D14" s="220">
        <v>14084</v>
      </c>
      <c r="E14" s="220">
        <v>11328</v>
      </c>
      <c r="F14" s="220">
        <v>13189</v>
      </c>
      <c r="G14" s="220">
        <v>16651</v>
      </c>
      <c r="H14" s="220">
        <v>10450</v>
      </c>
      <c r="I14" s="220">
        <v>7610</v>
      </c>
      <c r="J14" s="220">
        <v>12055</v>
      </c>
      <c r="K14" s="220">
        <v>11522</v>
      </c>
      <c r="L14" s="220">
        <v>12215</v>
      </c>
      <c r="M14" s="220">
        <v>15497</v>
      </c>
      <c r="N14" s="221">
        <f>SUM(B14:M14)</f>
        <v>142102</v>
      </c>
    </row>
    <row r="15" ht="14.25" spans="1:16">
      <c r="A15" s="219" t="s">
        <v>67</v>
      </c>
      <c r="B15" s="222">
        <f t="shared" ref="B15:N15" si="4">B13/B11</f>
        <v>0.450693839243816</v>
      </c>
      <c r="C15" s="222">
        <f t="shared" si="4"/>
        <v>0.479736150707138</v>
      </c>
      <c r="D15" s="222">
        <f t="shared" si="4"/>
        <v>0.526699600094096</v>
      </c>
      <c r="E15" s="222">
        <f t="shared" si="4"/>
        <v>0.451508255459255</v>
      </c>
      <c r="F15" s="222">
        <f t="shared" si="4"/>
        <v>0.462485226392795</v>
      </c>
      <c r="G15" s="222">
        <f t="shared" si="4"/>
        <v>0.557495548645991</v>
      </c>
      <c r="H15" s="222">
        <f t="shared" si="4"/>
        <v>0.425129277148201</v>
      </c>
      <c r="I15" s="222">
        <f t="shared" si="4"/>
        <v>0.574598915534686</v>
      </c>
      <c r="J15" s="222">
        <f t="shared" si="4"/>
        <v>0.59368364285955</v>
      </c>
      <c r="K15" s="222">
        <f t="shared" si="4"/>
        <v>0.578704888661377</v>
      </c>
      <c r="L15" s="222">
        <f t="shared" si="4"/>
        <v>0.579937411877988</v>
      </c>
      <c r="M15" s="222">
        <f t="shared" si="4"/>
        <v>0.599239701052523</v>
      </c>
      <c r="N15" s="207">
        <f t="shared" si="4"/>
        <v>0.613401060004635</v>
      </c>
    </row>
    <row r="16" ht="14.25" spans="1:16">
      <c r="A16" s="219" t="s">
        <v>68</v>
      </c>
      <c r="B16" s="222">
        <f t="shared" ref="B16:N16" si="5">B14/B11</f>
        <v>0.549306160756184</v>
      </c>
      <c r="C16" s="222">
        <f t="shared" si="5"/>
        <v>0.520263849292862</v>
      </c>
      <c r="D16" s="222">
        <f t="shared" si="5"/>
        <v>0.473300399905905</v>
      </c>
      <c r="E16" s="222">
        <f t="shared" si="5"/>
        <v>0.548491744540745</v>
      </c>
      <c r="F16" s="222">
        <f t="shared" si="5"/>
        <v>0.537514773607205</v>
      </c>
      <c r="G16" s="222">
        <f t="shared" si="5"/>
        <v>0.442504451354009</v>
      </c>
      <c r="H16" s="222">
        <f t="shared" si="5"/>
        <v>0.574870722851799</v>
      </c>
      <c r="I16" s="222">
        <f t="shared" si="5"/>
        <v>0.425401084465314</v>
      </c>
      <c r="J16" s="222">
        <f t="shared" si="5"/>
        <v>0.40631635714045</v>
      </c>
      <c r="K16" s="222">
        <f t="shared" si="5"/>
        <v>0.421295111338623</v>
      </c>
      <c r="L16" s="222">
        <f t="shared" si="5"/>
        <v>0.420062588122012</v>
      </c>
      <c r="M16" s="222">
        <f t="shared" si="5"/>
        <v>0.400760298947477</v>
      </c>
      <c r="N16" s="207">
        <f t="shared" si="5"/>
        <v>0.531131095213533</v>
      </c>
    </row>
    <row r="17" ht="14.25" spans="1:15">
      <c r="A17" s="189">
        <v>2022</v>
      </c>
      <c r="B17" s="195">
        <f t="shared" ref="B17:N17" si="6">B20+B21</f>
        <v>18151</v>
      </c>
      <c r="C17" s="195">
        <f t="shared" si="6"/>
        <v>22140</v>
      </c>
      <c r="D17" s="195">
        <f t="shared" si="6"/>
        <v>31525</v>
      </c>
      <c r="E17" s="195">
        <f t="shared" si="6"/>
        <v>22926</v>
      </c>
      <c r="F17" s="195">
        <f t="shared" si="6"/>
        <v>25548</v>
      </c>
      <c r="G17" s="195">
        <f t="shared" si="6"/>
        <v>33864</v>
      </c>
      <c r="H17" s="195">
        <f t="shared" si="6"/>
        <v>20038</v>
      </c>
      <c r="I17" s="195">
        <f t="shared" si="6"/>
        <v>19226</v>
      </c>
      <c r="J17" s="195">
        <f t="shared" si="6"/>
        <v>34101</v>
      </c>
      <c r="K17" s="195">
        <f t="shared" si="6"/>
        <v>27974</v>
      </c>
      <c r="L17" s="195">
        <f t="shared" si="6"/>
        <v>32645</v>
      </c>
      <c r="M17" s="195">
        <f t="shared" si="6"/>
        <v>41532</v>
      </c>
      <c r="N17" s="195">
        <f t="shared" si="6"/>
        <v>329670</v>
      </c>
      <c r="O17" s="151">
        <f>SUM(B17:K17)</f>
        <v>255493</v>
      </c>
    </row>
    <row r="18" ht="14.25" spans="1:15">
      <c r="A18" s="189" t="s">
        <v>64</v>
      </c>
      <c r="B18" s="217"/>
      <c r="C18" s="217">
        <f t="shared" ref="C18:M18" si="7">C17/B17-1</f>
        <v>0.219767505922539</v>
      </c>
      <c r="D18" s="217">
        <f t="shared" si="7"/>
        <v>0.423893405600723</v>
      </c>
      <c r="E18" s="217">
        <f t="shared" si="7"/>
        <v>-0.272767644726408</v>
      </c>
      <c r="F18" s="217">
        <f t="shared" si="7"/>
        <v>0.114367966500916</v>
      </c>
      <c r="G18" s="217">
        <f t="shared" si="7"/>
        <v>0.325504931892908</v>
      </c>
      <c r="H18" s="217">
        <f t="shared" si="7"/>
        <v>-0.408280179541696</v>
      </c>
      <c r="I18" s="217">
        <f t="shared" si="7"/>
        <v>-0.0405230062880527</v>
      </c>
      <c r="J18" s="217">
        <f t="shared" si="7"/>
        <v>0.773691875585145</v>
      </c>
      <c r="K18" s="217">
        <f t="shared" si="7"/>
        <v>-0.179672150376822</v>
      </c>
      <c r="L18" s="217">
        <f t="shared" si="7"/>
        <v>0.16697647815829</v>
      </c>
      <c r="M18" s="217">
        <f t="shared" si="7"/>
        <v>0.272231582171849</v>
      </c>
      <c r="N18" s="189"/>
    </row>
    <row r="19" ht="14.25" spans="1:15">
      <c r="A19" s="189" t="s">
        <v>69</v>
      </c>
      <c r="B19" s="217">
        <f t="shared" ref="B19:N19" si="8">(B17-B11)/B11</f>
        <v>0.216799624589395</v>
      </c>
      <c r="C19" s="217">
        <f t="shared" si="8"/>
        <v>0.237632064397116</v>
      </c>
      <c r="D19" s="217">
        <f t="shared" si="8"/>
        <v>0.0594145915246833</v>
      </c>
      <c r="E19" s="217">
        <f t="shared" si="8"/>
        <v>0.110056650365564</v>
      </c>
      <c r="F19" s="217">
        <f t="shared" si="8"/>
        <v>0.0412030810612544</v>
      </c>
      <c r="G19" s="217">
        <f t="shared" si="8"/>
        <v>-0.10005580802041</v>
      </c>
      <c r="H19" s="217">
        <f t="shared" si="8"/>
        <v>0.102321487512378</v>
      </c>
      <c r="I19" s="217">
        <f t="shared" si="8"/>
        <v>0.0747386662194645</v>
      </c>
      <c r="J19" s="217">
        <f t="shared" si="8"/>
        <v>0.149381509319492</v>
      </c>
      <c r="K19" s="217">
        <f t="shared" si="8"/>
        <v>0.0228527551281583</v>
      </c>
      <c r="L19" s="217">
        <f t="shared" si="8"/>
        <v>0.122631452250765</v>
      </c>
      <c r="M19" s="217">
        <f t="shared" si="8"/>
        <v>0.0740386355995759</v>
      </c>
      <c r="N19" s="217">
        <f t="shared" si="8"/>
        <v>0.232199322733287</v>
      </c>
    </row>
    <row r="20" ht="14.25" spans="1:15">
      <c r="A20" s="219" t="s">
        <v>65</v>
      </c>
      <c r="B20" s="220">
        <v>10217</v>
      </c>
      <c r="C20" s="220">
        <v>12454</v>
      </c>
      <c r="D20" s="220">
        <v>19835</v>
      </c>
      <c r="E20" s="220">
        <f>56198-43506</f>
        <v>12692</v>
      </c>
      <c r="F20" s="219">
        <v>14246</v>
      </c>
      <c r="G20" s="220">
        <v>21900</v>
      </c>
      <c r="H20" s="220">
        <v>12812</v>
      </c>
      <c r="I20" s="220">
        <f>118482-106156</f>
        <v>12326</v>
      </c>
      <c r="J20" s="220">
        <f>140965-118482</f>
        <v>22483</v>
      </c>
      <c r="K20" s="220">
        <f>157831-140965</f>
        <v>16866</v>
      </c>
      <c r="L20" s="220">
        <f>178134-157831</f>
        <v>20303</v>
      </c>
      <c r="M20" s="220">
        <v>26987</v>
      </c>
      <c r="N20" s="221">
        <f>SUM(B20:M20)</f>
        <v>203121</v>
      </c>
    </row>
    <row r="21" ht="14.25" spans="1:15">
      <c r="A21" s="219" t="s">
        <v>66</v>
      </c>
      <c r="B21" s="220">
        <v>7934</v>
      </c>
      <c r="C21" s="220">
        <v>9686</v>
      </c>
      <c r="D21" s="220">
        <v>11690</v>
      </c>
      <c r="E21" s="220">
        <f>39544-29310</f>
        <v>10234</v>
      </c>
      <c r="F21" s="219">
        <v>11302</v>
      </c>
      <c r="G21" s="220">
        <v>11964</v>
      </c>
      <c r="H21" s="220">
        <v>7226</v>
      </c>
      <c r="I21" s="220">
        <f>76936-70036</f>
        <v>6900</v>
      </c>
      <c r="J21" s="220">
        <f>88554-76936</f>
        <v>11618</v>
      </c>
      <c r="K21" s="220">
        <f>99662-88554</f>
        <v>11108</v>
      </c>
      <c r="L21" s="220">
        <f>112004-99662</f>
        <v>12342</v>
      </c>
      <c r="M21" s="220">
        <v>14545</v>
      </c>
      <c r="N21" s="221">
        <f>SUM(B21:M21)</f>
        <v>126549</v>
      </c>
    </row>
    <row r="22" ht="14.25" spans="1:15">
      <c r="A22" s="219" t="s">
        <v>67</v>
      </c>
      <c r="B22" s="223">
        <f t="shared" ref="B22:N22" si="9">B20/B17</f>
        <v>0.562889097019448</v>
      </c>
      <c r="C22" s="223">
        <f t="shared" si="9"/>
        <v>0.562511291779584</v>
      </c>
      <c r="D22" s="223">
        <f t="shared" si="9"/>
        <v>0.629183187946075</v>
      </c>
      <c r="E22" s="223">
        <f t="shared" si="9"/>
        <v>0.553607258134869</v>
      </c>
      <c r="F22" s="223">
        <f t="shared" si="9"/>
        <v>0.557617034601534</v>
      </c>
      <c r="G22" s="223">
        <f t="shared" si="9"/>
        <v>0.646704464918498</v>
      </c>
      <c r="H22" s="223">
        <f t="shared" si="9"/>
        <v>0.639385168180457</v>
      </c>
      <c r="I22" s="223">
        <f t="shared" si="9"/>
        <v>0.641110995526891</v>
      </c>
      <c r="J22" s="223">
        <f t="shared" si="9"/>
        <v>0.659306178704437</v>
      </c>
      <c r="K22" s="223">
        <f t="shared" si="9"/>
        <v>0.602916994351898</v>
      </c>
      <c r="L22" s="223">
        <f t="shared" si="9"/>
        <v>0.621932914688314</v>
      </c>
      <c r="M22" s="223">
        <f t="shared" si="9"/>
        <v>0.649788115188288</v>
      </c>
      <c r="N22" s="217">
        <f t="shared" si="9"/>
        <v>0.616134316134316</v>
      </c>
    </row>
    <row r="23" ht="14.25" spans="1:15">
      <c r="A23" s="219" t="s">
        <v>68</v>
      </c>
      <c r="B23" s="224">
        <f t="shared" ref="B23:N23" si="10">B21/B17</f>
        <v>0.437110902980552</v>
      </c>
      <c r="C23" s="224">
        <f t="shared" si="10"/>
        <v>0.437488708220416</v>
      </c>
      <c r="D23" s="224">
        <f t="shared" si="10"/>
        <v>0.370816812053925</v>
      </c>
      <c r="E23" s="224">
        <f t="shared" si="10"/>
        <v>0.446392741865131</v>
      </c>
      <c r="F23" s="224">
        <f t="shared" si="10"/>
        <v>0.442382965398466</v>
      </c>
      <c r="G23" s="224">
        <f t="shared" si="10"/>
        <v>0.353295535081502</v>
      </c>
      <c r="H23" s="224">
        <f t="shared" si="10"/>
        <v>0.360614831819543</v>
      </c>
      <c r="I23" s="224">
        <f t="shared" si="10"/>
        <v>0.358889004473109</v>
      </c>
      <c r="J23" s="224">
        <f t="shared" si="10"/>
        <v>0.340693821295563</v>
      </c>
      <c r="K23" s="224">
        <f t="shared" si="10"/>
        <v>0.397083005648102</v>
      </c>
      <c r="L23" s="224">
        <f t="shared" si="10"/>
        <v>0.378067085311686</v>
      </c>
      <c r="M23" s="224">
        <f t="shared" si="10"/>
        <v>0.350211884811711</v>
      </c>
      <c r="N23" s="217">
        <f t="shared" si="10"/>
        <v>0.383865683865684</v>
      </c>
    </row>
    <row r="24" ht="14.25" spans="1:15">
      <c r="A24" s="189">
        <v>2023</v>
      </c>
      <c r="B24" s="221">
        <f>SUM(B27,B28)</f>
        <v>24949</v>
      </c>
      <c r="C24" s="221">
        <f>SUM(C27,C28)</f>
        <v>30093</v>
      </c>
      <c r="D24" s="189">
        <f t="shared" ref="D24:J24" si="11">D27+D28</f>
        <v>46354</v>
      </c>
      <c r="E24" s="189">
        <f t="shared" si="11"/>
        <v>27991</v>
      </c>
      <c r="F24" s="189">
        <f t="shared" si="11"/>
        <v>35369</v>
      </c>
      <c r="G24" s="189">
        <f t="shared" si="11"/>
        <v>51312</v>
      </c>
      <c r="H24" s="189">
        <f t="shared" si="11"/>
        <v>30128</v>
      </c>
      <c r="I24" s="189">
        <f t="shared" si="11"/>
        <v>29187</v>
      </c>
      <c r="J24" s="189">
        <f t="shared" si="11"/>
        <v>45883</v>
      </c>
      <c r="K24" s="189">
        <f t="shared" ref="K24" si="12">K27+K28</f>
        <v>40424</v>
      </c>
      <c r="L24" s="189">
        <v>45310</v>
      </c>
      <c r="M24" s="189">
        <v>54423</v>
      </c>
      <c r="N24" s="221">
        <f t="shared" ref="N24:N28" si="13">SUM(B24:M24)</f>
        <v>461423</v>
      </c>
    </row>
    <row r="25" ht="14.25" spans="1:15">
      <c r="A25" s="189" t="s">
        <v>64</v>
      </c>
      <c r="B25" s="194"/>
      <c r="C25" s="226">
        <f t="shared" ref="C25:M25" si="14">C24/B24-1</f>
        <v>0.20618060844122</v>
      </c>
      <c r="D25" s="226">
        <f t="shared" si="14"/>
        <v>0.540358222842521</v>
      </c>
      <c r="E25" s="226">
        <f t="shared" si="14"/>
        <v>-0.396147042326444</v>
      </c>
      <c r="F25" s="226">
        <f t="shared" si="14"/>
        <v>0.263584723661177</v>
      </c>
      <c r="G25" s="226">
        <f t="shared" si="14"/>
        <v>0.450761966693997</v>
      </c>
      <c r="H25" s="226">
        <f t="shared" si="14"/>
        <v>-0.412846897411911</v>
      </c>
      <c r="I25" s="226">
        <f t="shared" si="14"/>
        <v>-0.0312334041423261</v>
      </c>
      <c r="J25" s="226">
        <f t="shared" si="14"/>
        <v>0.572035495254737</v>
      </c>
      <c r="K25" s="226">
        <f t="shared" si="14"/>
        <v>-0.118976527254103</v>
      </c>
      <c r="L25" s="226">
        <f t="shared" si="14"/>
        <v>0.120868790817336</v>
      </c>
      <c r="M25" s="226">
        <f t="shared" si="14"/>
        <v>0.201125579342309</v>
      </c>
    </row>
    <row r="26" ht="14.25" spans="1:15">
      <c r="A26" s="189" t="s">
        <v>69</v>
      </c>
      <c r="B26" s="207">
        <f t="shared" ref="B26:H26" si="15">(B24-B17)/B17</f>
        <v>0.37452481956917</v>
      </c>
      <c r="C26" s="207">
        <f t="shared" si="15"/>
        <v>0.359214092140921</v>
      </c>
      <c r="D26" s="207">
        <f t="shared" si="15"/>
        <v>0.470388580491673</v>
      </c>
      <c r="E26" s="207">
        <f t="shared" si="15"/>
        <v>0.220928203786094</v>
      </c>
      <c r="F26" s="207">
        <f t="shared" si="15"/>
        <v>0.384413652732112</v>
      </c>
      <c r="G26" s="207">
        <f t="shared" si="15"/>
        <v>0.515237420269313</v>
      </c>
      <c r="H26" s="207">
        <f t="shared" si="15"/>
        <v>0.503543267791197</v>
      </c>
      <c r="I26" s="207">
        <f t="shared" ref="I26:M26" si="16">(I24-I17)/I17</f>
        <v>0.518100488921252</v>
      </c>
      <c r="J26" s="207">
        <f t="shared" si="16"/>
        <v>0.345503064426263</v>
      </c>
      <c r="K26" s="207">
        <f t="shared" si="16"/>
        <v>0.44505612354329</v>
      </c>
      <c r="L26" s="207">
        <f t="shared" si="16"/>
        <v>0.387961402971359</v>
      </c>
      <c r="M26" s="207">
        <f t="shared" si="16"/>
        <v>0.310387171337764</v>
      </c>
      <c r="N26" s="170">
        <f>N24/SUM(B17:M17)-1</f>
        <v>0.399651166317833</v>
      </c>
    </row>
    <row r="27" ht="14.25" spans="1:15">
      <c r="A27" s="219" t="s">
        <v>65</v>
      </c>
      <c r="B27" s="220">
        <v>14649</v>
      </c>
      <c r="C27" s="220">
        <v>19598</v>
      </c>
      <c r="D27" s="220">
        <f>64884-C27-B27</f>
        <v>30637</v>
      </c>
      <c r="E27" s="220">
        <v>17113</v>
      </c>
      <c r="F27" s="220">
        <v>22737</v>
      </c>
      <c r="G27" s="220">
        <v>33343</v>
      </c>
      <c r="H27" s="220">
        <v>16896</v>
      </c>
      <c r="I27" s="220">
        <v>19657</v>
      </c>
      <c r="J27" s="220">
        <f>204843-174630</f>
        <v>30213</v>
      </c>
      <c r="K27" s="220">
        <f>230337-204843</f>
        <v>25494</v>
      </c>
      <c r="L27" s="220">
        <v>30770</v>
      </c>
      <c r="M27" s="220">
        <v>37364</v>
      </c>
      <c r="N27" s="221">
        <f t="shared" si="13"/>
        <v>298471</v>
      </c>
    </row>
    <row r="28" ht="14.25" spans="1:15">
      <c r="A28" s="219" t="s">
        <v>66</v>
      </c>
      <c r="B28" s="220">
        <v>10300</v>
      </c>
      <c r="C28" s="220">
        <v>10495</v>
      </c>
      <c r="D28" s="220">
        <f>36512-C28-B28</f>
        <v>15717</v>
      </c>
      <c r="E28" s="220">
        <v>10878</v>
      </c>
      <c r="F28" s="220">
        <v>12632</v>
      </c>
      <c r="G28" s="220">
        <v>17969</v>
      </c>
      <c r="H28" s="220">
        <v>13232</v>
      </c>
      <c r="I28" s="220">
        <v>9530</v>
      </c>
      <c r="J28" s="220">
        <f>116423-100753</f>
        <v>15670</v>
      </c>
      <c r="K28" s="220">
        <f>131353-116423</f>
        <v>14930</v>
      </c>
      <c r="L28" s="220">
        <v>14540</v>
      </c>
      <c r="M28" s="220">
        <v>17059</v>
      </c>
      <c r="N28" s="221">
        <f t="shared" si="13"/>
        <v>162952</v>
      </c>
    </row>
    <row r="29" ht="14.25" spans="1:15">
      <c r="A29" s="219" t="s">
        <v>67</v>
      </c>
      <c r="B29" s="224">
        <f t="shared" ref="B29:H29" si="17">B27/B24</f>
        <v>0.587157801915908</v>
      </c>
      <c r="C29" s="224">
        <f t="shared" si="17"/>
        <v>0.651247798491344</v>
      </c>
      <c r="D29" s="224">
        <f t="shared" si="17"/>
        <v>0.660935410104845</v>
      </c>
      <c r="E29" s="224">
        <f t="shared" si="17"/>
        <v>0.611375084848701</v>
      </c>
      <c r="F29" s="224">
        <f t="shared" si="17"/>
        <v>0.642851084282847</v>
      </c>
      <c r="G29" s="224">
        <f t="shared" si="17"/>
        <v>0.649809011537262</v>
      </c>
      <c r="H29" s="224">
        <f t="shared" si="17"/>
        <v>0.56080722251726</v>
      </c>
      <c r="I29" s="224">
        <f t="shared" ref="I29:N29" si="18">I27/I24</f>
        <v>0.673484770617056</v>
      </c>
      <c r="J29" s="224">
        <f t="shared" si="18"/>
        <v>0.658479175293682</v>
      </c>
      <c r="K29" s="224">
        <f t="shared" si="18"/>
        <v>0.630664951513952</v>
      </c>
      <c r="L29" s="224">
        <f t="shared" si="18"/>
        <v>0.679099536526153</v>
      </c>
      <c r="M29" s="224">
        <f t="shared" si="18"/>
        <v>0.68654796685225</v>
      </c>
      <c r="N29" s="217">
        <f t="shared" si="18"/>
        <v>0.646848986721511</v>
      </c>
    </row>
    <row r="30" ht="14.25" spans="1:15">
      <c r="A30" s="219" t="s">
        <v>68</v>
      </c>
      <c r="B30" s="224">
        <f t="shared" ref="B30:H30" si="19">B28/B24</f>
        <v>0.412842198084092</v>
      </c>
      <c r="C30" s="224">
        <f t="shared" si="19"/>
        <v>0.348752201508656</v>
      </c>
      <c r="D30" s="224">
        <f t="shared" si="19"/>
        <v>0.339064589895155</v>
      </c>
      <c r="E30" s="224">
        <f t="shared" si="19"/>
        <v>0.388624915151299</v>
      </c>
      <c r="F30" s="224">
        <f t="shared" si="19"/>
        <v>0.357148915717153</v>
      </c>
      <c r="G30" s="224">
        <f t="shared" si="19"/>
        <v>0.350190988462738</v>
      </c>
      <c r="H30" s="224">
        <f t="shared" si="19"/>
        <v>0.43919277748274</v>
      </c>
      <c r="I30" s="224">
        <f t="shared" ref="I30:N30" si="20">I28/I24</f>
        <v>0.326515229382944</v>
      </c>
      <c r="J30" s="224">
        <f t="shared" si="20"/>
        <v>0.341520824706318</v>
      </c>
      <c r="K30" s="224">
        <f t="shared" si="20"/>
        <v>0.369335048486048</v>
      </c>
      <c r="L30" s="224">
        <f t="shared" si="20"/>
        <v>0.320900463473847</v>
      </c>
      <c r="M30" s="224">
        <f t="shared" si="20"/>
        <v>0.31345203314775</v>
      </c>
      <c r="N30" s="217">
        <f t="shared" si="20"/>
        <v>0.353151013278489</v>
      </c>
    </row>
    <row r="31" ht="14.25" spans="1:15">
      <c r="A31" s="189">
        <v>2024</v>
      </c>
      <c r="B31" s="221">
        <v>30318</v>
      </c>
      <c r="C31" s="221">
        <v>37610</v>
      </c>
      <c r="D31" s="221">
        <v>50232</v>
      </c>
      <c r="E31" s="221">
        <v>35370</v>
      </c>
      <c r="F31" s="221">
        <v>34088</v>
      </c>
      <c r="G31" s="221">
        <v>43886</v>
      </c>
      <c r="H31" s="221">
        <v>26206</v>
      </c>
      <c r="I31" s="221">
        <v>19271</v>
      </c>
      <c r="J31" s="221">
        <v>39006</v>
      </c>
      <c r="K31" s="221">
        <v>31795</v>
      </c>
      <c r="L31" s="221">
        <f>L34+L35</f>
        <v>34938</v>
      </c>
      <c r="M31" s="221">
        <f>M34+M35</f>
        <v>54336</v>
      </c>
      <c r="N31" s="221">
        <f t="shared" ref="N31" si="21">SUM(B31:M31)</f>
        <v>437056</v>
      </c>
    </row>
    <row r="32" ht="14.25" spans="1:15">
      <c r="A32" s="189" t="s">
        <v>64</v>
      </c>
      <c r="B32" s="226"/>
      <c r="C32" s="226">
        <f>C31/B31-1</f>
        <v>0.240517184510852</v>
      </c>
      <c r="D32" s="226">
        <f t="shared" ref="D32:M32" si="22">D31/C31-1</f>
        <v>0.335602233448551</v>
      </c>
      <c r="E32" s="226">
        <f t="shared" si="22"/>
        <v>-0.295867176301959</v>
      </c>
      <c r="F32" s="226">
        <f t="shared" si="22"/>
        <v>-0.0362454057110546</v>
      </c>
      <c r="G32" s="226">
        <f t="shared" si="22"/>
        <v>0.287432527575686</v>
      </c>
      <c r="H32" s="226">
        <f t="shared" si="22"/>
        <v>-0.402861960534111</v>
      </c>
      <c r="I32" s="226">
        <f t="shared" si="22"/>
        <v>-0.264634053270243</v>
      </c>
      <c r="J32" s="226">
        <f t="shared" si="22"/>
        <v>1.02407762959888</v>
      </c>
      <c r="K32" s="226">
        <f t="shared" si="22"/>
        <v>-0.184868994513665</v>
      </c>
      <c r="L32" s="226">
        <f t="shared" si="22"/>
        <v>0.0988520207579808</v>
      </c>
      <c r="M32" s="226">
        <f t="shared" si="22"/>
        <v>0.555212089987979</v>
      </c>
      <c r="N32" s="226"/>
    </row>
    <row r="33" ht="14.25" spans="1:14">
      <c r="A33" s="189" t="s">
        <v>69</v>
      </c>
      <c r="B33" s="226">
        <f>B31/B24-1</f>
        <v>0.215199005972183</v>
      </c>
      <c r="C33" s="226">
        <f t="shared" ref="C33:J33" si="23">C31/C24-1</f>
        <v>0.249792310504104</v>
      </c>
      <c r="D33" s="226">
        <f t="shared" si="23"/>
        <v>0.0836605255209906</v>
      </c>
      <c r="E33" s="226">
        <f t="shared" si="23"/>
        <v>0.263620449430174</v>
      </c>
      <c r="F33" s="226">
        <f t="shared" si="23"/>
        <v>-0.036218157143261</v>
      </c>
      <c r="G33" s="226">
        <f t="shared" si="23"/>
        <v>-0.144722482070471</v>
      </c>
      <c r="H33" s="226">
        <f t="shared" si="23"/>
        <v>-0.130177907594265</v>
      </c>
      <c r="I33" s="226">
        <f t="shared" si="23"/>
        <v>-0.339740295336965</v>
      </c>
      <c r="J33" s="226">
        <f t="shared" si="23"/>
        <v>-0.149881219623826</v>
      </c>
      <c r="K33" s="226">
        <f t="shared" ref="K33:M33" si="24">K31/K24-1</f>
        <v>-0.213462299623986</v>
      </c>
      <c r="L33" s="226">
        <f t="shared" si="24"/>
        <v>-0.228911939969102</v>
      </c>
      <c r="M33" s="226">
        <f t="shared" si="24"/>
        <v>-0.00159858883192765</v>
      </c>
      <c r="N33" s="217">
        <f>(N31-N24)/N24</f>
        <v>-0.0528083775624535</v>
      </c>
    </row>
    <row r="34" ht="14.25" spans="1:14">
      <c r="A34" s="219" t="s">
        <v>65</v>
      </c>
      <c r="B34" s="220">
        <v>20017</v>
      </c>
      <c r="C34" s="220">
        <v>25872</v>
      </c>
      <c r="D34" s="220">
        <v>33941</v>
      </c>
      <c r="E34" s="220">
        <v>24484</v>
      </c>
      <c r="F34" s="220">
        <v>23887</v>
      </c>
      <c r="G34" s="220">
        <v>29842</v>
      </c>
      <c r="H34" s="220">
        <v>17032</v>
      </c>
      <c r="I34" s="220">
        <v>13109</v>
      </c>
      <c r="J34" s="220">
        <v>28301</v>
      </c>
      <c r="K34" s="220">
        <v>20901</v>
      </c>
      <c r="L34" s="220">
        <v>23255</v>
      </c>
      <c r="M34" s="227">
        <v>29619</v>
      </c>
      <c r="N34" s="221">
        <f t="shared" ref="N34:N35" si="25">SUM(B34:M34)</f>
        <v>290260</v>
      </c>
    </row>
    <row r="35" ht="14.25" spans="1:14">
      <c r="A35" s="219" t="s">
        <v>66</v>
      </c>
      <c r="B35" s="220">
        <v>10301</v>
      </c>
      <c r="C35" s="220">
        <v>11738</v>
      </c>
      <c r="D35" s="220">
        <v>16291</v>
      </c>
      <c r="E35" s="220">
        <v>10886</v>
      </c>
      <c r="F35" s="220">
        <v>10201</v>
      </c>
      <c r="G35" s="220">
        <v>14044</v>
      </c>
      <c r="H35" s="220">
        <v>9174</v>
      </c>
      <c r="I35" s="220">
        <v>6162</v>
      </c>
      <c r="J35" s="220">
        <v>10705</v>
      </c>
      <c r="K35" s="220">
        <v>10894</v>
      </c>
      <c r="L35" s="220">
        <v>11683</v>
      </c>
      <c r="M35" s="227">
        <v>24717</v>
      </c>
      <c r="N35" s="221">
        <f t="shared" si="25"/>
        <v>146796</v>
      </c>
    </row>
    <row r="36" ht="14.25" spans="1:14">
      <c r="A36" s="219" t="s">
        <v>67</v>
      </c>
      <c r="B36" s="224">
        <f>B34/B31</f>
        <v>0.66023484398707</v>
      </c>
      <c r="C36" s="224">
        <f t="shared" ref="C36:J36" si="26">C34/C31</f>
        <v>0.687902153682531</v>
      </c>
      <c r="D36" s="224">
        <f t="shared" si="26"/>
        <v>0.675684822423953</v>
      </c>
      <c r="E36" s="224">
        <f t="shared" si="26"/>
        <v>0.692225049476958</v>
      </c>
      <c r="F36" s="224">
        <f t="shared" si="26"/>
        <v>0.700745130251115</v>
      </c>
      <c r="G36" s="224">
        <f t="shared" si="26"/>
        <v>0.679989062571207</v>
      </c>
      <c r="H36" s="224">
        <f t="shared" si="26"/>
        <v>0.649927497519652</v>
      </c>
      <c r="I36" s="224">
        <f t="shared" si="26"/>
        <v>0.680244927611437</v>
      </c>
      <c r="J36" s="224">
        <f t="shared" si="26"/>
        <v>0.725555042813926</v>
      </c>
      <c r="K36" s="224">
        <f t="shared" ref="K36:N36" si="27">K34/K31</f>
        <v>0.657367510614877</v>
      </c>
      <c r="L36" s="224">
        <f t="shared" si="27"/>
        <v>0.665607647833305</v>
      </c>
      <c r="M36" s="224">
        <f t="shared" si="27"/>
        <v>0.545108215547703</v>
      </c>
      <c r="N36" s="217">
        <f t="shared" si="27"/>
        <v>0.664125420998682</v>
      </c>
    </row>
    <row r="37" ht="14.25" spans="1:14">
      <c r="A37" s="219" t="s">
        <v>68</v>
      </c>
      <c r="B37" s="224">
        <f>B35/B31</f>
        <v>0.33976515601293</v>
      </c>
      <c r="C37" s="224">
        <f t="shared" ref="C37:J37" si="28">C35/C31</f>
        <v>0.312097846317469</v>
      </c>
      <c r="D37" s="224">
        <f t="shared" si="28"/>
        <v>0.324315177576047</v>
      </c>
      <c r="E37" s="224">
        <f t="shared" si="28"/>
        <v>0.307774950523042</v>
      </c>
      <c r="F37" s="224">
        <f t="shared" si="28"/>
        <v>0.299254869748885</v>
      </c>
      <c r="G37" s="224">
        <f t="shared" si="28"/>
        <v>0.320010937428793</v>
      </c>
      <c r="H37" s="224">
        <f t="shared" si="28"/>
        <v>0.350072502480348</v>
      </c>
      <c r="I37" s="224">
        <f t="shared" si="28"/>
        <v>0.319755072388563</v>
      </c>
      <c r="J37" s="224">
        <f t="shared" si="28"/>
        <v>0.274444957186074</v>
      </c>
      <c r="K37" s="224">
        <f t="shared" ref="K37:N37" si="29">K35/K31</f>
        <v>0.342632489385123</v>
      </c>
      <c r="L37" s="224">
        <f t="shared" si="29"/>
        <v>0.334392352166695</v>
      </c>
      <c r="M37" s="224">
        <f t="shared" si="29"/>
        <v>0.454891784452297</v>
      </c>
      <c r="N37" s="217">
        <f t="shared" si="29"/>
        <v>0.335874579001318</v>
      </c>
    </row>
    <row r="38" ht="14.25" spans="1:14">
      <c r="A38" s="189">
        <v>2025</v>
      </c>
      <c r="B38" s="221">
        <f>SUM(B41:B42)</f>
        <v>24775</v>
      </c>
      <c r="C38" s="221">
        <f>SUM(C41:C42)</f>
        <v>31786</v>
      </c>
      <c r="D38" s="221">
        <f>SUM(D41:D42)</f>
        <v>37550</v>
      </c>
      <c r="E38" s="189">
        <f>E41+E42</f>
        <v>35135</v>
      </c>
      <c r="F38" s="189"/>
      <c r="G38" s="189"/>
      <c r="H38" s="189"/>
      <c r="I38" s="189"/>
      <c r="J38" s="189"/>
      <c r="K38" s="189"/>
      <c r="L38" s="189"/>
      <c r="M38" s="189"/>
      <c r="N38" s="221">
        <f>SUM(B38:M38)</f>
        <v>129246</v>
      </c>
    </row>
    <row r="39" ht="14.25" spans="1:14">
      <c r="A39" s="189" t="s">
        <v>64</v>
      </c>
      <c r="B39" s="207">
        <f>B38/M31-1</f>
        <v>-0.54404078327444</v>
      </c>
      <c r="C39" s="207">
        <f t="shared" ref="C39:E39" si="30">C38/B38-1</f>
        <v>0.282986881937437</v>
      </c>
      <c r="D39" s="207">
        <f t="shared" si="30"/>
        <v>0.181337695840936</v>
      </c>
      <c r="E39" s="207">
        <f t="shared" si="30"/>
        <v>-0.0643142476697737</v>
      </c>
      <c r="F39" s="207"/>
      <c r="G39" s="226"/>
      <c r="H39" s="226"/>
      <c r="I39" s="226"/>
      <c r="J39" s="226"/>
      <c r="K39" s="226"/>
      <c r="L39" s="226"/>
      <c r="M39" s="226"/>
    </row>
    <row r="40" ht="14.25" spans="1:14">
      <c r="A40" s="189" t="s">
        <v>69</v>
      </c>
      <c r="B40" s="207">
        <f t="shared" ref="B40:E40" si="31">B38/B31-1</f>
        <v>-0.18282868263078</v>
      </c>
      <c r="C40" s="207">
        <f t="shared" si="31"/>
        <v>-0.1548524328636</v>
      </c>
      <c r="D40" s="207">
        <f t="shared" si="31"/>
        <v>-0.252468545946807</v>
      </c>
      <c r="E40" s="207">
        <f t="shared" si="31"/>
        <v>-0.00664404862878143</v>
      </c>
      <c r="F40" s="207"/>
      <c r="G40" s="207"/>
      <c r="H40" s="207"/>
      <c r="I40" s="207"/>
      <c r="J40" s="207"/>
      <c r="K40" s="207"/>
      <c r="L40" s="207"/>
      <c r="M40" s="207"/>
      <c r="N40" s="217">
        <f>(N38-N31)/N31</f>
        <v>-0.704280458339435</v>
      </c>
    </row>
    <row r="41" ht="14.25" spans="1:14">
      <c r="A41" s="219" t="s">
        <v>65</v>
      </c>
      <c r="B41" s="227">
        <v>19923</v>
      </c>
      <c r="C41" s="227">
        <v>25335</v>
      </c>
      <c r="D41" s="232">
        <v>29261</v>
      </c>
      <c r="E41" s="233">
        <v>25542</v>
      </c>
      <c r="F41" s="233"/>
      <c r="G41" s="233"/>
      <c r="H41" s="233"/>
      <c r="I41" s="233"/>
      <c r="J41" s="233"/>
      <c r="K41" s="233"/>
      <c r="L41" s="233"/>
      <c r="M41" s="233"/>
      <c r="N41" s="221">
        <f>SUM(B41:M41)</f>
        <v>100061</v>
      </c>
    </row>
    <row r="42" ht="14.25" spans="1:14">
      <c r="A42" s="219" t="s">
        <v>66</v>
      </c>
      <c r="B42" s="227">
        <v>4852</v>
      </c>
      <c r="C42" s="227">
        <v>6451</v>
      </c>
      <c r="D42" s="233">
        <v>8289</v>
      </c>
      <c r="E42" s="233">
        <v>9593</v>
      </c>
      <c r="F42" s="233"/>
      <c r="G42" s="233"/>
      <c r="H42" s="233"/>
      <c r="I42" s="233"/>
      <c r="J42" s="233"/>
      <c r="K42" s="233"/>
      <c r="L42" s="233"/>
      <c r="M42" s="233"/>
      <c r="N42" s="234">
        <f>SUM(B42:M42)</f>
        <v>29185</v>
      </c>
    </row>
    <row r="43" ht="14.25" spans="1:14">
      <c r="A43" s="219" t="s">
        <v>67</v>
      </c>
      <c r="B43" s="222">
        <f t="shared" ref="B43:N43" si="32">B41/B38</f>
        <v>0.804157416750757</v>
      </c>
      <c r="C43" s="222">
        <f t="shared" si="32"/>
        <v>0.79704901528975</v>
      </c>
      <c r="D43" s="222">
        <f t="shared" si="32"/>
        <v>0.779254327563249</v>
      </c>
      <c r="E43" s="222">
        <f t="shared" si="32"/>
        <v>0.726967411413121</v>
      </c>
      <c r="F43" s="222"/>
      <c r="G43" s="235"/>
      <c r="H43" s="235"/>
      <c r="I43" s="235"/>
      <c r="J43" s="235"/>
      <c r="K43" s="235"/>
      <c r="L43" s="235"/>
      <c r="M43" s="235"/>
      <c r="N43" s="217">
        <f t="shared" si="32"/>
        <v>0.774190303761819</v>
      </c>
    </row>
    <row r="44" ht="14.25" spans="1:14">
      <c r="A44" s="219" t="s">
        <v>68</v>
      </c>
      <c r="B44" s="222">
        <f t="shared" ref="B44:E44" si="33">B42/B38</f>
        <v>0.195842583249243</v>
      </c>
      <c r="C44" s="222">
        <f t="shared" si="33"/>
        <v>0.20295098471025</v>
      </c>
      <c r="D44" s="222">
        <f t="shared" si="33"/>
        <v>0.220745672436751</v>
      </c>
      <c r="E44" s="222">
        <f t="shared" si="33"/>
        <v>0.273032588586879</v>
      </c>
      <c r="F44" s="222"/>
      <c r="G44" s="235"/>
      <c r="H44" s="235"/>
      <c r="I44" s="235"/>
      <c r="J44" s="235"/>
      <c r="K44" s="235"/>
      <c r="L44" s="235"/>
      <c r="M44" s="235"/>
      <c r="N44" s="217">
        <f>N42/N38</f>
        <v>0.225809696238181</v>
      </c>
    </row>
    <row r="46" ht="14.25" spans="1:14">
      <c r="A46" s="215" t="s">
        <v>92</v>
      </c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</row>
    <row r="47" ht="14.25" spans="1:14">
      <c r="A47" s="216"/>
      <c r="B47" s="166" t="s">
        <v>51</v>
      </c>
      <c r="C47" s="166" t="s">
        <v>52</v>
      </c>
      <c r="D47" s="166" t="s">
        <v>53</v>
      </c>
      <c r="E47" s="166" t="s">
        <v>54</v>
      </c>
      <c r="F47" s="166" t="s">
        <v>55</v>
      </c>
      <c r="G47" s="166" t="s">
        <v>56</v>
      </c>
      <c r="H47" s="166" t="s">
        <v>57</v>
      </c>
      <c r="I47" s="166" t="s">
        <v>58</v>
      </c>
      <c r="J47" s="166" t="s">
        <v>59</v>
      </c>
      <c r="K47" s="166" t="s">
        <v>60</v>
      </c>
      <c r="L47" s="166" t="s">
        <v>61</v>
      </c>
      <c r="M47" s="166" t="s">
        <v>62</v>
      </c>
      <c r="N47" s="189" t="s">
        <v>63</v>
      </c>
    </row>
    <row r="48" ht="14.25" spans="1:14">
      <c r="A48" s="216">
        <v>2021</v>
      </c>
      <c r="B48" s="195">
        <v>126397</v>
      </c>
      <c r="C48" s="195">
        <v>132620</v>
      </c>
      <c r="D48" s="195">
        <v>182830</v>
      </c>
      <c r="E48" s="195">
        <v>140426</v>
      </c>
      <c r="F48" s="195">
        <v>140983</v>
      </c>
      <c r="G48" s="195">
        <v>199510</v>
      </c>
      <c r="H48" s="195">
        <v>115417</v>
      </c>
      <c r="I48" s="195">
        <v>88456</v>
      </c>
      <c r="J48" s="195">
        <v>133848</v>
      </c>
      <c r="K48" s="195">
        <v>118528</v>
      </c>
      <c r="L48" s="195">
        <v>122001</v>
      </c>
      <c r="M48" s="195">
        <v>158118</v>
      </c>
      <c r="N48" s="221">
        <f>SUM(B48:M48)</f>
        <v>1659134</v>
      </c>
    </row>
    <row r="49" ht="14.25" spans="1:16">
      <c r="A49" s="189">
        <v>2022</v>
      </c>
      <c r="B49" s="195">
        <v>111939</v>
      </c>
      <c r="C49" s="195">
        <v>115384</v>
      </c>
      <c r="D49" s="195">
        <v>147078</v>
      </c>
      <c r="E49" s="195">
        <v>108723</v>
      </c>
      <c r="F49" s="189">
        <v>126810</v>
      </c>
      <c r="G49" s="195">
        <v>171086</v>
      </c>
      <c r="H49" s="195">
        <v>107547</v>
      </c>
      <c r="I49" s="195">
        <v>91403</v>
      </c>
      <c r="J49" s="195">
        <v>141137</v>
      </c>
      <c r="K49" s="195">
        <v>124982</v>
      </c>
      <c r="L49" s="195">
        <v>133960</v>
      </c>
      <c r="M49" s="195">
        <v>158027</v>
      </c>
      <c r="N49" s="221">
        <f>SUM(B49:M49)</f>
        <v>1538076</v>
      </c>
    </row>
    <row r="50" ht="14.25" spans="1:16">
      <c r="A50" s="189">
        <v>2023</v>
      </c>
      <c r="B50" s="195">
        <v>102899</v>
      </c>
      <c r="C50" s="195">
        <v>126237</v>
      </c>
      <c r="D50" s="189">
        <v>182712</v>
      </c>
      <c r="E50" s="189">
        <v>132509</v>
      </c>
      <c r="F50" s="189">
        <v>145536</v>
      </c>
      <c r="G50" s="194">
        <v>190847</v>
      </c>
      <c r="H50" s="194">
        <v>128946</v>
      </c>
      <c r="I50" s="189">
        <v>113599</v>
      </c>
      <c r="J50" s="189">
        <v>156303</v>
      </c>
      <c r="K50" s="189">
        <v>152383</v>
      </c>
      <c r="L50" s="189">
        <v>152712</v>
      </c>
      <c r="M50" s="189">
        <v>181011</v>
      </c>
      <c r="N50" s="221">
        <f>SUM(B50:M50)</f>
        <v>1765694</v>
      </c>
    </row>
    <row r="51" ht="14.25" spans="1:16">
      <c r="A51" s="189">
        <v>2024</v>
      </c>
      <c r="B51" s="194">
        <v>122285</v>
      </c>
      <c r="C51" s="194">
        <v>142597</v>
      </c>
      <c r="D51" s="194">
        <v>180024</v>
      </c>
      <c r="E51" s="194">
        <v>146977</v>
      </c>
      <c r="F51" s="194">
        <v>141298</v>
      </c>
      <c r="G51" s="194">
        <v>181712</v>
      </c>
      <c r="H51" s="194">
        <v>126037</v>
      </c>
      <c r="I51" s="194">
        <v>85977</v>
      </c>
      <c r="J51" s="194">
        <v>139004</v>
      </c>
      <c r="K51" s="194">
        <v>166052</v>
      </c>
      <c r="L51" s="194">
        <v>129632</v>
      </c>
      <c r="M51" s="189">
        <v>183662</v>
      </c>
      <c r="N51" s="221">
        <f>SUM(B51:M51)</f>
        <v>1745257</v>
      </c>
    </row>
    <row r="52" ht="14.25" spans="1:16">
      <c r="A52" s="189" t="s">
        <v>69</v>
      </c>
      <c r="B52" s="226">
        <f t="shared" ref="B52:N52" si="34">B51/B50-1</f>
        <v>0.18839833234531</v>
      </c>
      <c r="C52" s="226">
        <f t="shared" si="34"/>
        <v>0.129597503109231</v>
      </c>
      <c r="D52" s="226">
        <f t="shared" si="34"/>
        <v>-0.0147116773939314</v>
      </c>
      <c r="E52" s="226">
        <f t="shared" si="34"/>
        <v>0.109185036488088</v>
      </c>
      <c r="F52" s="226">
        <f t="shared" si="34"/>
        <v>-0.029119942832014</v>
      </c>
      <c r="G52" s="226">
        <f t="shared" si="34"/>
        <v>-0.0478655677060682</v>
      </c>
      <c r="H52" s="226">
        <f t="shared" si="34"/>
        <v>-0.0225598312471887</v>
      </c>
      <c r="I52" s="226">
        <f t="shared" si="34"/>
        <v>-0.243153548886874</v>
      </c>
      <c r="J52" s="226">
        <f t="shared" si="34"/>
        <v>-0.110676058680895</v>
      </c>
      <c r="K52" s="226">
        <f t="shared" si="34"/>
        <v>0.0897016071346541</v>
      </c>
      <c r="L52" s="226">
        <f t="shared" si="34"/>
        <v>-0.151134161035151</v>
      </c>
      <c r="M52" s="226">
        <f t="shared" si="34"/>
        <v>0.0146455187806267</v>
      </c>
      <c r="N52" s="226">
        <f t="shared" si="34"/>
        <v>-0.0115744857262923</v>
      </c>
    </row>
    <row r="53" s="204" customFormat="1" ht="14.25" spans="1:16">
      <c r="A53" s="189">
        <v>2025</v>
      </c>
      <c r="B53" s="236">
        <v>114672</v>
      </c>
      <c r="C53" s="236">
        <v>141569</v>
      </c>
      <c r="D53" s="236">
        <v>153842</v>
      </c>
      <c r="E53" s="229">
        <v>138694</v>
      </c>
      <c r="F53" s="229"/>
      <c r="G53" s="229"/>
      <c r="H53" s="229"/>
      <c r="I53" s="229"/>
      <c r="J53" s="237"/>
      <c r="K53" s="237"/>
      <c r="L53" s="237"/>
      <c r="M53" s="237"/>
      <c r="N53" s="238">
        <f>SUM(B53:M53)</f>
        <v>548777</v>
      </c>
      <c r="O53" s="189"/>
      <c r="P53" s="230"/>
    </row>
    <row r="54" ht="14.25" spans="1:16">
      <c r="A54" s="189" t="s">
        <v>69</v>
      </c>
      <c r="B54" s="226">
        <f>B53/B51-1</f>
        <v>-0.0622562047675512</v>
      </c>
      <c r="C54" s="226">
        <f>C53/C51-1</f>
        <v>-0.00720912782176342</v>
      </c>
      <c r="D54" s="226">
        <f>D53/D51-1</f>
        <v>-0.145436164067013</v>
      </c>
      <c r="E54" s="226">
        <f>E53/E51-1</f>
        <v>-0.0563557563428292</v>
      </c>
      <c r="F54" s="226"/>
      <c r="G54" s="226"/>
      <c r="H54" s="226"/>
      <c r="I54" s="226"/>
      <c r="J54" s="226"/>
      <c r="K54" s="226"/>
      <c r="L54" s="226"/>
      <c r="M54" s="226"/>
      <c r="N54" s="226"/>
    </row>
    <row r="55" ht="14.25" spans="1:16">
      <c r="B55" s="194"/>
      <c r="C55" s="194"/>
      <c r="D55" s="194"/>
      <c r="E55" s="194"/>
      <c r="F55" s="194"/>
      <c r="G55" s="194"/>
    </row>
    <row r="56" ht="14.25" spans="1:16">
      <c r="A56" s="215" t="s">
        <v>72</v>
      </c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</row>
    <row r="57" ht="14.25" spans="1:16">
      <c r="A57" s="189"/>
      <c r="B57" s="166" t="s">
        <v>51</v>
      </c>
      <c r="C57" s="166" t="s">
        <v>52</v>
      </c>
      <c r="D57" s="166" t="s">
        <v>53</v>
      </c>
      <c r="E57" s="166" t="s">
        <v>54</v>
      </c>
      <c r="F57" s="166" t="s">
        <v>55</v>
      </c>
      <c r="G57" s="166" t="s">
        <v>56</v>
      </c>
      <c r="H57" s="166" t="s">
        <v>57</v>
      </c>
      <c r="I57" s="166" t="s">
        <v>58</v>
      </c>
      <c r="J57" s="166" t="s">
        <v>59</v>
      </c>
      <c r="K57" s="166" t="s">
        <v>60</v>
      </c>
      <c r="L57" s="166" t="s">
        <v>61</v>
      </c>
      <c r="M57" s="166" t="s">
        <v>62</v>
      </c>
      <c r="N57" s="189" t="s">
        <v>63</v>
      </c>
    </row>
    <row r="58" ht="14.25" spans="1:16">
      <c r="A58" s="216">
        <v>2021</v>
      </c>
      <c r="B58" s="217">
        <f t="shared" ref="B58:N58" si="35">B11/B48</f>
        <v>0.118017041543708</v>
      </c>
      <c r="C58" s="217">
        <f t="shared" si="35"/>
        <v>0.134889156989896</v>
      </c>
      <c r="D58" s="217">
        <f t="shared" si="35"/>
        <v>0.162757753103976</v>
      </c>
      <c r="E58" s="217">
        <f t="shared" si="35"/>
        <v>0.147073903693048</v>
      </c>
      <c r="F58" s="217">
        <f t="shared" si="35"/>
        <v>0.174042260414376</v>
      </c>
      <c r="G58" s="217">
        <f t="shared" si="35"/>
        <v>0.188607087364042</v>
      </c>
      <c r="H58" s="217">
        <f t="shared" si="35"/>
        <v>0.157498462098304</v>
      </c>
      <c r="I58" s="217">
        <f t="shared" si="35"/>
        <v>0.202236140001809</v>
      </c>
      <c r="J58" s="217">
        <f t="shared" si="35"/>
        <v>0.221661885123424</v>
      </c>
      <c r="K58" s="217">
        <f t="shared" si="35"/>
        <v>0.230738728401728</v>
      </c>
      <c r="L58" s="217">
        <f t="shared" si="35"/>
        <v>0.238350505323727</v>
      </c>
      <c r="M58" s="217">
        <f t="shared" si="35"/>
        <v>0.244557861850011</v>
      </c>
      <c r="N58" s="217">
        <f t="shared" si="35"/>
        <v>0.161256414490933</v>
      </c>
    </row>
    <row r="59" ht="14.25" spans="1:16">
      <c r="A59" s="189">
        <v>2022</v>
      </c>
      <c r="B59" s="217">
        <f t="shared" ref="B59:N59" si="36">B17/B49</f>
        <v>0.162150814282779</v>
      </c>
      <c r="C59" s="217">
        <f t="shared" si="36"/>
        <v>0.191881023365458</v>
      </c>
      <c r="D59" s="217">
        <f t="shared" si="36"/>
        <v>0.214342049796707</v>
      </c>
      <c r="E59" s="217">
        <f t="shared" si="36"/>
        <v>0.210866146077647</v>
      </c>
      <c r="F59" s="217">
        <f t="shared" si="36"/>
        <v>0.201466761296428</v>
      </c>
      <c r="G59" s="217">
        <f t="shared" si="36"/>
        <v>0.197935541189811</v>
      </c>
      <c r="H59" s="217">
        <f t="shared" si="36"/>
        <v>0.186318539801203</v>
      </c>
      <c r="I59" s="217">
        <f t="shared" si="36"/>
        <v>0.210343205365251</v>
      </c>
      <c r="J59" s="217">
        <f t="shared" si="36"/>
        <v>0.24161630189107</v>
      </c>
      <c r="K59" s="217">
        <f t="shared" si="36"/>
        <v>0.223824230689219</v>
      </c>
      <c r="L59" s="217">
        <f t="shared" si="36"/>
        <v>0.243692146909525</v>
      </c>
      <c r="M59" s="217">
        <f t="shared" si="36"/>
        <v>0.262815847924722</v>
      </c>
      <c r="N59" s="217">
        <f t="shared" si="36"/>
        <v>0.21433921340688</v>
      </c>
    </row>
    <row r="60" ht="14.25" spans="1:16">
      <c r="A60" s="189">
        <v>2023</v>
      </c>
      <c r="B60" s="210">
        <f t="shared" ref="B60:N60" si="37">B24/B50</f>
        <v>0.242461054043285</v>
      </c>
      <c r="C60" s="210">
        <f t="shared" si="37"/>
        <v>0.238384942607952</v>
      </c>
      <c r="D60" s="210">
        <f t="shared" si="37"/>
        <v>0.253699811725557</v>
      </c>
      <c r="E60" s="210">
        <f t="shared" si="37"/>
        <v>0.211238481914436</v>
      </c>
      <c r="F60" s="210">
        <f t="shared" si="37"/>
        <v>0.243025780562885</v>
      </c>
      <c r="G60" s="210">
        <f t="shared" si="37"/>
        <v>0.268864587863577</v>
      </c>
      <c r="H60" s="210">
        <f t="shared" si="37"/>
        <v>0.233648193817567</v>
      </c>
      <c r="I60" s="210">
        <f t="shared" si="37"/>
        <v>0.256930078609847</v>
      </c>
      <c r="J60" s="210">
        <f t="shared" si="37"/>
        <v>0.293551627288024</v>
      </c>
      <c r="K60" s="210">
        <f t="shared" si="37"/>
        <v>0.265278935314307</v>
      </c>
      <c r="L60" s="210">
        <f t="shared" si="37"/>
        <v>0.296702289276547</v>
      </c>
      <c r="M60" s="210">
        <f t="shared" si="37"/>
        <v>0.300661285778212</v>
      </c>
      <c r="N60" s="210">
        <f t="shared" si="37"/>
        <v>0.261326707798747</v>
      </c>
    </row>
    <row r="61" ht="14.25" spans="1:16">
      <c r="A61" s="189">
        <v>2024</v>
      </c>
      <c r="B61" s="210">
        <f t="shared" ref="B61:N61" si="38">B31/B51</f>
        <v>0.247929018276976</v>
      </c>
      <c r="C61" s="210">
        <f t="shared" si="38"/>
        <v>0.263750289276773</v>
      </c>
      <c r="D61" s="210">
        <f t="shared" si="38"/>
        <v>0.279029462738302</v>
      </c>
      <c r="E61" s="210">
        <f t="shared" si="38"/>
        <v>0.240649897603026</v>
      </c>
      <c r="F61" s="210">
        <f t="shared" si="38"/>
        <v>0.241248991493156</v>
      </c>
      <c r="G61" s="210">
        <f t="shared" si="38"/>
        <v>0.241514044201814</v>
      </c>
      <c r="H61" s="210">
        <f t="shared" si="38"/>
        <v>0.207923070209542</v>
      </c>
      <c r="I61" s="210">
        <f t="shared" si="38"/>
        <v>0.224141340125848</v>
      </c>
      <c r="J61" s="210">
        <f t="shared" si="38"/>
        <v>0.280610629909931</v>
      </c>
      <c r="K61" s="210">
        <f t="shared" si="38"/>
        <v>0.191476164093176</v>
      </c>
      <c r="L61" s="210">
        <f t="shared" si="38"/>
        <v>0.269516785978771</v>
      </c>
      <c r="M61" s="210">
        <f t="shared" si="38"/>
        <v>0.295847807385306</v>
      </c>
      <c r="N61" s="210">
        <f t="shared" si="38"/>
        <v>0.250425009038783</v>
      </c>
    </row>
    <row r="62" ht="14.25" spans="1:16">
      <c r="A62" s="189">
        <v>2025</v>
      </c>
      <c r="B62" s="210">
        <f>B38/B53</f>
        <v>0.216050997628017</v>
      </c>
      <c r="C62" s="210">
        <f>C38/C53</f>
        <v>0.224526555955047</v>
      </c>
      <c r="D62" s="210">
        <f>D38/D53</f>
        <v>0.244081590202935</v>
      </c>
      <c r="E62" s="210">
        <f>E38/E53</f>
        <v>0.253327469104648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2"/>
  <sheetViews>
    <sheetView zoomScale="115" zoomScaleNormal="115" topLeftCell="A25" workbookViewId="0">
      <selection activeCell="F38" sqref="F38"/>
    </sheetView>
  </sheetViews>
  <sheetFormatPr defaultColWidth="9.375" defaultRowHeight="13.5"/>
  <cols>
    <col min="1" max="1" width="24.25" customWidth="1"/>
    <col min="2" max="2" width="11.125"/>
    <col min="4" max="4" width="8.875" customWidth="1"/>
    <col min="7" max="7" width="14"/>
    <col min="8" max="8" width="12.875"/>
    <col min="9" max="9" width="14"/>
    <col min="19" max="19" width="12.625"/>
  </cols>
  <sheetData>
    <row r="1" ht="14.25" spans="1:16">
      <c r="A1" s="205" t="s">
        <v>93</v>
      </c>
      <c r="B1" s="195" t="s">
        <v>33</v>
      </c>
      <c r="C1" s="195" t="s">
        <v>34</v>
      </c>
      <c r="D1" s="195" t="s">
        <v>35</v>
      </c>
      <c r="E1" s="195" t="s">
        <v>36</v>
      </c>
      <c r="F1" s="195" t="s">
        <v>37</v>
      </c>
      <c r="G1" s="195" t="s">
        <v>38</v>
      </c>
      <c r="H1" s="195" t="s">
        <v>39</v>
      </c>
      <c r="I1" s="194" t="s">
        <v>40</v>
      </c>
      <c r="J1" s="195" t="s">
        <v>41</v>
      </c>
      <c r="K1" s="194" t="s">
        <v>42</v>
      </c>
      <c r="L1" s="194" t="s">
        <v>43</v>
      </c>
      <c r="M1" s="194" t="s">
        <v>44</v>
      </c>
      <c r="N1" s="194" t="s">
        <v>75</v>
      </c>
      <c r="O1" s="194" t="s">
        <v>45</v>
      </c>
      <c r="P1" s="194">
        <v>2024</v>
      </c>
    </row>
    <row r="2" ht="14.25" spans="1:16">
      <c r="A2" s="205" t="s">
        <v>94</v>
      </c>
      <c r="B2" s="206"/>
      <c r="C2" s="206"/>
      <c r="D2" s="206"/>
      <c r="E2" s="206"/>
      <c r="F2" s="206"/>
      <c r="G2" s="206"/>
      <c r="H2" s="206">
        <v>8.9651</v>
      </c>
      <c r="I2" s="194">
        <v>6.884</v>
      </c>
      <c r="J2" s="206">
        <v>13.452</v>
      </c>
      <c r="K2" s="206">
        <v>7.4834</v>
      </c>
      <c r="L2" s="206">
        <v>16.1539</v>
      </c>
      <c r="M2" s="206">
        <v>8.157</v>
      </c>
      <c r="N2" s="206">
        <v>16.7099</v>
      </c>
      <c r="O2" s="206">
        <f>SUM(B31:G31)/10000</f>
        <v>7.2929</v>
      </c>
      <c r="P2" s="206">
        <f>N31/10000</f>
        <v>15.7438</v>
      </c>
    </row>
    <row r="3" ht="14.25" spans="1:16">
      <c r="A3" s="205" t="s">
        <v>29</v>
      </c>
      <c r="B3" s="207"/>
      <c r="C3" s="208"/>
      <c r="D3" s="208"/>
      <c r="E3" s="208"/>
      <c r="F3" s="208"/>
      <c r="G3" s="208"/>
      <c r="H3" s="208"/>
      <c r="I3" s="21"/>
      <c r="J3" s="208">
        <f t="shared" ref="J3:P3" si="0">(J2-H2)/H2</f>
        <v>0.500485214888847</v>
      </c>
      <c r="K3" s="209">
        <f t="shared" si="0"/>
        <v>0.0870714700755374</v>
      </c>
      <c r="L3" s="210">
        <f t="shared" si="0"/>
        <v>0.200854891465953</v>
      </c>
      <c r="M3" s="210">
        <f t="shared" si="0"/>
        <v>0.0900125611353129</v>
      </c>
      <c r="N3" s="210">
        <f t="shared" si="0"/>
        <v>0.0344189328892714</v>
      </c>
      <c r="O3" s="210">
        <f t="shared" si="0"/>
        <v>-0.105933554002697</v>
      </c>
      <c r="P3" s="210">
        <f t="shared" si="0"/>
        <v>-0.057816025230552</v>
      </c>
    </row>
    <row r="4" ht="14.25" spans="1:16">
      <c r="A4" s="211" t="s">
        <v>95</v>
      </c>
      <c r="B4" s="212"/>
      <c r="C4" s="10"/>
      <c r="D4" s="10"/>
      <c r="E4" s="10"/>
      <c r="F4" s="10"/>
      <c r="G4" s="10"/>
      <c r="H4" s="10">
        <v>29.1664</v>
      </c>
      <c r="I4" s="194">
        <v>17.3165</v>
      </c>
      <c r="J4" s="10">
        <v>30.0985</v>
      </c>
      <c r="K4" s="213">
        <v>14.4182</v>
      </c>
      <c r="L4" s="10">
        <v>28.8003</v>
      </c>
      <c r="M4" s="10">
        <v>14.0659</v>
      </c>
      <c r="N4" s="10">
        <f>N50/10000</f>
        <v>28.9822</v>
      </c>
      <c r="O4" s="10">
        <f>SUM(B51:G51)/10000</f>
        <v>13.2293</v>
      </c>
      <c r="P4" s="206">
        <f>N51/10000</f>
        <v>26.9582</v>
      </c>
    </row>
    <row r="5" ht="14.25" spans="1:16">
      <c r="A5" s="205" t="s">
        <v>96</v>
      </c>
      <c r="B5" s="214"/>
      <c r="C5" s="208"/>
      <c r="D5" s="208"/>
      <c r="E5" s="208"/>
      <c r="F5" s="208"/>
      <c r="G5" s="208"/>
      <c r="H5" s="208">
        <f t="shared" ref="H5:P5" si="1">H2/H4</f>
        <v>0.30737766745296</v>
      </c>
      <c r="I5" s="208">
        <f t="shared" si="1"/>
        <v>0.39753991857477</v>
      </c>
      <c r="J5" s="208">
        <f t="shared" si="1"/>
        <v>0.446932571390601</v>
      </c>
      <c r="K5" s="208">
        <f t="shared" si="1"/>
        <v>0.519024566173309</v>
      </c>
      <c r="L5" s="208">
        <f t="shared" si="1"/>
        <v>0.560893462915317</v>
      </c>
      <c r="M5" s="208">
        <f t="shared" si="1"/>
        <v>0.579913123227095</v>
      </c>
      <c r="N5" s="208">
        <f t="shared" si="1"/>
        <v>0.576557335191945</v>
      </c>
      <c r="O5" s="208">
        <f t="shared" si="1"/>
        <v>0.551268774613925</v>
      </c>
      <c r="P5" s="208">
        <f t="shared" si="1"/>
        <v>0.584007834350958</v>
      </c>
    </row>
    <row r="6" spans="1:16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6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ht="14.25" spans="1:16">
      <c r="A8" s="151" t="s">
        <v>49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</row>
    <row r="9" ht="14.25" spans="1:16">
      <c r="A9" s="215" t="s">
        <v>97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89"/>
    </row>
    <row r="10" ht="14.25" spans="1:16">
      <c r="A10" s="216"/>
      <c r="B10" s="166" t="s">
        <v>51</v>
      </c>
      <c r="C10" s="166" t="s">
        <v>52</v>
      </c>
      <c r="D10" s="166" t="s">
        <v>53</v>
      </c>
      <c r="E10" s="166" t="s">
        <v>54</v>
      </c>
      <c r="F10" s="166" t="s">
        <v>55</v>
      </c>
      <c r="G10" s="166" t="s">
        <v>56</v>
      </c>
      <c r="H10" s="166" t="s">
        <v>57</v>
      </c>
      <c r="I10" s="166" t="s">
        <v>58</v>
      </c>
      <c r="J10" s="166" t="s">
        <v>59</v>
      </c>
      <c r="K10" s="166" t="s">
        <v>60</v>
      </c>
      <c r="L10" s="166" t="s">
        <v>61</v>
      </c>
      <c r="M10" s="166" t="s">
        <v>62</v>
      </c>
      <c r="N10" s="189" t="s">
        <v>63</v>
      </c>
    </row>
    <row r="11" ht="14.25" spans="1:16">
      <c r="A11" s="189">
        <v>2021</v>
      </c>
      <c r="B11" s="195">
        <f>B13+B14</f>
        <v>6875</v>
      </c>
      <c r="C11" s="195">
        <f t="shared" ref="C11:M11" si="2">C13+C14</f>
        <v>8005</v>
      </c>
      <c r="D11" s="195">
        <f t="shared" si="2"/>
        <v>17559</v>
      </c>
      <c r="E11" s="195">
        <f t="shared" si="2"/>
        <v>9426</v>
      </c>
      <c r="F11" s="195">
        <f t="shared" si="2"/>
        <v>9352</v>
      </c>
      <c r="G11" s="195">
        <f t="shared" si="2"/>
        <v>17615</v>
      </c>
      <c r="H11" s="195">
        <f t="shared" si="2"/>
        <v>6329</v>
      </c>
      <c r="I11" s="195">
        <f t="shared" si="2"/>
        <v>9246</v>
      </c>
      <c r="J11" s="195">
        <f t="shared" si="2"/>
        <v>12061</v>
      </c>
      <c r="K11" s="195">
        <f t="shared" si="2"/>
        <v>10053</v>
      </c>
      <c r="L11" s="195">
        <f t="shared" si="2"/>
        <v>11238</v>
      </c>
      <c r="M11" s="195">
        <f t="shared" si="2"/>
        <v>16746</v>
      </c>
      <c r="N11" s="195">
        <f>SUM(B11:L11)</f>
        <v>117759</v>
      </c>
    </row>
    <row r="12" ht="14.25" spans="1:16">
      <c r="A12" s="189" t="s">
        <v>64</v>
      </c>
      <c r="B12" s="189"/>
      <c r="C12" s="217">
        <f t="shared" ref="C12:M12" si="3">C11/B11-1</f>
        <v>0.164363636363636</v>
      </c>
      <c r="D12" s="217">
        <f t="shared" si="3"/>
        <v>1.19350405996252</v>
      </c>
      <c r="E12" s="217">
        <f t="shared" si="3"/>
        <v>-0.463181274560055</v>
      </c>
      <c r="F12" s="217">
        <f t="shared" si="3"/>
        <v>-0.00785062592828345</v>
      </c>
      <c r="G12" s="217">
        <f t="shared" si="3"/>
        <v>0.883554319931565</v>
      </c>
      <c r="H12" s="217">
        <f t="shared" si="3"/>
        <v>-0.640703945500994</v>
      </c>
      <c r="I12" s="217">
        <f t="shared" si="3"/>
        <v>0.46089429609733</v>
      </c>
      <c r="J12" s="217">
        <f t="shared" si="3"/>
        <v>0.304455980964742</v>
      </c>
      <c r="K12" s="217">
        <f t="shared" si="3"/>
        <v>-0.166487024293176</v>
      </c>
      <c r="L12" s="217">
        <f t="shared" si="3"/>
        <v>0.117875261116085</v>
      </c>
      <c r="M12" s="217">
        <f t="shared" si="3"/>
        <v>0.490122797650828</v>
      </c>
      <c r="N12" s="218"/>
    </row>
    <row r="13" ht="14.25" spans="1:16">
      <c r="A13" s="219" t="s">
        <v>65</v>
      </c>
      <c r="B13" s="220">
        <v>1109</v>
      </c>
      <c r="C13" s="220">
        <v>1394</v>
      </c>
      <c r="D13" s="220">
        <v>2624</v>
      </c>
      <c r="E13" s="220">
        <v>4891</v>
      </c>
      <c r="F13" s="220">
        <v>3931</v>
      </c>
      <c r="G13" s="220">
        <v>8688</v>
      </c>
      <c r="H13" s="220">
        <v>2545</v>
      </c>
      <c r="I13" s="220">
        <v>4771</v>
      </c>
      <c r="J13" s="220">
        <v>7502</v>
      </c>
      <c r="K13" s="220">
        <v>4626</v>
      </c>
      <c r="L13" s="220">
        <v>5493</v>
      </c>
      <c r="M13" s="220">
        <v>10044</v>
      </c>
      <c r="N13" s="221">
        <f>SUM(B13:M13)</f>
        <v>57618</v>
      </c>
    </row>
    <row r="14" ht="14.25" spans="1:16">
      <c r="A14" s="219" t="s">
        <v>66</v>
      </c>
      <c r="B14" s="220">
        <v>5766</v>
      </c>
      <c r="C14" s="220">
        <v>6611</v>
      </c>
      <c r="D14" s="220">
        <v>14935</v>
      </c>
      <c r="E14" s="220">
        <v>4535</v>
      </c>
      <c r="F14" s="220">
        <v>5421</v>
      </c>
      <c r="G14" s="220">
        <v>8927</v>
      </c>
      <c r="H14" s="220">
        <v>3784</v>
      </c>
      <c r="I14" s="220">
        <v>4475</v>
      </c>
      <c r="J14" s="220">
        <v>4559</v>
      </c>
      <c r="K14" s="220">
        <v>5427</v>
      </c>
      <c r="L14" s="220">
        <v>5745</v>
      </c>
      <c r="M14" s="220">
        <v>6702</v>
      </c>
      <c r="N14" s="221">
        <f>SUM(B14:M14)</f>
        <v>76887</v>
      </c>
    </row>
    <row r="15" ht="14.25" spans="1:16">
      <c r="A15" s="219" t="s">
        <v>67</v>
      </c>
      <c r="B15" s="222">
        <f t="shared" ref="B15:N15" si="4">B13/B11</f>
        <v>0.161309090909091</v>
      </c>
      <c r="C15" s="222">
        <f t="shared" si="4"/>
        <v>0.174141161773891</v>
      </c>
      <c r="D15" s="222">
        <f t="shared" si="4"/>
        <v>0.14943903411356</v>
      </c>
      <c r="E15" s="222">
        <f t="shared" si="4"/>
        <v>0.518883938043709</v>
      </c>
      <c r="F15" s="222">
        <f t="shared" si="4"/>
        <v>0.420337895637297</v>
      </c>
      <c r="G15" s="222">
        <f t="shared" si="4"/>
        <v>0.493216009083168</v>
      </c>
      <c r="H15" s="222">
        <f t="shared" si="4"/>
        <v>0.402117238110286</v>
      </c>
      <c r="I15" s="222">
        <f t="shared" si="4"/>
        <v>0.516006921912178</v>
      </c>
      <c r="J15" s="222">
        <f t="shared" si="4"/>
        <v>0.622004808888152</v>
      </c>
      <c r="K15" s="222">
        <f t="shared" si="4"/>
        <v>0.460161145926589</v>
      </c>
      <c r="L15" s="222">
        <f t="shared" si="4"/>
        <v>0.488788040576615</v>
      </c>
      <c r="M15" s="222">
        <f t="shared" si="4"/>
        <v>0.599785023289144</v>
      </c>
      <c r="N15" s="207">
        <f t="shared" si="4"/>
        <v>0.489287442997987</v>
      </c>
    </row>
    <row r="16" ht="14.25" spans="1:16">
      <c r="A16" s="219" t="s">
        <v>68</v>
      </c>
      <c r="B16" s="222">
        <f t="shared" ref="B16:N16" si="5">B14/B11</f>
        <v>0.838690909090909</v>
      </c>
      <c r="C16" s="222">
        <f t="shared" si="5"/>
        <v>0.825858838226109</v>
      </c>
      <c r="D16" s="222">
        <f t="shared" si="5"/>
        <v>0.85056096588644</v>
      </c>
      <c r="E16" s="222">
        <f t="shared" si="5"/>
        <v>0.481116061956291</v>
      </c>
      <c r="F16" s="222">
        <f t="shared" si="5"/>
        <v>0.579662104362703</v>
      </c>
      <c r="G16" s="222">
        <f t="shared" si="5"/>
        <v>0.506783990916832</v>
      </c>
      <c r="H16" s="222">
        <f t="shared" si="5"/>
        <v>0.597882761889714</v>
      </c>
      <c r="I16" s="222">
        <f t="shared" si="5"/>
        <v>0.483993078087822</v>
      </c>
      <c r="J16" s="222">
        <f t="shared" si="5"/>
        <v>0.377995191111848</v>
      </c>
      <c r="K16" s="222">
        <f t="shared" si="5"/>
        <v>0.539838854073411</v>
      </c>
      <c r="L16" s="222">
        <f t="shared" si="5"/>
        <v>0.511211959423385</v>
      </c>
      <c r="M16" s="222">
        <f t="shared" si="5"/>
        <v>0.400214976710856</v>
      </c>
      <c r="N16" s="207">
        <f t="shared" si="5"/>
        <v>0.652918248286755</v>
      </c>
    </row>
    <row r="17" ht="14.25" spans="1:15">
      <c r="A17" s="189">
        <v>2022</v>
      </c>
      <c r="B17" s="195">
        <f t="shared" ref="B17:N17" si="6">B20+B21</f>
        <v>10521</v>
      </c>
      <c r="C17" s="195">
        <f t="shared" si="6"/>
        <v>10908</v>
      </c>
      <c r="D17" s="195">
        <f t="shared" si="6"/>
        <v>15949</v>
      </c>
      <c r="E17" s="195">
        <f t="shared" si="6"/>
        <v>10565</v>
      </c>
      <c r="F17" s="195">
        <f t="shared" si="6"/>
        <v>12521</v>
      </c>
      <c r="G17" s="195">
        <f t="shared" si="6"/>
        <v>14370</v>
      </c>
      <c r="H17" s="195">
        <f t="shared" si="6"/>
        <v>8911</v>
      </c>
      <c r="I17" s="195">
        <f t="shared" si="6"/>
        <v>9440</v>
      </c>
      <c r="J17" s="195">
        <f t="shared" si="6"/>
        <v>12147</v>
      </c>
      <c r="K17" s="195">
        <f t="shared" si="6"/>
        <v>13299</v>
      </c>
      <c r="L17" s="195">
        <f t="shared" si="6"/>
        <v>16518</v>
      </c>
      <c r="M17" s="195">
        <f t="shared" si="6"/>
        <v>26390</v>
      </c>
      <c r="N17" s="195">
        <f t="shared" si="6"/>
        <v>161539</v>
      </c>
      <c r="O17" s="151">
        <f>SUM(B17:K17)</f>
        <v>118631</v>
      </c>
    </row>
    <row r="18" ht="14.25" spans="1:15">
      <c r="A18" s="189" t="s">
        <v>64</v>
      </c>
      <c r="B18" s="217"/>
      <c r="C18" s="217">
        <f t="shared" ref="C18:M18" si="7">C17/B17-1</f>
        <v>0.0367835757057313</v>
      </c>
      <c r="D18" s="217">
        <f t="shared" si="7"/>
        <v>0.462137880454712</v>
      </c>
      <c r="E18" s="217">
        <f t="shared" si="7"/>
        <v>-0.337576023575146</v>
      </c>
      <c r="F18" s="217">
        <f t="shared" si="7"/>
        <v>0.185139611926171</v>
      </c>
      <c r="G18" s="217">
        <f t="shared" si="7"/>
        <v>0.147671911189202</v>
      </c>
      <c r="H18" s="217">
        <f t="shared" si="7"/>
        <v>-0.379888656924148</v>
      </c>
      <c r="I18" s="217">
        <f t="shared" si="7"/>
        <v>0.0593648299854113</v>
      </c>
      <c r="J18" s="217">
        <f t="shared" si="7"/>
        <v>0.286758474576271</v>
      </c>
      <c r="K18" s="217">
        <f t="shared" si="7"/>
        <v>0.0948382316621388</v>
      </c>
      <c r="L18" s="217">
        <f t="shared" si="7"/>
        <v>0.242048274306339</v>
      </c>
      <c r="M18" s="217">
        <f t="shared" si="7"/>
        <v>0.597651047342293</v>
      </c>
      <c r="N18" s="189"/>
    </row>
    <row r="19" ht="14.25" spans="1:15">
      <c r="A19" s="189" t="s">
        <v>69</v>
      </c>
      <c r="B19" s="217">
        <f t="shared" ref="B19:N19" si="8">(B17-B11)/B11</f>
        <v>0.530327272727273</v>
      </c>
      <c r="C19" s="217">
        <f t="shared" si="8"/>
        <v>0.36264834478451</v>
      </c>
      <c r="D19" s="217">
        <f t="shared" si="8"/>
        <v>-0.0916908707785181</v>
      </c>
      <c r="E19" s="217">
        <f t="shared" si="8"/>
        <v>0.120835985571823</v>
      </c>
      <c r="F19" s="217">
        <f t="shared" si="8"/>
        <v>0.338857998289136</v>
      </c>
      <c r="G19" s="217">
        <f t="shared" si="8"/>
        <v>-0.184217996026114</v>
      </c>
      <c r="H19" s="217">
        <f t="shared" si="8"/>
        <v>0.40796334334018</v>
      </c>
      <c r="I19" s="217">
        <f t="shared" si="8"/>
        <v>0.0209820462902877</v>
      </c>
      <c r="J19" s="217">
        <f t="shared" si="8"/>
        <v>0.00713042036315397</v>
      </c>
      <c r="K19" s="217">
        <f t="shared" si="8"/>
        <v>0.3228886899433</v>
      </c>
      <c r="L19" s="217">
        <f t="shared" si="8"/>
        <v>0.469834490122798</v>
      </c>
      <c r="M19" s="217">
        <f t="shared" si="8"/>
        <v>0.575898722082886</v>
      </c>
      <c r="N19" s="217">
        <f t="shared" si="8"/>
        <v>0.371776254893469</v>
      </c>
    </row>
    <row r="20" ht="14.25" spans="1:15">
      <c r="A20" s="219" t="s">
        <v>65</v>
      </c>
      <c r="B20" s="220">
        <v>5362</v>
      </c>
      <c r="C20" s="220">
        <v>5413</v>
      </c>
      <c r="D20" s="220">
        <v>9142</v>
      </c>
      <c r="E20" s="220">
        <v>5421</v>
      </c>
      <c r="F20" s="219">
        <v>6383</v>
      </c>
      <c r="G20" s="220">
        <v>8237</v>
      </c>
      <c r="H20" s="220">
        <v>4677</v>
      </c>
      <c r="I20" s="220">
        <v>5791</v>
      </c>
      <c r="J20" s="220">
        <v>7777</v>
      </c>
      <c r="K20" s="220">
        <v>7940</v>
      </c>
      <c r="L20" s="220">
        <v>10868</v>
      </c>
      <c r="M20" s="220">
        <v>18154</v>
      </c>
      <c r="N20" s="221">
        <f>SUM(B20:M20)</f>
        <v>95165</v>
      </c>
    </row>
    <row r="21" ht="14.25" spans="1:15">
      <c r="A21" s="219" t="s">
        <v>66</v>
      </c>
      <c r="B21" s="220">
        <v>5159</v>
      </c>
      <c r="C21" s="220">
        <v>5495</v>
      </c>
      <c r="D21" s="220">
        <v>6807</v>
      </c>
      <c r="E21" s="220">
        <v>5144</v>
      </c>
      <c r="F21" s="219">
        <v>6138</v>
      </c>
      <c r="G21" s="220">
        <v>6133</v>
      </c>
      <c r="H21" s="220">
        <v>4234</v>
      </c>
      <c r="I21" s="220">
        <v>3649</v>
      </c>
      <c r="J21" s="220">
        <v>4370</v>
      </c>
      <c r="K21" s="220">
        <v>5359</v>
      </c>
      <c r="L21" s="220">
        <v>5650</v>
      </c>
      <c r="M21" s="220">
        <v>8236</v>
      </c>
      <c r="N21" s="221">
        <f>SUM(B21:M21)</f>
        <v>66374</v>
      </c>
    </row>
    <row r="22" ht="14.25" spans="1:15">
      <c r="A22" s="219" t="s">
        <v>67</v>
      </c>
      <c r="B22" s="223">
        <f t="shared" ref="B22:N22" si="9">B20/B17</f>
        <v>0.509647371922821</v>
      </c>
      <c r="C22" s="223">
        <f t="shared" si="9"/>
        <v>0.496241290795746</v>
      </c>
      <c r="D22" s="223">
        <f t="shared" si="9"/>
        <v>0.573202081635212</v>
      </c>
      <c r="E22" s="223">
        <f t="shared" si="9"/>
        <v>0.513109323237104</v>
      </c>
      <c r="F22" s="223">
        <f t="shared" si="9"/>
        <v>0.50978356361313</v>
      </c>
      <c r="G22" s="223">
        <f t="shared" si="9"/>
        <v>0.573208072372999</v>
      </c>
      <c r="H22" s="223">
        <f t="shared" si="9"/>
        <v>0.524856918415442</v>
      </c>
      <c r="I22" s="223">
        <f t="shared" si="9"/>
        <v>0.613453389830508</v>
      </c>
      <c r="J22" s="223">
        <f t="shared" si="9"/>
        <v>0.64024038857331</v>
      </c>
      <c r="K22" s="223">
        <f t="shared" si="9"/>
        <v>0.59703737123092</v>
      </c>
      <c r="L22" s="223">
        <f t="shared" si="9"/>
        <v>0.657948904225693</v>
      </c>
      <c r="M22" s="223">
        <f t="shared" si="9"/>
        <v>0.687912087912088</v>
      </c>
      <c r="N22" s="217">
        <f t="shared" si="9"/>
        <v>0.58911470295099</v>
      </c>
    </row>
    <row r="23" ht="14.25" spans="1:15">
      <c r="A23" s="219" t="s">
        <v>68</v>
      </c>
      <c r="B23" s="224">
        <f t="shared" ref="B23:N23" si="10">B21/B17</f>
        <v>0.490352628077179</v>
      </c>
      <c r="C23" s="224">
        <f t="shared" si="10"/>
        <v>0.503758709204254</v>
      </c>
      <c r="D23" s="224">
        <f t="shared" si="10"/>
        <v>0.426797918364788</v>
      </c>
      <c r="E23" s="224">
        <f t="shared" si="10"/>
        <v>0.486890676762896</v>
      </c>
      <c r="F23" s="224">
        <f t="shared" si="10"/>
        <v>0.49021643638687</v>
      </c>
      <c r="G23" s="224">
        <f t="shared" si="10"/>
        <v>0.426791927627001</v>
      </c>
      <c r="H23" s="224">
        <f t="shared" si="10"/>
        <v>0.475143081584558</v>
      </c>
      <c r="I23" s="224">
        <f t="shared" si="10"/>
        <v>0.386546610169492</v>
      </c>
      <c r="J23" s="224">
        <f t="shared" si="10"/>
        <v>0.35975961142669</v>
      </c>
      <c r="K23" s="224">
        <f t="shared" si="10"/>
        <v>0.40296262876908</v>
      </c>
      <c r="L23" s="224">
        <f t="shared" si="10"/>
        <v>0.342051095774307</v>
      </c>
      <c r="M23" s="224">
        <f t="shared" si="10"/>
        <v>0.312087912087912</v>
      </c>
      <c r="N23" s="217">
        <f t="shared" si="10"/>
        <v>0.41088529704901</v>
      </c>
    </row>
    <row r="24" ht="14.25" spans="1:15">
      <c r="A24" s="189">
        <v>2023</v>
      </c>
      <c r="B24" s="221">
        <f>SUM(B27,B28)</f>
        <v>7626</v>
      </c>
      <c r="C24" s="221">
        <f>SUM(C27,C28)</f>
        <v>9964</v>
      </c>
      <c r="D24" s="14">
        <f t="shared" ref="D24:K24" si="11">D27+D28</f>
        <v>18117</v>
      </c>
      <c r="E24" s="14">
        <f t="shared" si="11"/>
        <v>11477</v>
      </c>
      <c r="F24" s="14">
        <f t="shared" si="11"/>
        <v>17632</v>
      </c>
      <c r="G24" s="14">
        <f t="shared" si="11"/>
        <v>16754</v>
      </c>
      <c r="H24" s="189">
        <f t="shared" si="11"/>
        <v>10369</v>
      </c>
      <c r="I24" s="14">
        <f t="shared" si="11"/>
        <v>14341</v>
      </c>
      <c r="J24" s="14">
        <f t="shared" si="11"/>
        <v>17837</v>
      </c>
      <c r="K24" s="189">
        <f t="shared" si="11"/>
        <v>15157</v>
      </c>
      <c r="L24" s="189">
        <v>15383</v>
      </c>
      <c r="M24" s="189">
        <v>18474</v>
      </c>
      <c r="N24" s="221">
        <f t="shared" ref="N24:N28" si="12">SUM(B24:M24)</f>
        <v>173131</v>
      </c>
    </row>
    <row r="25" ht="14.25" spans="1:15">
      <c r="A25" s="189" t="s">
        <v>64</v>
      </c>
      <c r="B25" s="194"/>
      <c r="C25" s="226">
        <f t="shared" ref="C25:M25" si="13">C24/B24-1</f>
        <v>0.306582743246787</v>
      </c>
      <c r="D25" s="226">
        <f t="shared" si="13"/>
        <v>0.818245684464071</v>
      </c>
      <c r="E25" s="226">
        <f t="shared" si="13"/>
        <v>-0.366506596014793</v>
      </c>
      <c r="F25" s="226">
        <f t="shared" si="13"/>
        <v>0.536289971246841</v>
      </c>
      <c r="G25" s="226">
        <f t="shared" si="13"/>
        <v>-0.0497958257713249</v>
      </c>
      <c r="H25" s="226">
        <f t="shared" si="13"/>
        <v>-0.381103020174287</v>
      </c>
      <c r="I25" s="226">
        <f t="shared" si="13"/>
        <v>0.383064905005304</v>
      </c>
      <c r="J25" s="226">
        <f t="shared" si="13"/>
        <v>0.24377658461753</v>
      </c>
      <c r="K25" s="226">
        <f t="shared" si="13"/>
        <v>-0.150249481415036</v>
      </c>
      <c r="L25" s="226">
        <f t="shared" si="13"/>
        <v>0.014910602361945</v>
      </c>
      <c r="M25" s="226">
        <f t="shared" si="13"/>
        <v>0.200936098290321</v>
      </c>
    </row>
    <row r="26" ht="14.25" spans="1:15">
      <c r="A26" s="189" t="s">
        <v>69</v>
      </c>
      <c r="B26" s="207">
        <f t="shared" ref="B26:H26" si="14">(B24-B17)/B17</f>
        <v>-0.275163957798688</v>
      </c>
      <c r="C26" s="207">
        <f t="shared" si="14"/>
        <v>-0.0865419875320865</v>
      </c>
      <c r="D26" s="207">
        <f t="shared" si="14"/>
        <v>0.135933287353439</v>
      </c>
      <c r="E26" s="207">
        <f t="shared" si="14"/>
        <v>0.0863227638428774</v>
      </c>
      <c r="F26" s="207">
        <f t="shared" si="14"/>
        <v>0.408194233687405</v>
      </c>
      <c r="G26" s="207">
        <f t="shared" si="14"/>
        <v>0.165901183020181</v>
      </c>
      <c r="H26" s="207">
        <f t="shared" si="14"/>
        <v>0.163618000224442</v>
      </c>
      <c r="I26" s="207">
        <f t="shared" ref="I26:M26" si="15">(I24-I17)/I17</f>
        <v>0.519173728813559</v>
      </c>
      <c r="J26" s="207">
        <f t="shared" si="15"/>
        <v>0.468428418539557</v>
      </c>
      <c r="K26" s="207">
        <f t="shared" si="15"/>
        <v>0.139709752612978</v>
      </c>
      <c r="L26" s="207">
        <f t="shared" si="15"/>
        <v>-0.0687129192396174</v>
      </c>
      <c r="M26" s="207">
        <f t="shared" si="15"/>
        <v>-0.299962106858659</v>
      </c>
      <c r="N26" s="217">
        <f>N24/SUM(B17:K17)-1</f>
        <v>0.459407743338588</v>
      </c>
    </row>
    <row r="27" ht="14.25" spans="1:15">
      <c r="A27" s="219" t="s">
        <v>65</v>
      </c>
      <c r="B27" s="220">
        <v>4203</v>
      </c>
      <c r="C27" s="220">
        <v>6124</v>
      </c>
      <c r="D27" s="220">
        <v>12577</v>
      </c>
      <c r="E27" s="220">
        <v>6928</v>
      </c>
      <c r="F27" s="220">
        <v>11657</v>
      </c>
      <c r="G27" s="220">
        <v>10956</v>
      </c>
      <c r="H27" s="220">
        <v>6487</v>
      </c>
      <c r="I27" s="220">
        <v>9784</v>
      </c>
      <c r="J27" s="220">
        <v>12500</v>
      </c>
      <c r="K27" s="220">
        <v>9408</v>
      </c>
      <c r="L27" s="220">
        <v>10073</v>
      </c>
      <c r="M27" s="220">
        <v>11482</v>
      </c>
      <c r="N27" s="221">
        <f t="shared" si="12"/>
        <v>112179</v>
      </c>
    </row>
    <row r="28" ht="14.25" spans="1:15">
      <c r="A28" s="219" t="s">
        <v>66</v>
      </c>
      <c r="B28" s="220">
        <v>3423</v>
      </c>
      <c r="C28" s="220">
        <v>3840</v>
      </c>
      <c r="D28" s="220">
        <v>5540</v>
      </c>
      <c r="E28" s="220">
        <v>4549</v>
      </c>
      <c r="F28" s="220">
        <v>5975</v>
      </c>
      <c r="G28" s="220">
        <v>5798</v>
      </c>
      <c r="H28" s="220">
        <v>3882</v>
      </c>
      <c r="I28" s="220">
        <v>4557</v>
      </c>
      <c r="J28" s="220">
        <v>5337</v>
      </c>
      <c r="K28" s="220">
        <v>5749</v>
      </c>
      <c r="L28" s="220">
        <v>5310</v>
      </c>
      <c r="M28" s="220">
        <v>7509</v>
      </c>
      <c r="N28" s="221">
        <f t="shared" si="12"/>
        <v>61469</v>
      </c>
    </row>
    <row r="29" ht="14.25" spans="1:15">
      <c r="A29" s="219" t="s">
        <v>67</v>
      </c>
      <c r="B29" s="224">
        <f t="shared" ref="B29:H29" si="16">B27/B24</f>
        <v>0.551140833988985</v>
      </c>
      <c r="C29" s="224">
        <f t="shared" si="16"/>
        <v>0.614612605379366</v>
      </c>
      <c r="D29" s="224">
        <f t="shared" si="16"/>
        <v>0.694209858144284</v>
      </c>
      <c r="E29" s="224">
        <f t="shared" si="16"/>
        <v>0.60364206674218</v>
      </c>
      <c r="F29" s="224">
        <f t="shared" si="16"/>
        <v>0.661127495462795</v>
      </c>
      <c r="G29" s="224">
        <f t="shared" si="16"/>
        <v>0.653933389041423</v>
      </c>
      <c r="H29" s="224">
        <f t="shared" si="16"/>
        <v>0.625614813386055</v>
      </c>
      <c r="I29" s="224">
        <f t="shared" ref="I29:N29" si="17">I27/I24</f>
        <v>0.682239732236246</v>
      </c>
      <c r="J29" s="224">
        <f t="shared" si="17"/>
        <v>0.700790491674609</v>
      </c>
      <c r="K29" s="224">
        <f t="shared" si="17"/>
        <v>0.620703305403444</v>
      </c>
      <c r="L29" s="224">
        <f t="shared" si="17"/>
        <v>0.654813755444322</v>
      </c>
      <c r="M29" s="224">
        <f t="shared" si="17"/>
        <v>0.621522139222691</v>
      </c>
      <c r="N29" s="217">
        <f t="shared" si="17"/>
        <v>0.647942887177917</v>
      </c>
    </row>
    <row r="30" ht="14.25" spans="1:15">
      <c r="A30" s="219" t="s">
        <v>68</v>
      </c>
      <c r="B30" s="224">
        <f t="shared" ref="B30:H30" si="18">B28/B24</f>
        <v>0.448859166011015</v>
      </c>
      <c r="C30" s="224">
        <f t="shared" si="18"/>
        <v>0.385387394620634</v>
      </c>
      <c r="D30" s="224">
        <f t="shared" si="18"/>
        <v>0.305790141855716</v>
      </c>
      <c r="E30" s="224">
        <f t="shared" si="18"/>
        <v>0.39635793325782</v>
      </c>
      <c r="F30" s="224">
        <f t="shared" si="18"/>
        <v>0.338872504537205</v>
      </c>
      <c r="G30" s="224">
        <f t="shared" si="18"/>
        <v>0.346066610958577</v>
      </c>
      <c r="H30" s="224">
        <f t="shared" si="18"/>
        <v>0.374385186613945</v>
      </c>
      <c r="I30" s="224">
        <f t="shared" ref="I30:N30" si="19">I28/I24</f>
        <v>0.317760267763754</v>
      </c>
      <c r="J30" s="224">
        <f t="shared" si="19"/>
        <v>0.299209508325391</v>
      </c>
      <c r="K30" s="224">
        <f t="shared" si="19"/>
        <v>0.379296694596556</v>
      </c>
      <c r="L30" s="224">
        <f t="shared" si="19"/>
        <v>0.345186244555678</v>
      </c>
      <c r="M30" s="224">
        <f t="shared" si="19"/>
        <v>0.406463137382267</v>
      </c>
      <c r="N30" s="217">
        <f t="shared" si="19"/>
        <v>0.355043290918438</v>
      </c>
    </row>
    <row r="31" ht="14.25" spans="1:15">
      <c r="A31" s="189">
        <v>2024</v>
      </c>
      <c r="B31" s="221">
        <f>SUM(B34:B35)</f>
        <v>9008</v>
      </c>
      <c r="C31" s="221">
        <f>SUM(C34:C35)</f>
        <v>9721</v>
      </c>
      <c r="D31" s="221">
        <f>SUM(D34:D35)</f>
        <v>13890</v>
      </c>
      <c r="E31" s="14">
        <f>E34+E35</f>
        <v>12514</v>
      </c>
      <c r="F31" s="14">
        <f>F34+F35</f>
        <v>13438</v>
      </c>
      <c r="G31" s="14">
        <f>SUM(G34:G35)</f>
        <v>14358</v>
      </c>
      <c r="H31" s="14">
        <f>SUM(H34:H35)</f>
        <v>9744</v>
      </c>
      <c r="I31" s="14">
        <f>I34+I35</f>
        <v>10653</v>
      </c>
      <c r="J31" s="14">
        <v>16728</v>
      </c>
      <c r="K31" s="189">
        <v>15569</v>
      </c>
      <c r="L31" s="189">
        <v>15321</v>
      </c>
      <c r="M31" s="189">
        <f>SUM(M34:M35)</f>
        <v>16494</v>
      </c>
      <c r="N31" s="221">
        <f>SUM(B31:M31)</f>
        <v>157438</v>
      </c>
    </row>
    <row r="32" ht="14.25" spans="1:15">
      <c r="A32" s="189" t="s">
        <v>64</v>
      </c>
      <c r="B32" s="226">
        <f>B31/M24-1</f>
        <v>-0.512395799502003</v>
      </c>
      <c r="C32" s="226">
        <f t="shared" ref="C32:L32" si="20">C31/B31-1</f>
        <v>0.0791518650088809</v>
      </c>
      <c r="D32" s="226">
        <f t="shared" si="20"/>
        <v>0.4288653430717</v>
      </c>
      <c r="E32" s="226">
        <f t="shared" si="20"/>
        <v>-0.09906407487401</v>
      </c>
      <c r="F32" s="226">
        <f t="shared" si="20"/>
        <v>0.073837302221512</v>
      </c>
      <c r="G32" s="226">
        <f t="shared" si="20"/>
        <v>0.0684625688346481</v>
      </c>
      <c r="H32" s="226">
        <f t="shared" si="20"/>
        <v>-0.321353949017969</v>
      </c>
      <c r="I32" s="226">
        <f t="shared" si="20"/>
        <v>0.0932881773399015</v>
      </c>
      <c r="J32" s="226">
        <f t="shared" si="20"/>
        <v>0.570261898056885</v>
      </c>
      <c r="K32" s="226">
        <f t="shared" si="20"/>
        <v>-0.069285031085605</v>
      </c>
      <c r="L32" s="226">
        <f t="shared" si="20"/>
        <v>-0.0159290898580513</v>
      </c>
      <c r="M32" s="226">
        <f t="shared" ref="M32" si="21">M31/L31-1</f>
        <v>0.0765615821421579</v>
      </c>
      <c r="N32" s="226"/>
    </row>
    <row r="33" ht="14.25" spans="1:14">
      <c r="A33" s="189" t="s">
        <v>69</v>
      </c>
      <c r="B33" s="207">
        <f>(B31-B24)/B24</f>
        <v>0.181222134801993</v>
      </c>
      <c r="C33" s="207">
        <f>(C31-C24)/C24</f>
        <v>-0.024387796065837</v>
      </c>
      <c r="D33" s="207">
        <f>(D31-D24)/D24</f>
        <v>-0.233316774300381</v>
      </c>
      <c r="E33" s="207">
        <f>(E31-E24)/E24</f>
        <v>0.0903546222880544</v>
      </c>
      <c r="F33" s="207">
        <f>(F31-F24)/F24</f>
        <v>-0.237862976406534</v>
      </c>
      <c r="G33" s="207">
        <f t="shared" ref="G33:N33" si="22">G31/G24-1</f>
        <v>-0.143010624328519</v>
      </c>
      <c r="H33" s="207">
        <f t="shared" si="22"/>
        <v>-0.0602758221622143</v>
      </c>
      <c r="I33" s="207">
        <f t="shared" si="22"/>
        <v>-0.257164772331079</v>
      </c>
      <c r="J33" s="207">
        <f t="shared" si="22"/>
        <v>-0.0621741324213713</v>
      </c>
      <c r="K33" s="207">
        <f t="shared" si="22"/>
        <v>0.0271821600580591</v>
      </c>
      <c r="L33" s="207">
        <f t="shared" si="22"/>
        <v>-0.00403042319443536</v>
      </c>
      <c r="M33" s="207">
        <f t="shared" si="22"/>
        <v>-0.107177655082819</v>
      </c>
      <c r="N33" s="207">
        <f t="shared" si="22"/>
        <v>-0.0906423459692371</v>
      </c>
    </row>
    <row r="34" ht="14.25" spans="1:14">
      <c r="A34" s="219" t="s">
        <v>65</v>
      </c>
      <c r="B34" s="220">
        <v>4936</v>
      </c>
      <c r="C34" s="220">
        <v>5229</v>
      </c>
      <c r="D34" s="220">
        <v>8339</v>
      </c>
      <c r="E34" s="220">
        <v>6801</v>
      </c>
      <c r="F34" s="220">
        <v>7614</v>
      </c>
      <c r="G34" s="220">
        <v>9118</v>
      </c>
      <c r="H34" s="220">
        <v>5516</v>
      </c>
      <c r="I34" s="220">
        <v>6790</v>
      </c>
      <c r="J34" s="220">
        <v>11535</v>
      </c>
      <c r="K34" s="220">
        <v>8780</v>
      </c>
      <c r="L34" s="220">
        <v>9011</v>
      </c>
      <c r="M34" s="220">
        <v>10697</v>
      </c>
      <c r="N34" s="221">
        <f>SUM(B34:M34)</f>
        <v>94366</v>
      </c>
    </row>
    <row r="35" ht="14.25" spans="1:14">
      <c r="A35" s="219" t="s">
        <v>66</v>
      </c>
      <c r="B35" s="220">
        <v>4072</v>
      </c>
      <c r="C35" s="220">
        <v>4492</v>
      </c>
      <c r="D35" s="220">
        <v>5551</v>
      </c>
      <c r="E35" s="220">
        <v>5713</v>
      </c>
      <c r="F35" s="220">
        <v>5824</v>
      </c>
      <c r="G35" s="220">
        <v>5240</v>
      </c>
      <c r="H35" s="220">
        <v>4228</v>
      </c>
      <c r="I35" s="220">
        <v>3863</v>
      </c>
      <c r="J35" s="220">
        <v>5139</v>
      </c>
      <c r="K35" s="220">
        <v>6789</v>
      </c>
      <c r="L35" s="220">
        <v>6310</v>
      </c>
      <c r="M35" s="220">
        <v>5797</v>
      </c>
      <c r="N35" s="221">
        <f t="shared" ref="N35" si="23">SUM(B35:M35)</f>
        <v>63018</v>
      </c>
    </row>
    <row r="36" ht="14.25" spans="1:14">
      <c r="A36" s="219" t="s">
        <v>67</v>
      </c>
      <c r="B36" s="224">
        <f t="shared" ref="B36:J36" si="24">B34/B31</f>
        <v>0.547957371225577</v>
      </c>
      <c r="C36" s="224">
        <f t="shared" si="24"/>
        <v>0.537907622672565</v>
      </c>
      <c r="D36" s="224">
        <f t="shared" si="24"/>
        <v>0.600359971202304</v>
      </c>
      <c r="E36" s="224">
        <f t="shared" si="24"/>
        <v>0.543471312130414</v>
      </c>
      <c r="F36" s="224">
        <f t="shared" si="24"/>
        <v>0.566602172942402</v>
      </c>
      <c r="G36" s="224">
        <f t="shared" si="24"/>
        <v>0.635046663880763</v>
      </c>
      <c r="H36" s="224">
        <f t="shared" si="24"/>
        <v>0.566091954022989</v>
      </c>
      <c r="I36" s="224">
        <f t="shared" si="24"/>
        <v>0.63737914202572</v>
      </c>
      <c r="J36" s="224">
        <f t="shared" si="24"/>
        <v>0.689562410329986</v>
      </c>
      <c r="K36" s="224">
        <f t="shared" ref="K36:N36" si="25">K34/K31</f>
        <v>0.563941165135847</v>
      </c>
      <c r="L36" s="224">
        <f t="shared" si="25"/>
        <v>0.58814698779453</v>
      </c>
      <c r="M36" s="224">
        <f t="shared" si="25"/>
        <v>0.648538862616709</v>
      </c>
      <c r="N36" s="217">
        <f t="shared" si="25"/>
        <v>0.599385154791092</v>
      </c>
    </row>
    <row r="37" ht="14.25" spans="1:14">
      <c r="A37" s="219" t="s">
        <v>68</v>
      </c>
      <c r="B37" s="224">
        <f t="shared" ref="B37:J37" si="26">B35/B31</f>
        <v>0.452042628774423</v>
      </c>
      <c r="C37" s="224">
        <f t="shared" si="26"/>
        <v>0.462092377327435</v>
      </c>
      <c r="D37" s="224">
        <f t="shared" si="26"/>
        <v>0.399640028797696</v>
      </c>
      <c r="E37" s="224">
        <f t="shared" si="26"/>
        <v>0.456528687869586</v>
      </c>
      <c r="F37" s="224">
        <f t="shared" si="26"/>
        <v>0.433397827057598</v>
      </c>
      <c r="G37" s="224">
        <f t="shared" si="26"/>
        <v>0.364953336119237</v>
      </c>
      <c r="H37" s="224">
        <f t="shared" si="26"/>
        <v>0.433908045977011</v>
      </c>
      <c r="I37" s="224">
        <f t="shared" si="26"/>
        <v>0.36262085797428</v>
      </c>
      <c r="J37" s="224">
        <f t="shared" si="26"/>
        <v>0.307209469153515</v>
      </c>
      <c r="K37" s="224">
        <f t="shared" ref="K37:N37" si="27">K35/K31</f>
        <v>0.436058834864153</v>
      </c>
      <c r="L37" s="224">
        <f t="shared" si="27"/>
        <v>0.41185301220547</v>
      </c>
      <c r="M37" s="224">
        <f t="shared" si="27"/>
        <v>0.351461137383291</v>
      </c>
      <c r="N37" s="217">
        <f t="shared" si="27"/>
        <v>0.400271853046914</v>
      </c>
    </row>
    <row r="38" ht="14.25" spans="1:14">
      <c r="A38" s="189">
        <v>2025</v>
      </c>
      <c r="B38" s="221">
        <f>SUM(B41:B42)</f>
        <v>10124</v>
      </c>
      <c r="C38" s="221">
        <f>SUM(C41:C42)</f>
        <v>11978</v>
      </c>
      <c r="D38" s="221">
        <f>SUM(D41:D42)</f>
        <v>13387</v>
      </c>
      <c r="E38" s="14">
        <f>E41+E42</f>
        <v>15384</v>
      </c>
      <c r="F38" s="14"/>
      <c r="G38" s="14"/>
      <c r="H38" s="14"/>
      <c r="I38" s="14"/>
      <c r="J38" s="14"/>
      <c r="K38" s="189"/>
      <c r="L38" s="189"/>
      <c r="M38" s="189"/>
      <c r="N38" s="221">
        <f>SUM(B38:M38)</f>
        <v>50873</v>
      </c>
    </row>
    <row r="39" ht="14.25" spans="1:14">
      <c r="A39" s="189" t="s">
        <v>64</v>
      </c>
      <c r="B39" s="226">
        <f>B38/M31-1</f>
        <v>-0.386201042803444</v>
      </c>
      <c r="C39" s="226">
        <f t="shared" ref="C39:E39" si="28">C38/B38-1</f>
        <v>0.183129197945476</v>
      </c>
      <c r="D39" s="226">
        <f t="shared" si="28"/>
        <v>0.117632325930873</v>
      </c>
      <c r="E39" s="226">
        <f t="shared" si="28"/>
        <v>0.149174572346306</v>
      </c>
      <c r="F39" s="226"/>
      <c r="G39" s="226"/>
      <c r="H39" s="226"/>
      <c r="I39" s="226"/>
      <c r="J39" s="226"/>
      <c r="K39" s="226"/>
      <c r="L39" s="226"/>
      <c r="M39" s="226"/>
      <c r="N39" s="226"/>
    </row>
    <row r="40" ht="14.25" spans="1:14">
      <c r="A40" s="189" t="s">
        <v>69</v>
      </c>
      <c r="B40" s="207">
        <f>(B38-B31)/B31</f>
        <v>0.123889875666075</v>
      </c>
      <c r="C40" s="207">
        <f>(C38-C31)/C31</f>
        <v>0.232177759489764</v>
      </c>
      <c r="D40" s="207">
        <f>(D38-D31)/D31</f>
        <v>-0.0362131029517639</v>
      </c>
      <c r="E40" s="207">
        <f>(E38-E31)/E31</f>
        <v>0.229343135688029</v>
      </c>
      <c r="F40" s="207"/>
      <c r="G40" s="207"/>
      <c r="H40" s="207"/>
      <c r="I40" s="207"/>
      <c r="J40" s="207"/>
      <c r="K40" s="207"/>
      <c r="L40" s="207"/>
      <c r="M40" s="207"/>
      <c r="N40" s="207">
        <f t="shared" ref="N40" si="29">N38/N31-1</f>
        <v>-0.676869624868202</v>
      </c>
    </row>
    <row r="41" ht="14.25" spans="1:14">
      <c r="A41" s="219" t="s">
        <v>65</v>
      </c>
      <c r="B41" s="220">
        <v>5660</v>
      </c>
      <c r="C41" s="220">
        <v>6872</v>
      </c>
      <c r="D41" s="227">
        <v>10548</v>
      </c>
      <c r="E41" s="227">
        <v>8555</v>
      </c>
      <c r="F41" s="220"/>
      <c r="G41" s="220"/>
      <c r="H41" s="220"/>
      <c r="I41" s="220"/>
      <c r="J41" s="220"/>
      <c r="K41" s="220"/>
      <c r="L41" s="220"/>
      <c r="M41" s="220"/>
      <c r="N41" s="221">
        <f>SUM(B41:M41)</f>
        <v>31635</v>
      </c>
    </row>
    <row r="42" ht="14.25" spans="1:14">
      <c r="A42" s="219" t="s">
        <v>66</v>
      </c>
      <c r="B42" s="220">
        <v>4464</v>
      </c>
      <c r="C42" s="220">
        <v>5106</v>
      </c>
      <c r="D42" s="227">
        <v>2839</v>
      </c>
      <c r="E42" s="227">
        <v>6829</v>
      </c>
      <c r="F42" s="220"/>
      <c r="G42" s="220"/>
      <c r="H42" s="220"/>
      <c r="I42" s="220"/>
      <c r="J42" s="220"/>
      <c r="K42" s="220"/>
      <c r="L42" s="220"/>
      <c r="M42" s="220"/>
      <c r="N42" s="221">
        <f t="shared" ref="N42" si="30">SUM(B42:M42)</f>
        <v>19238</v>
      </c>
    </row>
    <row r="43" ht="14.25" spans="1:14">
      <c r="A43" s="219" t="s">
        <v>67</v>
      </c>
      <c r="B43" s="224">
        <f>B41/B38</f>
        <v>0.559067562228368</v>
      </c>
      <c r="C43" s="224">
        <f>C41/C38</f>
        <v>0.573718483887126</v>
      </c>
      <c r="D43" s="224">
        <f>D41/D38</f>
        <v>0.787928587435572</v>
      </c>
      <c r="E43" s="224">
        <f>E41/E38</f>
        <v>0.556097243889756</v>
      </c>
      <c r="F43" s="224"/>
      <c r="G43" s="224"/>
      <c r="H43" s="224"/>
      <c r="I43" s="224"/>
      <c r="J43" s="224"/>
      <c r="K43" s="224"/>
      <c r="L43" s="224"/>
      <c r="M43" s="224"/>
      <c r="N43" s="217">
        <f t="shared" ref="N43" si="31">N41/N38</f>
        <v>0.621842627720009</v>
      </c>
    </row>
    <row r="44" ht="14.25" spans="1:14">
      <c r="A44" s="219" t="s">
        <v>68</v>
      </c>
      <c r="B44" s="224">
        <f>B42/B38</f>
        <v>0.440932437771632</v>
      </c>
      <c r="C44" s="224">
        <f>C42/C38</f>
        <v>0.426281516112874</v>
      </c>
      <c r="D44" s="224">
        <f>D42/D38</f>
        <v>0.212071412564428</v>
      </c>
      <c r="E44" s="224">
        <f>E42/E38</f>
        <v>0.443902756110244</v>
      </c>
      <c r="F44" s="224"/>
      <c r="G44" s="224"/>
      <c r="H44" s="224"/>
      <c r="I44" s="224"/>
      <c r="J44" s="224"/>
      <c r="K44" s="224"/>
      <c r="L44" s="224"/>
      <c r="M44" s="224"/>
      <c r="N44" s="217">
        <f t="shared" ref="N44" si="32">N42/N38</f>
        <v>0.378157372279991</v>
      </c>
    </row>
    <row r="45" ht="14.25" spans="1:14">
      <c r="B45" s="194"/>
      <c r="C45" s="194"/>
      <c r="D45" s="194"/>
      <c r="E45" s="194"/>
      <c r="F45" s="194"/>
      <c r="G45" s="194"/>
    </row>
    <row r="46" ht="14.25" spans="1:14">
      <c r="A46" s="215" t="s">
        <v>98</v>
      </c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</row>
    <row r="47" ht="14.25" spans="1:14">
      <c r="A47" s="216"/>
      <c r="B47" s="166" t="s">
        <v>51</v>
      </c>
      <c r="C47" s="166" t="s">
        <v>52</v>
      </c>
      <c r="D47" s="166" t="s">
        <v>53</v>
      </c>
      <c r="E47" s="166" t="s">
        <v>54</v>
      </c>
      <c r="F47" s="166" t="s">
        <v>55</v>
      </c>
      <c r="G47" s="166" t="s">
        <v>56</v>
      </c>
      <c r="H47" s="166" t="s">
        <v>57</v>
      </c>
      <c r="I47" s="166" t="s">
        <v>58</v>
      </c>
      <c r="J47" s="166" t="s">
        <v>59</v>
      </c>
      <c r="K47" s="166" t="s">
        <v>60</v>
      </c>
      <c r="L47" s="166" t="s">
        <v>61</v>
      </c>
      <c r="M47" s="166" t="s">
        <v>62</v>
      </c>
      <c r="N47" s="189" t="s">
        <v>63</v>
      </c>
    </row>
    <row r="48" ht="14.25" spans="1:14">
      <c r="A48" s="216">
        <v>2021</v>
      </c>
      <c r="B48" s="195">
        <v>20573</v>
      </c>
      <c r="C48" s="195">
        <v>22837</v>
      </c>
      <c r="D48" s="195">
        <v>47460</v>
      </c>
      <c r="E48" s="195">
        <v>21873</v>
      </c>
      <c r="F48" s="195">
        <v>24327</v>
      </c>
      <c r="G48" s="195">
        <v>36095</v>
      </c>
      <c r="H48" s="195">
        <v>16778</v>
      </c>
      <c r="I48" s="195">
        <v>19808</v>
      </c>
      <c r="J48" s="195">
        <v>22634</v>
      </c>
      <c r="K48" s="195">
        <v>19962</v>
      </c>
      <c r="L48" s="195">
        <v>21056</v>
      </c>
      <c r="M48" s="195">
        <v>27582</v>
      </c>
      <c r="N48" s="221">
        <f>SUM(B48:M48)</f>
        <v>300985</v>
      </c>
    </row>
    <row r="49" ht="14.25" spans="1:14">
      <c r="A49" s="189">
        <v>2022</v>
      </c>
      <c r="B49" s="195">
        <v>19893</v>
      </c>
      <c r="C49" s="195">
        <v>21136</v>
      </c>
      <c r="D49" s="195">
        <v>28710</v>
      </c>
      <c r="E49" s="195">
        <v>21942</v>
      </c>
      <c r="F49" s="189">
        <v>26413</v>
      </c>
      <c r="G49" s="195">
        <v>26088</v>
      </c>
      <c r="H49" s="195">
        <v>17834</v>
      </c>
      <c r="I49" s="195">
        <v>20576</v>
      </c>
      <c r="J49" s="195">
        <v>22048</v>
      </c>
      <c r="K49" s="195">
        <v>22383</v>
      </c>
      <c r="L49" s="221">
        <v>25588</v>
      </c>
      <c r="M49" s="195">
        <v>35392</v>
      </c>
      <c r="N49" s="221">
        <f>SUM(B49:M49)</f>
        <v>288003</v>
      </c>
    </row>
    <row r="50" ht="14.25" spans="1:14">
      <c r="A50" s="189">
        <v>2023</v>
      </c>
      <c r="B50" s="195">
        <v>14597</v>
      </c>
      <c r="C50" s="195">
        <v>18442</v>
      </c>
      <c r="D50" s="195">
        <v>30261</v>
      </c>
      <c r="E50" s="189">
        <v>20586</v>
      </c>
      <c r="F50" s="189">
        <v>28490</v>
      </c>
      <c r="G50" s="194">
        <v>28283</v>
      </c>
      <c r="H50" s="189">
        <v>17300</v>
      </c>
      <c r="I50" s="189">
        <v>23871</v>
      </c>
      <c r="J50" s="189">
        <v>28135</v>
      </c>
      <c r="K50" s="189">
        <v>25017</v>
      </c>
      <c r="L50" s="189">
        <v>25404</v>
      </c>
      <c r="M50" s="189">
        <v>29436</v>
      </c>
      <c r="N50" s="221">
        <f>SUM(B50:M50)</f>
        <v>289822</v>
      </c>
    </row>
    <row r="51" ht="14.25" spans="1:14">
      <c r="A51" s="189">
        <v>2024</v>
      </c>
      <c r="B51" s="194">
        <v>17164</v>
      </c>
      <c r="C51" s="194">
        <v>18766</v>
      </c>
      <c r="D51" s="194">
        <v>23891</v>
      </c>
      <c r="E51" s="194">
        <v>21977</v>
      </c>
      <c r="F51" s="194">
        <v>25094</v>
      </c>
      <c r="G51" s="194">
        <v>25401</v>
      </c>
      <c r="H51" s="194">
        <v>16337</v>
      </c>
      <c r="I51" s="194">
        <v>19036</v>
      </c>
      <c r="J51" s="194">
        <v>25725</v>
      </c>
      <c r="K51" s="194">
        <v>25026</v>
      </c>
      <c r="L51" s="194">
        <v>24844</v>
      </c>
      <c r="M51" s="194">
        <v>26321</v>
      </c>
      <c r="N51" s="221">
        <f>SUM(B51:M51)</f>
        <v>269582</v>
      </c>
    </row>
    <row r="52" ht="14.25" spans="1:14">
      <c r="A52" s="189" t="s">
        <v>69</v>
      </c>
      <c r="B52" s="226">
        <f t="shared" ref="B52:N52" si="33">B51/B50-1</f>
        <v>0.175858053024594</v>
      </c>
      <c r="C52" s="226">
        <f t="shared" si="33"/>
        <v>0.0175685934280447</v>
      </c>
      <c r="D52" s="226">
        <f t="shared" si="33"/>
        <v>-0.210501966227157</v>
      </c>
      <c r="E52" s="226">
        <f t="shared" si="33"/>
        <v>0.0675701933352764</v>
      </c>
      <c r="F52" s="226">
        <f t="shared" si="33"/>
        <v>-0.119199719199719</v>
      </c>
      <c r="G52" s="226">
        <f t="shared" si="33"/>
        <v>-0.101898667043807</v>
      </c>
      <c r="H52" s="226">
        <f t="shared" si="33"/>
        <v>-0.055664739884393</v>
      </c>
      <c r="I52" s="226">
        <f t="shared" si="33"/>
        <v>-0.202547023585103</v>
      </c>
      <c r="J52" s="226">
        <f t="shared" si="33"/>
        <v>-0.085658432557313</v>
      </c>
      <c r="K52" s="226">
        <f t="shared" si="33"/>
        <v>0.0003597553663508</v>
      </c>
      <c r="L52" s="226">
        <f t="shared" si="33"/>
        <v>-0.0220437726342309</v>
      </c>
      <c r="M52" s="226">
        <f t="shared" si="33"/>
        <v>-0.105822802011143</v>
      </c>
      <c r="N52" s="226">
        <f t="shared" si="33"/>
        <v>-0.0698359682839812</v>
      </c>
    </row>
    <row r="53" ht="14.25" spans="1:14">
      <c r="A53" s="189">
        <v>2025</v>
      </c>
      <c r="B53" s="194">
        <v>19632</v>
      </c>
      <c r="C53" s="194">
        <v>19608</v>
      </c>
      <c r="D53" s="194">
        <v>24204</v>
      </c>
      <c r="E53" s="194">
        <v>24292</v>
      </c>
      <c r="F53" s="194"/>
      <c r="G53" s="194"/>
      <c r="H53" s="194"/>
      <c r="I53" s="194"/>
      <c r="J53" s="194"/>
      <c r="K53" s="194"/>
      <c r="L53" s="194"/>
      <c r="M53" s="194"/>
      <c r="N53" s="221">
        <f>SUM(B53:M53)</f>
        <v>87736</v>
      </c>
    </row>
    <row r="54" ht="14.25" spans="1:14">
      <c r="A54" s="189" t="s">
        <v>69</v>
      </c>
      <c r="B54" s="226">
        <f>B53/B51-1</f>
        <v>0.14378932649732</v>
      </c>
      <c r="C54" s="226">
        <f>C53/C51-1</f>
        <v>0.0448683789832676</v>
      </c>
      <c r="D54" s="226">
        <f>D53/D51-1</f>
        <v>0.0131011678037756</v>
      </c>
      <c r="E54" s="226">
        <f>E53/E51-1</f>
        <v>0.105337398189016</v>
      </c>
      <c r="F54" s="226"/>
      <c r="G54" s="226"/>
      <c r="H54" s="226"/>
      <c r="I54" s="226"/>
      <c r="J54" s="226"/>
      <c r="K54" s="226"/>
      <c r="L54" s="226"/>
      <c r="M54" s="226"/>
      <c r="N54" s="226"/>
    </row>
    <row r="55" ht="14.25" spans="1:14">
      <c r="B55" s="194"/>
      <c r="C55" s="194"/>
      <c r="D55" s="194"/>
      <c r="E55" s="194"/>
      <c r="F55" s="194"/>
      <c r="G55" s="194"/>
    </row>
    <row r="56" ht="14.25" spans="1:14">
      <c r="A56" s="215" t="s">
        <v>72</v>
      </c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</row>
    <row r="57" ht="14.25" spans="1:14">
      <c r="A57" s="189"/>
      <c r="B57" s="166" t="s">
        <v>51</v>
      </c>
      <c r="C57" s="166" t="s">
        <v>52</v>
      </c>
      <c r="D57" s="166" t="s">
        <v>53</v>
      </c>
      <c r="E57" s="166" t="s">
        <v>54</v>
      </c>
      <c r="F57" s="166" t="s">
        <v>55</v>
      </c>
      <c r="G57" s="166" t="s">
        <v>56</v>
      </c>
      <c r="H57" s="166" t="s">
        <v>57</v>
      </c>
      <c r="I57" s="166" t="s">
        <v>58</v>
      </c>
      <c r="J57" s="166" t="s">
        <v>59</v>
      </c>
      <c r="K57" s="166" t="s">
        <v>60</v>
      </c>
      <c r="L57" s="166" t="s">
        <v>61</v>
      </c>
      <c r="M57" s="166" t="s">
        <v>62</v>
      </c>
      <c r="N57" s="189" t="s">
        <v>63</v>
      </c>
    </row>
    <row r="58" ht="14.25" spans="1:14">
      <c r="A58" s="216">
        <v>2021</v>
      </c>
      <c r="B58" s="217">
        <f t="shared" ref="B58:N58" si="34">B11/B48</f>
        <v>0.33417586156613</v>
      </c>
      <c r="C58" s="217">
        <f t="shared" si="34"/>
        <v>0.35052765249376</v>
      </c>
      <c r="D58" s="217">
        <f t="shared" si="34"/>
        <v>0.369974715549937</v>
      </c>
      <c r="E58" s="217">
        <f t="shared" si="34"/>
        <v>0.430942257577836</v>
      </c>
      <c r="F58" s="217">
        <f t="shared" si="34"/>
        <v>0.384428823940478</v>
      </c>
      <c r="G58" s="217">
        <f t="shared" si="34"/>
        <v>0.488017730987671</v>
      </c>
      <c r="H58" s="217">
        <f t="shared" si="34"/>
        <v>0.377220169269281</v>
      </c>
      <c r="I58" s="217">
        <f t="shared" si="34"/>
        <v>0.466781098546042</v>
      </c>
      <c r="J58" s="217">
        <f t="shared" si="34"/>
        <v>0.532870902182557</v>
      </c>
      <c r="K58" s="217">
        <f t="shared" si="34"/>
        <v>0.503606853020739</v>
      </c>
      <c r="L58" s="217">
        <f t="shared" si="34"/>
        <v>0.533719604863222</v>
      </c>
      <c r="M58" s="217">
        <f t="shared" si="34"/>
        <v>0.607135088100935</v>
      </c>
      <c r="N58" s="217">
        <f t="shared" si="34"/>
        <v>0.391245410900875</v>
      </c>
    </row>
    <row r="59" ht="14.25" spans="1:14">
      <c r="A59" s="189">
        <v>2022</v>
      </c>
      <c r="B59" s="217">
        <f t="shared" ref="B59:N59" si="35">B17/B49</f>
        <v>0.528879505353642</v>
      </c>
      <c r="C59" s="217">
        <f t="shared" si="35"/>
        <v>0.516086298258895</v>
      </c>
      <c r="D59" s="217">
        <f t="shared" si="35"/>
        <v>0.555520724486242</v>
      </c>
      <c r="E59" s="217">
        <f t="shared" si="35"/>
        <v>0.481496673047124</v>
      </c>
      <c r="F59" s="217">
        <f t="shared" si="35"/>
        <v>0.474046870859047</v>
      </c>
      <c r="G59" s="217">
        <f t="shared" si="35"/>
        <v>0.550827966881325</v>
      </c>
      <c r="H59" s="217">
        <f t="shared" si="35"/>
        <v>0.499663563978917</v>
      </c>
      <c r="I59" s="217">
        <f t="shared" si="35"/>
        <v>0.458786936236392</v>
      </c>
      <c r="J59" s="217">
        <f t="shared" si="35"/>
        <v>0.550934325108853</v>
      </c>
      <c r="K59" s="217">
        <f t="shared" si="35"/>
        <v>0.594156279319126</v>
      </c>
      <c r="L59" s="217">
        <f t="shared" si="35"/>
        <v>0.645536970454901</v>
      </c>
      <c r="M59" s="217">
        <f t="shared" si="35"/>
        <v>0.745648734177215</v>
      </c>
      <c r="N59" s="217">
        <f t="shared" si="35"/>
        <v>0.560893462915317</v>
      </c>
    </row>
    <row r="60" ht="14.25" spans="1:14">
      <c r="A60" s="189">
        <v>2023</v>
      </c>
      <c r="B60" s="210">
        <f t="shared" ref="B60:N60" si="36">B24/B50</f>
        <v>0.522436117010345</v>
      </c>
      <c r="C60" s="210">
        <f t="shared" si="36"/>
        <v>0.540288471966164</v>
      </c>
      <c r="D60" s="210">
        <f t="shared" si="36"/>
        <v>0.598691384950927</v>
      </c>
      <c r="E60" s="210">
        <f t="shared" si="36"/>
        <v>0.557514815894297</v>
      </c>
      <c r="F60" s="210">
        <f t="shared" si="36"/>
        <v>0.618883818883819</v>
      </c>
      <c r="G60" s="210">
        <f t="shared" si="36"/>
        <v>0.592369974896581</v>
      </c>
      <c r="H60" s="210">
        <f t="shared" si="36"/>
        <v>0.599364161849711</v>
      </c>
      <c r="I60" s="210">
        <f t="shared" si="36"/>
        <v>0.600770809769176</v>
      </c>
      <c r="J60" s="210">
        <f t="shared" si="36"/>
        <v>0.633979029678337</v>
      </c>
      <c r="K60" s="210">
        <f t="shared" si="36"/>
        <v>0.605868009753368</v>
      </c>
      <c r="L60" s="210">
        <f t="shared" si="36"/>
        <v>0.60553456148638</v>
      </c>
      <c r="M60" s="210">
        <f t="shared" si="36"/>
        <v>0.627598858540563</v>
      </c>
      <c r="N60" s="210">
        <f t="shared" si="36"/>
        <v>0.597370109929543</v>
      </c>
    </row>
    <row r="61" ht="14.25" spans="1:14">
      <c r="A61" s="189">
        <v>2024</v>
      </c>
      <c r="B61" s="210">
        <f t="shared" ref="B61:N61" si="37">B31/B51</f>
        <v>0.524819389419716</v>
      </c>
      <c r="C61" s="210">
        <f t="shared" si="37"/>
        <v>0.518011297026537</v>
      </c>
      <c r="D61" s="210">
        <f t="shared" si="37"/>
        <v>0.581390481771378</v>
      </c>
      <c r="E61" s="210">
        <f t="shared" si="37"/>
        <v>0.569413477726714</v>
      </c>
      <c r="F61" s="210">
        <f t="shared" si="37"/>
        <v>0.535506495576632</v>
      </c>
      <c r="G61" s="210">
        <f t="shared" si="37"/>
        <v>0.565253336482816</v>
      </c>
      <c r="H61" s="210">
        <f t="shared" si="37"/>
        <v>0.596437534431046</v>
      </c>
      <c r="I61" s="210">
        <f t="shared" si="37"/>
        <v>0.559623870561042</v>
      </c>
      <c r="J61" s="210">
        <f t="shared" si="37"/>
        <v>0.650262390670554</v>
      </c>
      <c r="K61" s="210">
        <f t="shared" si="37"/>
        <v>0.622113002477424</v>
      </c>
      <c r="L61" s="210">
        <f t="shared" si="37"/>
        <v>0.616688133955885</v>
      </c>
      <c r="M61" s="210">
        <f t="shared" si="37"/>
        <v>0.626647923711105</v>
      </c>
      <c r="N61" s="210">
        <f t="shared" si="37"/>
        <v>0.584007834350958</v>
      </c>
    </row>
    <row r="62" ht="14.25" spans="1:14">
      <c r="A62" s="189">
        <v>2025</v>
      </c>
      <c r="B62" s="210">
        <f>B38/B53</f>
        <v>0.515688671556642</v>
      </c>
      <c r="C62" s="210">
        <f>C38/C53</f>
        <v>0.610873113015096</v>
      </c>
      <c r="D62" s="210">
        <f>D38/D53</f>
        <v>0.553090398281276</v>
      </c>
      <c r="E62" s="210">
        <f>E38/E53</f>
        <v>0.633294911905154</v>
      </c>
      <c r="F62" s="210"/>
      <c r="G62" s="210"/>
      <c r="H62" s="210"/>
      <c r="I62" s="210"/>
      <c r="J62" s="210"/>
      <c r="K62" s="210"/>
      <c r="L62" s="210"/>
      <c r="M62" s="210"/>
      <c r="N62" s="210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2"/>
  <sheetViews>
    <sheetView workbookViewId="0">
      <selection activeCell="S47" sqref="S47"/>
    </sheetView>
  </sheetViews>
  <sheetFormatPr defaultColWidth="9.375" defaultRowHeight="13.5"/>
  <cols>
    <col min="1" max="1" width="24.25" customWidth="1"/>
    <col min="2" max="3" width="9.625" customWidth="1"/>
    <col min="7" max="9" width="12.875"/>
  </cols>
  <sheetData>
    <row r="1" ht="14.25" spans="1:16">
      <c r="A1" s="205" t="s">
        <v>99</v>
      </c>
      <c r="B1" s="195" t="s">
        <v>33</v>
      </c>
      <c r="C1" s="195" t="s">
        <v>34</v>
      </c>
      <c r="D1" s="195" t="s">
        <v>35</v>
      </c>
      <c r="E1" s="195" t="s">
        <v>36</v>
      </c>
      <c r="F1" s="195" t="s">
        <v>37</v>
      </c>
      <c r="G1" s="195" t="s">
        <v>38</v>
      </c>
      <c r="H1" s="195" t="s">
        <v>39</v>
      </c>
      <c r="I1" s="194" t="s">
        <v>40</v>
      </c>
      <c r="J1" s="195" t="s">
        <v>41</v>
      </c>
      <c r="K1" s="194" t="s">
        <v>42</v>
      </c>
      <c r="L1" s="194" t="s">
        <v>43</v>
      </c>
      <c r="M1" s="194" t="s">
        <v>44</v>
      </c>
      <c r="N1" s="194" t="s">
        <v>75</v>
      </c>
      <c r="O1" s="194" t="s">
        <v>45</v>
      </c>
      <c r="P1" s="194">
        <v>2024</v>
      </c>
    </row>
    <row r="2" ht="14.25" spans="1:16">
      <c r="A2" s="205" t="s">
        <v>100</v>
      </c>
      <c r="B2" s="206"/>
      <c r="C2" s="206"/>
      <c r="D2" s="206"/>
      <c r="E2" s="206"/>
      <c r="F2" s="206"/>
      <c r="G2" s="206"/>
      <c r="H2" s="206">
        <v>5.0459</v>
      </c>
      <c r="I2" s="194">
        <v>5.0304</v>
      </c>
      <c r="J2" s="206">
        <v>10.3845</v>
      </c>
      <c r="K2" s="206">
        <v>6.2191</v>
      </c>
      <c r="L2" s="206">
        <v>11.7248</v>
      </c>
      <c r="M2" s="206">
        <v>6.8075</v>
      </c>
      <c r="N2" s="10">
        <f>N24/10000</f>
        <v>13.1216</v>
      </c>
      <c r="O2" s="206">
        <f>SUM(B31:G31)/10000</f>
        <v>6.4271</v>
      </c>
      <c r="P2" s="10">
        <f>N31/10000</f>
        <v>11.6543</v>
      </c>
    </row>
    <row r="3" ht="14.25" spans="1:16">
      <c r="A3" s="205" t="s">
        <v>29</v>
      </c>
      <c r="B3" s="207"/>
      <c r="C3" s="208"/>
      <c r="D3" s="208"/>
      <c r="E3" s="208"/>
      <c r="F3" s="208"/>
      <c r="G3" s="208"/>
      <c r="H3" s="208"/>
      <c r="I3" s="21"/>
      <c r="J3" s="208">
        <f t="shared" ref="J3:P3" si="0">(J2-H2)/H2</f>
        <v>1.0580074912305</v>
      </c>
      <c r="K3" s="209">
        <f t="shared" si="0"/>
        <v>0.236303276081425</v>
      </c>
      <c r="L3" s="210">
        <f t="shared" si="0"/>
        <v>0.129067360007704</v>
      </c>
      <c r="M3" s="210">
        <f t="shared" si="0"/>
        <v>0.0946117605441302</v>
      </c>
      <c r="N3" s="210">
        <f t="shared" si="0"/>
        <v>0.119132096069869</v>
      </c>
      <c r="O3" s="210">
        <f t="shared" si="0"/>
        <v>-0.0558795446199045</v>
      </c>
      <c r="P3" s="210">
        <f t="shared" si="0"/>
        <v>-0.111823253261797</v>
      </c>
    </row>
    <row r="4" ht="14.25" spans="1:16">
      <c r="A4" s="211" t="s">
        <v>101</v>
      </c>
      <c r="B4" s="212"/>
      <c r="C4" s="10"/>
      <c r="D4" s="10"/>
      <c r="E4" s="10"/>
      <c r="F4" s="10"/>
      <c r="G4" s="10"/>
      <c r="H4" s="10">
        <v>138.1496</v>
      </c>
      <c r="I4" s="194">
        <v>88.475</v>
      </c>
      <c r="J4" s="10">
        <v>144.0606</v>
      </c>
      <c r="K4" s="213">
        <v>70.5842</v>
      </c>
      <c r="L4" s="10">
        <v>134.7732</v>
      </c>
      <c r="M4" s="10">
        <v>78.8553</v>
      </c>
      <c r="N4" s="10">
        <f>N50/10000</f>
        <v>148.7435</v>
      </c>
      <c r="O4" s="10">
        <f>SUM(B51:G51)/10000</f>
        <v>72.5963</v>
      </c>
      <c r="P4" s="10">
        <f>N51/10000</f>
        <v>139.801</v>
      </c>
    </row>
    <row r="5" ht="14.25" spans="1:16">
      <c r="A5" s="205" t="s">
        <v>102</v>
      </c>
      <c r="B5" s="214"/>
      <c r="C5" s="208"/>
      <c r="D5" s="208"/>
      <c r="E5" s="208"/>
      <c r="F5" s="208"/>
      <c r="G5" s="208"/>
      <c r="H5" s="208">
        <f t="shared" ref="H5:P5" si="1">H2/H4</f>
        <v>0.0365248976471883</v>
      </c>
      <c r="I5" s="208">
        <f t="shared" si="1"/>
        <v>0.0568567391918621</v>
      </c>
      <c r="J5" s="208">
        <f t="shared" si="1"/>
        <v>0.0720842478790176</v>
      </c>
      <c r="K5" s="208">
        <f t="shared" si="1"/>
        <v>0.0881089535618453</v>
      </c>
      <c r="L5" s="208">
        <f t="shared" si="1"/>
        <v>0.0869965245315834</v>
      </c>
      <c r="M5" s="208">
        <f t="shared" si="1"/>
        <v>0.0863290102250578</v>
      </c>
      <c r="N5" s="208">
        <f t="shared" si="1"/>
        <v>0.0882162918043478</v>
      </c>
      <c r="O5" s="208">
        <f t="shared" si="1"/>
        <v>0.0885320601738656</v>
      </c>
      <c r="P5" s="208">
        <f t="shared" si="1"/>
        <v>0.0833634952539681</v>
      </c>
    </row>
    <row r="6" spans="1:16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6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ht="14.25" spans="1:16">
      <c r="A8" s="151" t="s">
        <v>49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</row>
    <row r="9" ht="14.25" spans="1:16">
      <c r="A9" s="215" t="s">
        <v>103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89"/>
    </row>
    <row r="10" ht="14.25" spans="1:16">
      <c r="A10" s="216"/>
      <c r="B10" s="166" t="s">
        <v>51</v>
      </c>
      <c r="C10" s="166" t="s">
        <v>52</v>
      </c>
      <c r="D10" s="166" t="s">
        <v>53</v>
      </c>
      <c r="E10" s="166" t="s">
        <v>54</v>
      </c>
      <c r="F10" s="166" t="s">
        <v>55</v>
      </c>
      <c r="G10" s="166" t="s">
        <v>56</v>
      </c>
      <c r="H10" s="166" t="s">
        <v>57</v>
      </c>
      <c r="I10" s="166" t="s">
        <v>58</v>
      </c>
      <c r="J10" s="166" t="s">
        <v>59</v>
      </c>
      <c r="K10" s="166" t="s">
        <v>60</v>
      </c>
      <c r="L10" s="166" t="s">
        <v>61</v>
      </c>
      <c r="M10" s="166" t="s">
        <v>62</v>
      </c>
      <c r="N10" s="189" t="s">
        <v>63</v>
      </c>
    </row>
    <row r="11" ht="14.25" spans="1:16">
      <c r="A11" s="189">
        <v>2021</v>
      </c>
      <c r="B11" s="195">
        <f t="shared" ref="B11:M11" si="2">B13+B14</f>
        <v>4854</v>
      </c>
      <c r="C11" s="195">
        <f t="shared" si="2"/>
        <v>6607</v>
      </c>
      <c r="D11" s="195">
        <f t="shared" si="2"/>
        <v>11150</v>
      </c>
      <c r="E11" s="195">
        <f t="shared" si="2"/>
        <v>8161</v>
      </c>
      <c r="F11" s="195">
        <f t="shared" si="2"/>
        <v>8838</v>
      </c>
      <c r="G11" s="195">
        <f t="shared" si="2"/>
        <v>10691</v>
      </c>
      <c r="H11" s="195">
        <f t="shared" si="2"/>
        <v>8009</v>
      </c>
      <c r="I11" s="195">
        <f t="shared" si="2"/>
        <v>4605</v>
      </c>
      <c r="J11" s="195">
        <f t="shared" si="2"/>
        <v>10769</v>
      </c>
      <c r="K11" s="195">
        <f t="shared" si="2"/>
        <v>9560</v>
      </c>
      <c r="L11" s="195">
        <f t="shared" si="2"/>
        <v>13492</v>
      </c>
      <c r="M11" s="195">
        <f t="shared" si="2"/>
        <v>7103</v>
      </c>
      <c r="N11" s="195">
        <f>SUM(B11:L11)</f>
        <v>96736</v>
      </c>
    </row>
    <row r="12" ht="14.25" spans="1:16">
      <c r="A12" s="189" t="s">
        <v>64</v>
      </c>
      <c r="B12" s="189"/>
      <c r="C12" s="217">
        <f t="shared" ref="C12:M12" si="3">C11/B11-1</f>
        <v>0.361145447053976</v>
      </c>
      <c r="D12" s="217">
        <f t="shared" si="3"/>
        <v>0.68760405630392</v>
      </c>
      <c r="E12" s="217">
        <f t="shared" si="3"/>
        <v>-0.268071748878924</v>
      </c>
      <c r="F12" s="217">
        <f t="shared" si="3"/>
        <v>0.0829555201568435</v>
      </c>
      <c r="G12" s="217">
        <f t="shared" si="3"/>
        <v>0.209662819642453</v>
      </c>
      <c r="H12" s="217">
        <f t="shared" si="3"/>
        <v>-0.250865213731176</v>
      </c>
      <c r="I12" s="217">
        <f t="shared" si="3"/>
        <v>-0.425021850418279</v>
      </c>
      <c r="J12" s="217">
        <f t="shared" si="3"/>
        <v>1.3385450597177</v>
      </c>
      <c r="K12" s="217">
        <f t="shared" si="3"/>
        <v>-0.112266691429102</v>
      </c>
      <c r="L12" s="217">
        <f t="shared" si="3"/>
        <v>0.411297071129707</v>
      </c>
      <c r="M12" s="217">
        <f t="shared" si="3"/>
        <v>-0.473539875481767</v>
      </c>
      <c r="N12" s="218"/>
    </row>
    <row r="13" ht="14.25" spans="1:16">
      <c r="A13" s="219" t="s">
        <v>65</v>
      </c>
      <c r="B13" s="220">
        <v>2565</v>
      </c>
      <c r="C13" s="220">
        <v>3726</v>
      </c>
      <c r="D13" s="220">
        <v>7364</v>
      </c>
      <c r="E13" s="220">
        <v>5074</v>
      </c>
      <c r="F13" s="220">
        <v>5336</v>
      </c>
      <c r="G13" s="220">
        <v>7129</v>
      </c>
      <c r="H13" s="220">
        <v>4971</v>
      </c>
      <c r="I13" s="220">
        <v>3058</v>
      </c>
      <c r="J13" s="220">
        <v>8225</v>
      </c>
      <c r="K13" s="220">
        <v>6845</v>
      </c>
      <c r="L13" s="220">
        <v>7542</v>
      </c>
      <c r="M13" s="220">
        <v>4073</v>
      </c>
      <c r="N13" s="221">
        <f>SUM(B13:M13)</f>
        <v>65908</v>
      </c>
    </row>
    <row r="14" ht="14.25" spans="1:16">
      <c r="A14" s="219" t="s">
        <v>66</v>
      </c>
      <c r="B14" s="220">
        <v>2289</v>
      </c>
      <c r="C14" s="220">
        <v>2881</v>
      </c>
      <c r="D14" s="220">
        <v>3786</v>
      </c>
      <c r="E14" s="220">
        <v>3087</v>
      </c>
      <c r="F14" s="220">
        <v>3502</v>
      </c>
      <c r="G14" s="220">
        <v>3562</v>
      </c>
      <c r="H14" s="220">
        <v>3038</v>
      </c>
      <c r="I14" s="220">
        <v>1547</v>
      </c>
      <c r="J14" s="220">
        <v>2544</v>
      </c>
      <c r="K14" s="220">
        <v>2715</v>
      </c>
      <c r="L14" s="220">
        <v>5950</v>
      </c>
      <c r="M14" s="220">
        <v>3030</v>
      </c>
      <c r="N14" s="221">
        <f>SUM(B14:M14)</f>
        <v>37931</v>
      </c>
    </row>
    <row r="15" ht="14.25" spans="1:16">
      <c r="A15" s="219" t="s">
        <v>67</v>
      </c>
      <c r="B15" s="222">
        <f t="shared" ref="B15:N15" si="4">B13/B11</f>
        <v>0.528430160692213</v>
      </c>
      <c r="C15" s="222">
        <f t="shared" si="4"/>
        <v>0.563947328590888</v>
      </c>
      <c r="D15" s="222">
        <f t="shared" si="4"/>
        <v>0.660448430493274</v>
      </c>
      <c r="E15" s="222">
        <f t="shared" si="4"/>
        <v>0.621737532165176</v>
      </c>
      <c r="F15" s="222">
        <f t="shared" si="4"/>
        <v>0.603756505996832</v>
      </c>
      <c r="G15" s="222">
        <f t="shared" si="4"/>
        <v>0.666822561032644</v>
      </c>
      <c r="H15" s="222">
        <f t="shared" si="4"/>
        <v>0.620676738668997</v>
      </c>
      <c r="I15" s="222">
        <f t="shared" si="4"/>
        <v>0.664060803474484</v>
      </c>
      <c r="J15" s="222">
        <f t="shared" si="4"/>
        <v>0.763766366422138</v>
      </c>
      <c r="K15" s="222">
        <f t="shared" si="4"/>
        <v>0.716004184100418</v>
      </c>
      <c r="L15" s="222">
        <f t="shared" si="4"/>
        <v>0.558997924696116</v>
      </c>
      <c r="M15" s="222">
        <f t="shared" si="4"/>
        <v>0.573419681824581</v>
      </c>
      <c r="N15" s="207">
        <f t="shared" si="4"/>
        <v>0.681318226926894</v>
      </c>
    </row>
    <row r="16" ht="14.25" spans="1:16">
      <c r="A16" s="219" t="s">
        <v>68</v>
      </c>
      <c r="B16" s="222">
        <f t="shared" ref="B16:N16" si="5">B14/B11</f>
        <v>0.471569839307787</v>
      </c>
      <c r="C16" s="222">
        <f t="shared" si="5"/>
        <v>0.436052671409112</v>
      </c>
      <c r="D16" s="222">
        <f t="shared" si="5"/>
        <v>0.339551569506726</v>
      </c>
      <c r="E16" s="222">
        <f t="shared" si="5"/>
        <v>0.378262467834824</v>
      </c>
      <c r="F16" s="222">
        <f t="shared" si="5"/>
        <v>0.396243494003168</v>
      </c>
      <c r="G16" s="222">
        <f t="shared" si="5"/>
        <v>0.333177438967356</v>
      </c>
      <c r="H16" s="222">
        <f t="shared" si="5"/>
        <v>0.379323261331003</v>
      </c>
      <c r="I16" s="222">
        <f t="shared" si="5"/>
        <v>0.335939196525516</v>
      </c>
      <c r="J16" s="222">
        <f t="shared" si="5"/>
        <v>0.236233633577862</v>
      </c>
      <c r="K16" s="222">
        <f t="shared" si="5"/>
        <v>0.283995815899582</v>
      </c>
      <c r="L16" s="222">
        <f t="shared" si="5"/>
        <v>0.441002075303884</v>
      </c>
      <c r="M16" s="222">
        <f t="shared" si="5"/>
        <v>0.426580318175419</v>
      </c>
      <c r="N16" s="207">
        <f t="shared" si="5"/>
        <v>0.392108418789282</v>
      </c>
    </row>
    <row r="17" ht="14.25" spans="1:15">
      <c r="A17" s="189">
        <v>2022</v>
      </c>
      <c r="B17" s="195">
        <f t="shared" ref="B17:N17" si="6">B20+B21</f>
        <v>9119</v>
      </c>
      <c r="C17" s="195">
        <f t="shared" si="6"/>
        <v>8648</v>
      </c>
      <c r="D17" s="195">
        <f t="shared" si="6"/>
        <v>10594</v>
      </c>
      <c r="E17" s="195">
        <f t="shared" si="6"/>
        <v>8602</v>
      </c>
      <c r="F17" s="195">
        <f t="shared" si="6"/>
        <v>11965</v>
      </c>
      <c r="G17" s="195">
        <f t="shared" si="6"/>
        <v>13263</v>
      </c>
      <c r="H17" s="195">
        <f t="shared" si="6"/>
        <v>8750</v>
      </c>
      <c r="I17" s="195">
        <f t="shared" si="6"/>
        <v>5025</v>
      </c>
      <c r="J17" s="195">
        <f t="shared" si="6"/>
        <v>9540</v>
      </c>
      <c r="K17" s="195">
        <f t="shared" si="6"/>
        <v>9811</v>
      </c>
      <c r="L17" s="195">
        <f t="shared" si="6"/>
        <v>11860</v>
      </c>
      <c r="M17" s="195">
        <f t="shared" si="6"/>
        <v>10071</v>
      </c>
      <c r="N17" s="195">
        <f t="shared" si="6"/>
        <v>117248</v>
      </c>
      <c r="O17" s="151">
        <f>SUM(B17:K17)</f>
        <v>95317</v>
      </c>
    </row>
    <row r="18" ht="14.25" spans="1:15">
      <c r="A18" s="189" t="s">
        <v>64</v>
      </c>
      <c r="B18" s="217"/>
      <c r="C18" s="217">
        <f t="shared" ref="C18:M18" si="7">C17/B17-1</f>
        <v>-0.0516504002631868</v>
      </c>
      <c r="D18" s="217">
        <f t="shared" si="7"/>
        <v>0.225023126734505</v>
      </c>
      <c r="E18" s="217">
        <f t="shared" si="7"/>
        <v>-0.188030960921276</v>
      </c>
      <c r="F18" s="217">
        <f t="shared" si="7"/>
        <v>0.390955591722855</v>
      </c>
      <c r="G18" s="217">
        <f t="shared" si="7"/>
        <v>0.108483075637275</v>
      </c>
      <c r="H18" s="217">
        <f t="shared" si="7"/>
        <v>-0.3402699238483</v>
      </c>
      <c r="I18" s="217">
        <f t="shared" si="7"/>
        <v>-0.425714285714286</v>
      </c>
      <c r="J18" s="217">
        <f t="shared" si="7"/>
        <v>0.898507462686567</v>
      </c>
      <c r="K18" s="217">
        <f t="shared" si="7"/>
        <v>0.0284067085953879</v>
      </c>
      <c r="L18" s="217">
        <f t="shared" si="7"/>
        <v>0.20884721231271</v>
      </c>
      <c r="M18" s="217">
        <f t="shared" si="7"/>
        <v>-0.150843170320405</v>
      </c>
      <c r="N18" s="189"/>
    </row>
    <row r="19" ht="14.25" spans="1:15">
      <c r="A19" s="189" t="s">
        <v>69</v>
      </c>
      <c r="B19" s="217">
        <f t="shared" ref="B19:N19" si="8">(B17-B11)/B11</f>
        <v>0.878656777915122</v>
      </c>
      <c r="C19" s="217">
        <f t="shared" si="8"/>
        <v>0.308914787346753</v>
      </c>
      <c r="D19" s="217">
        <f t="shared" si="8"/>
        <v>-0.0498654708520179</v>
      </c>
      <c r="E19" s="217">
        <f t="shared" si="8"/>
        <v>0.0540374954049749</v>
      </c>
      <c r="F19" s="217">
        <f t="shared" si="8"/>
        <v>0.353813079882326</v>
      </c>
      <c r="G19" s="217">
        <f t="shared" si="8"/>
        <v>0.240576185576653</v>
      </c>
      <c r="H19" s="217">
        <f t="shared" si="8"/>
        <v>0.0925209139717817</v>
      </c>
      <c r="I19" s="217">
        <f t="shared" si="8"/>
        <v>0.0912052117263844</v>
      </c>
      <c r="J19" s="217">
        <f t="shared" si="8"/>
        <v>-0.114123874083016</v>
      </c>
      <c r="K19" s="217">
        <f t="shared" si="8"/>
        <v>0.026255230125523</v>
      </c>
      <c r="L19" s="217">
        <f t="shared" si="8"/>
        <v>-0.120960569226208</v>
      </c>
      <c r="M19" s="217">
        <f t="shared" si="8"/>
        <v>0.417851611994932</v>
      </c>
      <c r="N19" s="217">
        <f t="shared" si="8"/>
        <v>0.212041018855442</v>
      </c>
    </row>
    <row r="20" ht="14.25" spans="1:15">
      <c r="A20" s="219" t="s">
        <v>65</v>
      </c>
      <c r="B20" s="220">
        <v>3658</v>
      </c>
      <c r="C20" s="220">
        <v>3175</v>
      </c>
      <c r="D20" s="220">
        <v>4511</v>
      </c>
      <c r="E20" s="220">
        <v>3050</v>
      </c>
      <c r="F20" s="219">
        <v>4489</v>
      </c>
      <c r="G20" s="220">
        <v>6190</v>
      </c>
      <c r="H20" s="220">
        <v>3617</v>
      </c>
      <c r="I20" s="220">
        <v>2304</v>
      </c>
      <c r="J20" s="220">
        <v>5088</v>
      </c>
      <c r="K20" s="220">
        <v>6116</v>
      </c>
      <c r="L20" s="220">
        <v>5162</v>
      </c>
      <c r="M20" s="220">
        <v>4598</v>
      </c>
      <c r="N20" s="221">
        <f>SUM(B20:M20)</f>
        <v>51958</v>
      </c>
    </row>
    <row r="21" ht="14.25" spans="1:15">
      <c r="A21" s="219" t="s">
        <v>66</v>
      </c>
      <c r="B21" s="220">
        <v>5461</v>
      </c>
      <c r="C21" s="220">
        <v>5473</v>
      </c>
      <c r="D21" s="220">
        <v>6083</v>
      </c>
      <c r="E21" s="220">
        <v>5552</v>
      </c>
      <c r="F21" s="219">
        <v>7476</v>
      </c>
      <c r="G21" s="220">
        <v>7073</v>
      </c>
      <c r="H21" s="220">
        <v>5133</v>
      </c>
      <c r="I21" s="220">
        <v>2721</v>
      </c>
      <c r="J21" s="220">
        <v>4452</v>
      </c>
      <c r="K21" s="220">
        <v>3695</v>
      </c>
      <c r="L21" s="220">
        <v>6698</v>
      </c>
      <c r="M21" s="220">
        <v>5473</v>
      </c>
      <c r="N21" s="221">
        <f>SUM(B21:M21)</f>
        <v>65290</v>
      </c>
    </row>
    <row r="22" ht="14.25" spans="1:15">
      <c r="A22" s="219" t="s">
        <v>67</v>
      </c>
      <c r="B22" s="223">
        <f t="shared" ref="B22:N22" si="9">B20/B17</f>
        <v>0.401140475929378</v>
      </c>
      <c r="C22" s="223">
        <f t="shared" si="9"/>
        <v>0.36713691026827</v>
      </c>
      <c r="D22" s="223">
        <f t="shared" si="9"/>
        <v>0.42580706060034</v>
      </c>
      <c r="E22" s="223">
        <f t="shared" si="9"/>
        <v>0.354568704952337</v>
      </c>
      <c r="F22" s="223">
        <f t="shared" si="9"/>
        <v>0.375177601337234</v>
      </c>
      <c r="G22" s="223">
        <f t="shared" si="9"/>
        <v>0.46671190530046</v>
      </c>
      <c r="H22" s="223">
        <f t="shared" si="9"/>
        <v>0.413371428571429</v>
      </c>
      <c r="I22" s="223">
        <f t="shared" si="9"/>
        <v>0.458507462686567</v>
      </c>
      <c r="J22" s="223">
        <f t="shared" si="9"/>
        <v>0.533333333333333</v>
      </c>
      <c r="K22" s="223">
        <f t="shared" si="9"/>
        <v>0.62338191825502</v>
      </c>
      <c r="L22" s="223">
        <f t="shared" si="9"/>
        <v>0.435244519392917</v>
      </c>
      <c r="M22" s="223">
        <f t="shared" si="9"/>
        <v>0.456558435110714</v>
      </c>
      <c r="N22" s="217">
        <f t="shared" si="9"/>
        <v>0.443146151746725</v>
      </c>
    </row>
    <row r="23" ht="14.25" spans="1:15">
      <c r="A23" s="219" t="s">
        <v>68</v>
      </c>
      <c r="B23" s="224">
        <f t="shared" ref="B23:N23" si="10">B21/B17</f>
        <v>0.598859524070622</v>
      </c>
      <c r="C23" s="224">
        <f t="shared" si="10"/>
        <v>0.63286308973173</v>
      </c>
      <c r="D23" s="224">
        <f t="shared" si="10"/>
        <v>0.57419293939966</v>
      </c>
      <c r="E23" s="224">
        <f t="shared" si="10"/>
        <v>0.645431295047663</v>
      </c>
      <c r="F23" s="224">
        <f t="shared" si="10"/>
        <v>0.624822398662766</v>
      </c>
      <c r="G23" s="224">
        <f t="shared" si="10"/>
        <v>0.53328809469954</v>
      </c>
      <c r="H23" s="224">
        <f t="shared" si="10"/>
        <v>0.586628571428571</v>
      </c>
      <c r="I23" s="224">
        <f t="shared" si="10"/>
        <v>0.541492537313433</v>
      </c>
      <c r="J23" s="224">
        <f t="shared" si="10"/>
        <v>0.466666666666667</v>
      </c>
      <c r="K23" s="224">
        <f t="shared" si="10"/>
        <v>0.37661808174498</v>
      </c>
      <c r="L23" s="224">
        <f t="shared" si="10"/>
        <v>0.564755480607083</v>
      </c>
      <c r="M23" s="224">
        <f t="shared" si="10"/>
        <v>0.543441564889286</v>
      </c>
      <c r="N23" s="217">
        <f t="shared" si="10"/>
        <v>0.556853848253275</v>
      </c>
    </row>
    <row r="24" ht="14.25" spans="1:15">
      <c r="A24" s="189">
        <v>2023</v>
      </c>
      <c r="B24" s="221">
        <f t="shared" ref="B24:G24" si="11">SUM(B27,B28)</f>
        <v>9478</v>
      </c>
      <c r="C24" s="221">
        <f t="shared" si="11"/>
        <v>6047</v>
      </c>
      <c r="D24" s="221">
        <f t="shared" si="11"/>
        <v>15532</v>
      </c>
      <c r="E24" s="221">
        <f t="shared" si="11"/>
        <v>10051</v>
      </c>
      <c r="F24" s="221">
        <f t="shared" si="11"/>
        <v>13269</v>
      </c>
      <c r="G24" s="221">
        <f t="shared" si="11"/>
        <v>13698</v>
      </c>
      <c r="H24" s="189">
        <f>H27+H28</f>
        <v>9495</v>
      </c>
      <c r="I24" s="221">
        <f>SUM(I27,I28)</f>
        <v>10793</v>
      </c>
      <c r="J24" s="221">
        <f>SUM(J27,J28)</f>
        <v>10535</v>
      </c>
      <c r="K24" s="189">
        <f>K27+K28</f>
        <v>7242</v>
      </c>
      <c r="L24" s="189">
        <v>13730</v>
      </c>
      <c r="M24" s="189">
        <v>11346</v>
      </c>
      <c r="N24" s="221">
        <f t="shared" ref="N24:N28" si="12">SUM(B24:M24)</f>
        <v>131216</v>
      </c>
    </row>
    <row r="25" ht="14.25" spans="1:15">
      <c r="A25" s="189" t="s">
        <v>64</v>
      </c>
      <c r="B25" s="194"/>
      <c r="C25" s="226">
        <f t="shared" ref="C25:M25" si="13">C24/B24-1</f>
        <v>-0.361996201730323</v>
      </c>
      <c r="D25" s="226">
        <f t="shared" si="13"/>
        <v>1.568546386638</v>
      </c>
      <c r="E25" s="226">
        <f t="shared" si="13"/>
        <v>-0.352884367756889</v>
      </c>
      <c r="F25" s="226">
        <f t="shared" si="13"/>
        <v>0.320167147547508</v>
      </c>
      <c r="G25" s="226">
        <f t="shared" si="13"/>
        <v>0.0323309970608185</v>
      </c>
      <c r="H25" s="226">
        <f t="shared" si="13"/>
        <v>-0.306833114323259</v>
      </c>
      <c r="I25" s="226">
        <f t="shared" si="13"/>
        <v>0.136703528172722</v>
      </c>
      <c r="J25" s="226">
        <f t="shared" si="13"/>
        <v>-0.0239043824701195</v>
      </c>
      <c r="K25" s="226">
        <f t="shared" si="13"/>
        <v>-0.312577123872805</v>
      </c>
      <c r="L25" s="226">
        <f t="shared" si="13"/>
        <v>0.895885114609224</v>
      </c>
      <c r="M25" s="226">
        <f t="shared" si="13"/>
        <v>-0.173634377276038</v>
      </c>
    </row>
    <row r="26" ht="14.25" spans="1:15">
      <c r="A26" s="189" t="s">
        <v>69</v>
      </c>
      <c r="B26" s="207">
        <f t="shared" ref="B26:H26" si="14">(B24-B17)/B17</f>
        <v>0.0393683517929598</v>
      </c>
      <c r="C26" s="207">
        <f t="shared" si="14"/>
        <v>-0.300763182238668</v>
      </c>
      <c r="D26" s="207">
        <f t="shared" si="14"/>
        <v>0.466112894090995</v>
      </c>
      <c r="E26" s="207">
        <f t="shared" si="14"/>
        <v>0.168449197860963</v>
      </c>
      <c r="F26" s="207">
        <f t="shared" si="14"/>
        <v>0.108984538236523</v>
      </c>
      <c r="G26" s="207">
        <f t="shared" si="14"/>
        <v>0.0327980095001131</v>
      </c>
      <c r="H26" s="207">
        <f t="shared" si="14"/>
        <v>0.0851428571428571</v>
      </c>
      <c r="I26" s="207">
        <f t="shared" ref="I26:M26" si="15">(I24-I17)/I17</f>
        <v>1.14786069651741</v>
      </c>
      <c r="J26" s="207">
        <f t="shared" si="15"/>
        <v>0.104297693920335</v>
      </c>
      <c r="K26" s="207">
        <f t="shared" si="15"/>
        <v>-0.261848945061665</v>
      </c>
      <c r="L26" s="207">
        <f t="shared" si="15"/>
        <v>0.157672849915683</v>
      </c>
      <c r="M26" s="207">
        <f t="shared" si="15"/>
        <v>0.126601131963062</v>
      </c>
      <c r="N26" s="217">
        <f>N24/SUM(B17:K17)-1</f>
        <v>0.376627464145955</v>
      </c>
    </row>
    <row r="27" ht="14.25" spans="1:15">
      <c r="A27" s="219" t="s">
        <v>65</v>
      </c>
      <c r="B27" s="220">
        <v>3342</v>
      </c>
      <c r="C27" s="220">
        <v>3518</v>
      </c>
      <c r="D27" s="220">
        <v>7337</v>
      </c>
      <c r="E27" s="220">
        <v>3996</v>
      </c>
      <c r="F27" s="220">
        <v>6213</v>
      </c>
      <c r="G27" s="220">
        <v>6159</v>
      </c>
      <c r="H27" s="220">
        <v>4158</v>
      </c>
      <c r="I27" s="220">
        <v>7437</v>
      </c>
      <c r="J27" s="220">
        <v>4992</v>
      </c>
      <c r="K27" s="220">
        <v>4078</v>
      </c>
      <c r="L27" s="220">
        <v>7960</v>
      </c>
      <c r="M27" s="220">
        <v>6840</v>
      </c>
      <c r="N27" s="221">
        <f t="shared" si="12"/>
        <v>66030</v>
      </c>
    </row>
    <row r="28" ht="14.25" spans="1:15">
      <c r="A28" s="219" t="s">
        <v>66</v>
      </c>
      <c r="B28" s="220">
        <v>6136</v>
      </c>
      <c r="C28" s="220">
        <v>2529</v>
      </c>
      <c r="D28" s="220">
        <v>8195</v>
      </c>
      <c r="E28" s="220">
        <v>6055</v>
      </c>
      <c r="F28" s="220">
        <v>7056</v>
      </c>
      <c r="G28" s="220">
        <v>7539</v>
      </c>
      <c r="H28" s="220">
        <v>5337</v>
      </c>
      <c r="I28" s="220">
        <v>3356</v>
      </c>
      <c r="J28" s="220">
        <v>5543</v>
      </c>
      <c r="K28" s="220">
        <v>3164</v>
      </c>
      <c r="L28" s="220">
        <v>5770</v>
      </c>
      <c r="M28" s="220">
        <v>4506</v>
      </c>
      <c r="N28" s="221">
        <f t="shared" si="12"/>
        <v>65186</v>
      </c>
    </row>
    <row r="29" ht="14.25" spans="1:15">
      <c r="A29" s="219" t="s">
        <v>67</v>
      </c>
      <c r="B29" s="223">
        <f t="shared" ref="B29:H29" si="16">B27/B24</f>
        <v>0.352606035028487</v>
      </c>
      <c r="C29" s="223">
        <f t="shared" si="16"/>
        <v>0.581776087316024</v>
      </c>
      <c r="D29" s="223">
        <f t="shared" si="16"/>
        <v>0.472379603399433</v>
      </c>
      <c r="E29" s="223">
        <f t="shared" si="16"/>
        <v>0.397572380857626</v>
      </c>
      <c r="F29" s="223">
        <f t="shared" si="16"/>
        <v>0.468234230160525</v>
      </c>
      <c r="G29" s="223">
        <f t="shared" si="16"/>
        <v>0.449627682873412</v>
      </c>
      <c r="H29" s="223">
        <f t="shared" si="16"/>
        <v>0.437914691943128</v>
      </c>
      <c r="I29" s="223">
        <f t="shared" ref="I29:N29" si="17">I27/I24</f>
        <v>0.68905772259798</v>
      </c>
      <c r="J29" s="223">
        <f t="shared" si="17"/>
        <v>0.473849074513526</v>
      </c>
      <c r="K29" s="223">
        <f t="shared" si="17"/>
        <v>0.563104114885391</v>
      </c>
      <c r="L29" s="223">
        <f t="shared" si="17"/>
        <v>0.579752367079388</v>
      </c>
      <c r="M29" s="223">
        <f t="shared" si="17"/>
        <v>0.602855631940772</v>
      </c>
      <c r="N29" s="217">
        <f t="shared" si="17"/>
        <v>0.503216071210828</v>
      </c>
    </row>
    <row r="30" ht="14.25" spans="1:15">
      <c r="A30" s="219" t="s">
        <v>68</v>
      </c>
      <c r="B30" s="223">
        <f t="shared" ref="B30:H30" si="18">B28/B24</f>
        <v>0.647393964971513</v>
      </c>
      <c r="C30" s="223">
        <f t="shared" si="18"/>
        <v>0.418223912683976</v>
      </c>
      <c r="D30" s="223">
        <f t="shared" si="18"/>
        <v>0.527620396600567</v>
      </c>
      <c r="E30" s="223">
        <f t="shared" si="18"/>
        <v>0.602427619142374</v>
      </c>
      <c r="F30" s="223">
        <f t="shared" si="18"/>
        <v>0.531765769839475</v>
      </c>
      <c r="G30" s="223">
        <f t="shared" si="18"/>
        <v>0.550372317126588</v>
      </c>
      <c r="H30" s="223">
        <f t="shared" si="18"/>
        <v>0.562085308056872</v>
      </c>
      <c r="I30" s="223">
        <f t="shared" ref="I30:N30" si="19">I28/I24</f>
        <v>0.31094227740202</v>
      </c>
      <c r="J30" s="223">
        <f t="shared" si="19"/>
        <v>0.526150925486474</v>
      </c>
      <c r="K30" s="223">
        <f t="shared" si="19"/>
        <v>0.436895885114609</v>
      </c>
      <c r="L30" s="223">
        <f t="shared" si="19"/>
        <v>0.420247632920612</v>
      </c>
      <c r="M30" s="223">
        <f t="shared" si="19"/>
        <v>0.397144368059228</v>
      </c>
      <c r="N30" s="217">
        <f t="shared" si="19"/>
        <v>0.496783928789172</v>
      </c>
    </row>
    <row r="31" ht="14.25" spans="1:15">
      <c r="A31" s="189">
        <v>2024</v>
      </c>
      <c r="B31" s="221">
        <f>SUM(B34:B35)</f>
        <v>7089</v>
      </c>
      <c r="C31" s="221">
        <f>SUM(C34:C35)</f>
        <v>9747</v>
      </c>
      <c r="D31" s="221">
        <f t="shared" ref="D31:I31" si="20">D34+D35</f>
        <v>11055</v>
      </c>
      <c r="E31" s="221">
        <f t="shared" si="20"/>
        <v>7690</v>
      </c>
      <c r="F31" s="221">
        <f t="shared" si="20"/>
        <v>9668</v>
      </c>
      <c r="G31" s="221">
        <f t="shared" si="20"/>
        <v>19022</v>
      </c>
      <c r="H31" s="189">
        <f t="shared" si="20"/>
        <v>9181</v>
      </c>
      <c r="I31" s="221">
        <f t="shared" si="20"/>
        <v>5030</v>
      </c>
      <c r="J31" s="221">
        <v>10573</v>
      </c>
      <c r="K31" s="189">
        <v>9430</v>
      </c>
      <c r="L31" s="189">
        <v>10557</v>
      </c>
      <c r="M31" s="189">
        <f>SUM(M34:M35)</f>
        <v>7501</v>
      </c>
      <c r="N31" s="221">
        <f t="shared" ref="N31" si="21">SUM(B31:M31)</f>
        <v>116543</v>
      </c>
    </row>
    <row r="32" ht="14.25" spans="1:15">
      <c r="A32" s="189" t="s">
        <v>64</v>
      </c>
      <c r="B32" s="226">
        <f>B31/M24-1</f>
        <v>-0.375198307773665</v>
      </c>
      <c r="C32" s="226">
        <f t="shared" ref="C32:M32" si="22">C31/B31-1</f>
        <v>0.374947101142615</v>
      </c>
      <c r="D32" s="226">
        <f t="shared" si="22"/>
        <v>0.13419513696522</v>
      </c>
      <c r="E32" s="226">
        <f t="shared" si="22"/>
        <v>-0.304387155133424</v>
      </c>
      <c r="F32" s="226">
        <f t="shared" si="22"/>
        <v>0.257217165149545</v>
      </c>
      <c r="G32" s="226">
        <f t="shared" si="22"/>
        <v>0.967521721141911</v>
      </c>
      <c r="H32" s="226">
        <f t="shared" si="22"/>
        <v>-0.517348333508569</v>
      </c>
      <c r="I32" s="226">
        <f t="shared" si="22"/>
        <v>-0.452129397669099</v>
      </c>
      <c r="J32" s="226">
        <f t="shared" si="22"/>
        <v>1.10198807157058</v>
      </c>
      <c r="K32" s="226">
        <f t="shared" si="22"/>
        <v>-0.108105551877424</v>
      </c>
      <c r="L32" s="226">
        <f t="shared" si="22"/>
        <v>0.119512195121951</v>
      </c>
      <c r="M32" s="226">
        <f t="shared" si="22"/>
        <v>-0.289476176944208</v>
      </c>
    </row>
    <row r="33" ht="14.25" spans="1:17">
      <c r="A33" s="189" t="s">
        <v>69</v>
      </c>
      <c r="B33" s="207">
        <f t="shared" ref="B33:J33" si="23">B31/B24-1</f>
        <v>-0.252057396075121</v>
      </c>
      <c r="C33" s="226">
        <f t="shared" si="23"/>
        <v>0.611873656358525</v>
      </c>
      <c r="D33" s="226">
        <f t="shared" si="23"/>
        <v>-0.288243626062323</v>
      </c>
      <c r="E33" s="226">
        <f t="shared" si="23"/>
        <v>-0.234901999801015</v>
      </c>
      <c r="F33" s="226">
        <f t="shared" si="23"/>
        <v>-0.271384429874143</v>
      </c>
      <c r="G33" s="207">
        <f t="shared" si="23"/>
        <v>0.388669878814425</v>
      </c>
      <c r="H33" s="207">
        <f t="shared" si="23"/>
        <v>-0.033070036861506</v>
      </c>
      <c r="I33" s="207">
        <f t="shared" si="23"/>
        <v>-0.533957194477902</v>
      </c>
      <c r="J33" s="207">
        <f t="shared" si="23"/>
        <v>0.00360702420503078</v>
      </c>
      <c r="K33" s="207">
        <f t="shared" ref="K33:N33" si="24">K31/K24-1</f>
        <v>0.302126484396576</v>
      </c>
      <c r="L33" s="207">
        <f t="shared" si="24"/>
        <v>-0.231099781500364</v>
      </c>
      <c r="M33" s="207">
        <f t="shared" si="24"/>
        <v>-0.338885950995946</v>
      </c>
      <c r="N33" s="207">
        <f t="shared" si="24"/>
        <v>-0.111823253261797</v>
      </c>
    </row>
    <row r="34" ht="14.25" spans="1:17">
      <c r="A34" s="219" t="s">
        <v>65</v>
      </c>
      <c r="B34" s="220">
        <v>2984</v>
      </c>
      <c r="C34" s="220">
        <v>5054</v>
      </c>
      <c r="D34" s="220">
        <v>5367</v>
      </c>
      <c r="E34" s="220">
        <v>3208</v>
      </c>
      <c r="F34" s="220">
        <v>5070</v>
      </c>
      <c r="G34" s="220">
        <v>13415</v>
      </c>
      <c r="H34" s="220">
        <v>4292</v>
      </c>
      <c r="I34" s="220">
        <v>2605</v>
      </c>
      <c r="J34" s="220">
        <v>6437</v>
      </c>
      <c r="K34" s="220">
        <v>5067</v>
      </c>
      <c r="L34" s="220">
        <v>6613</v>
      </c>
      <c r="M34" s="220">
        <v>5807</v>
      </c>
      <c r="N34" s="221">
        <f t="shared" ref="N34:N35" si="25">SUM(B34:M34)</f>
        <v>65919</v>
      </c>
    </row>
    <row r="35" ht="14.25" spans="1:17">
      <c r="A35" s="219" t="s">
        <v>66</v>
      </c>
      <c r="B35" s="220">
        <v>4105</v>
      </c>
      <c r="C35" s="220">
        <v>4693</v>
      </c>
      <c r="D35" s="220">
        <v>5688</v>
      </c>
      <c r="E35" s="220">
        <v>4482</v>
      </c>
      <c r="F35" s="220">
        <v>4598</v>
      </c>
      <c r="G35" s="220">
        <v>5607</v>
      </c>
      <c r="H35" s="220">
        <v>4889</v>
      </c>
      <c r="I35" s="220">
        <v>2425</v>
      </c>
      <c r="J35" s="220">
        <v>4136</v>
      </c>
      <c r="K35" s="220">
        <v>4363</v>
      </c>
      <c r="L35" s="220">
        <v>3944</v>
      </c>
      <c r="M35" s="220">
        <v>1694</v>
      </c>
      <c r="N35" s="221">
        <f t="shared" si="25"/>
        <v>50624</v>
      </c>
    </row>
    <row r="36" ht="14.25" spans="1:17">
      <c r="A36" s="219" t="s">
        <v>67</v>
      </c>
      <c r="B36" s="223">
        <f t="shared" ref="B36:J36" si="26">B34/B31</f>
        <v>0.420933841162364</v>
      </c>
      <c r="C36" s="223">
        <f t="shared" si="26"/>
        <v>0.518518518518518</v>
      </c>
      <c r="D36" s="223">
        <f t="shared" si="26"/>
        <v>0.485481682496608</v>
      </c>
      <c r="E36" s="223">
        <f t="shared" si="26"/>
        <v>0.417165149544863</v>
      </c>
      <c r="F36" s="223">
        <f t="shared" si="26"/>
        <v>0.524410426148118</v>
      </c>
      <c r="G36" s="223">
        <f t="shared" si="26"/>
        <v>0.705236042477132</v>
      </c>
      <c r="H36" s="223">
        <f t="shared" si="26"/>
        <v>0.467487201829866</v>
      </c>
      <c r="I36" s="223">
        <f t="shared" si="26"/>
        <v>0.517892644135189</v>
      </c>
      <c r="J36" s="223">
        <f t="shared" si="26"/>
        <v>0.608814905892367</v>
      </c>
      <c r="K36" s="223">
        <f t="shared" ref="K36:M36" si="27">K34/K31</f>
        <v>0.537327677624602</v>
      </c>
      <c r="L36" s="223">
        <f t="shared" si="27"/>
        <v>0.626409017713366</v>
      </c>
      <c r="M36" s="223">
        <f t="shared" si="27"/>
        <v>0.774163444874017</v>
      </c>
      <c r="N36" s="217">
        <f t="shared" ref="N36" si="28">N34/N31</f>
        <v>0.565619556730134</v>
      </c>
    </row>
    <row r="37" ht="14.25" spans="1:17">
      <c r="A37" s="219" t="s">
        <v>68</v>
      </c>
      <c r="B37" s="223">
        <f t="shared" ref="B37:J37" si="29">B35/B31</f>
        <v>0.579066158837636</v>
      </c>
      <c r="C37" s="223">
        <f t="shared" si="29"/>
        <v>0.481481481481481</v>
      </c>
      <c r="D37" s="223">
        <f t="shared" si="29"/>
        <v>0.514518317503392</v>
      </c>
      <c r="E37" s="223">
        <f t="shared" si="29"/>
        <v>0.582834850455136</v>
      </c>
      <c r="F37" s="223">
        <f t="shared" si="29"/>
        <v>0.475589573851882</v>
      </c>
      <c r="G37" s="223">
        <f t="shared" si="29"/>
        <v>0.294763957522868</v>
      </c>
      <c r="H37" s="223">
        <f t="shared" si="29"/>
        <v>0.532512798170134</v>
      </c>
      <c r="I37" s="223">
        <f t="shared" si="29"/>
        <v>0.482107355864811</v>
      </c>
      <c r="J37" s="223">
        <f t="shared" si="29"/>
        <v>0.391185094107633</v>
      </c>
      <c r="K37" s="223">
        <f t="shared" ref="K37:M37" si="30">K35/K31</f>
        <v>0.462672322375398</v>
      </c>
      <c r="L37" s="223">
        <f t="shared" si="30"/>
        <v>0.373590982286634</v>
      </c>
      <c r="M37" s="223">
        <f t="shared" si="30"/>
        <v>0.225836555125983</v>
      </c>
      <c r="N37" s="217">
        <f t="shared" ref="N37" si="31">N35/N31</f>
        <v>0.434380443269866</v>
      </c>
    </row>
    <row r="38" ht="14.25" spans="1:17">
      <c r="A38" s="189">
        <v>2025</v>
      </c>
      <c r="B38" s="221">
        <f>B41+B42</f>
        <v>11580</v>
      </c>
      <c r="C38" s="221">
        <f t="shared" ref="C38:E38" si="32">C41+C42</f>
        <v>13053</v>
      </c>
      <c r="D38" s="221">
        <f t="shared" si="32"/>
        <v>17234</v>
      </c>
      <c r="E38" s="221">
        <f t="shared" si="32"/>
        <v>14635</v>
      </c>
      <c r="F38" s="221"/>
      <c r="G38" s="14"/>
      <c r="H38" s="189"/>
      <c r="I38" s="14"/>
      <c r="J38" s="14"/>
      <c r="K38" s="189"/>
      <c r="L38" s="189"/>
      <c r="M38" s="189"/>
      <c r="N38" s="221">
        <f>SUM(B38:M38)</f>
        <v>56502</v>
      </c>
    </row>
    <row r="39" ht="14.25" spans="1:17">
      <c r="A39" s="189" t="s">
        <v>64</v>
      </c>
      <c r="B39" s="226">
        <f>B38/M31-1</f>
        <v>0.543794160778563</v>
      </c>
      <c r="C39" s="226">
        <f>C38/B38-1</f>
        <v>0.12720207253886</v>
      </c>
      <c r="D39" s="226">
        <f>D38/C38-1</f>
        <v>0.320309507392937</v>
      </c>
      <c r="E39" s="226">
        <f>E38/D38-1</f>
        <v>-0.150806545201346</v>
      </c>
      <c r="F39" s="226"/>
      <c r="G39" s="226"/>
      <c r="H39" s="226"/>
      <c r="I39" s="226"/>
      <c r="J39" s="226"/>
      <c r="K39" s="226"/>
      <c r="L39" s="226"/>
      <c r="M39" s="226"/>
      <c r="N39" s="226"/>
    </row>
    <row r="40" ht="14.25" spans="1:17">
      <c r="A40" s="189" t="s">
        <v>69</v>
      </c>
      <c r="B40" s="207">
        <f>B38/B31-1</f>
        <v>0.633516716038934</v>
      </c>
      <c r="C40" s="207">
        <f>C38/C31-1</f>
        <v>0.339181286549708</v>
      </c>
      <c r="D40" s="207">
        <f>D38/D31-1</f>
        <v>0.558932609678878</v>
      </c>
      <c r="E40" s="207">
        <f>E38/E31-1</f>
        <v>0.903120936280884</v>
      </c>
      <c r="F40" s="207"/>
      <c r="G40" s="207"/>
      <c r="H40" s="207"/>
      <c r="I40" s="207"/>
      <c r="J40" s="207"/>
      <c r="K40" s="207"/>
      <c r="L40" s="207"/>
      <c r="M40" s="207"/>
      <c r="N40" s="207">
        <f>N38/N31-1</f>
        <v>-0.515183237088457</v>
      </c>
      <c r="O40" s="207"/>
      <c r="Q40" t="s">
        <v>104</v>
      </c>
    </row>
    <row r="41" ht="14.25" spans="1:17">
      <c r="A41" s="219" t="s">
        <v>65</v>
      </c>
      <c r="B41" s="220">
        <v>6702</v>
      </c>
      <c r="C41" s="220">
        <v>6922</v>
      </c>
      <c r="D41" s="227">
        <v>9393</v>
      </c>
      <c r="E41" s="227">
        <v>8452</v>
      </c>
      <c r="F41" s="220"/>
      <c r="G41" s="220"/>
      <c r="H41" s="220"/>
      <c r="I41" s="220"/>
      <c r="J41" s="220"/>
      <c r="K41" s="220"/>
      <c r="L41" s="220"/>
      <c r="M41" s="220"/>
      <c r="N41" s="221">
        <f>SUM(B41:M41)</f>
        <v>31469</v>
      </c>
      <c r="Q41" t="s">
        <v>105</v>
      </c>
    </row>
    <row r="42" ht="14.25" spans="1:17">
      <c r="A42" s="219" t="s">
        <v>66</v>
      </c>
      <c r="B42" s="220">
        <v>4878</v>
      </c>
      <c r="C42" s="220">
        <v>6131</v>
      </c>
      <c r="D42" s="220">
        <v>7841</v>
      </c>
      <c r="E42" s="227">
        <v>6183</v>
      </c>
      <c r="F42" s="220"/>
      <c r="G42" s="220"/>
      <c r="H42" s="220"/>
      <c r="I42" s="220"/>
      <c r="J42" s="220"/>
      <c r="K42" s="220"/>
      <c r="L42" s="220"/>
      <c r="M42" s="220"/>
      <c r="N42" s="221">
        <f>SUM(B42:M42)</f>
        <v>25033</v>
      </c>
      <c r="Q42" t="s">
        <v>106</v>
      </c>
    </row>
    <row r="43" ht="14.25" spans="1:17">
      <c r="A43" s="219" t="s">
        <v>67</v>
      </c>
      <c r="B43" s="223">
        <f>B41/B38</f>
        <v>0.578756476683938</v>
      </c>
      <c r="C43" s="223">
        <f>C41/C38</f>
        <v>0.530299547996629</v>
      </c>
      <c r="D43" s="223">
        <f>D41/D38</f>
        <v>0.545027271672276</v>
      </c>
      <c r="E43" s="223">
        <f>E41/E38</f>
        <v>0.577519644687393</v>
      </c>
      <c r="F43" s="223"/>
      <c r="G43" s="223"/>
      <c r="H43" s="223"/>
      <c r="I43" s="223"/>
      <c r="J43" s="223"/>
      <c r="K43" s="223"/>
      <c r="L43" s="223"/>
      <c r="M43" s="223"/>
      <c r="N43" s="223">
        <f t="shared" ref="N43" si="33">N41/N38</f>
        <v>0.556953736150933</v>
      </c>
    </row>
    <row r="44" ht="14.25" spans="1:17">
      <c r="A44" s="219" t="s">
        <v>68</v>
      </c>
      <c r="B44" s="223">
        <f>B42/B38</f>
        <v>0.421243523316062</v>
      </c>
      <c r="C44" s="223">
        <f>C42/C38</f>
        <v>0.469700452003371</v>
      </c>
      <c r="D44" s="223">
        <f>D42/D38</f>
        <v>0.454972728327724</v>
      </c>
      <c r="E44" s="223">
        <f>E42/E38</f>
        <v>0.422480355312607</v>
      </c>
      <c r="F44" s="223"/>
      <c r="G44" s="223"/>
      <c r="H44" s="223"/>
      <c r="I44" s="223"/>
      <c r="J44" s="223"/>
      <c r="K44" s="223"/>
      <c r="L44" s="223"/>
      <c r="M44" s="223"/>
      <c r="N44" s="223">
        <f t="shared" ref="N44" si="34">N42/N38</f>
        <v>0.443046263849067</v>
      </c>
    </row>
    <row r="45" ht="14.25" spans="1:17">
      <c r="B45" s="194"/>
      <c r="C45" s="194"/>
      <c r="D45" s="194"/>
      <c r="E45" s="194"/>
      <c r="F45" s="194"/>
    </row>
    <row r="46" ht="14.25" spans="1:17">
      <c r="A46" s="215" t="s">
        <v>107</v>
      </c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</row>
    <row r="47" ht="14.25" spans="1:17">
      <c r="A47" s="216"/>
      <c r="B47" s="166" t="s">
        <v>51</v>
      </c>
      <c r="C47" s="166" t="s">
        <v>52</v>
      </c>
      <c r="D47" s="166" t="s">
        <v>53</v>
      </c>
      <c r="E47" s="166" t="s">
        <v>54</v>
      </c>
      <c r="F47" s="166" t="s">
        <v>55</v>
      </c>
      <c r="G47" s="166" t="s">
        <v>56</v>
      </c>
      <c r="H47" s="166" t="s">
        <v>57</v>
      </c>
      <c r="I47" s="166" t="s">
        <v>58</v>
      </c>
      <c r="J47" s="166" t="s">
        <v>59</v>
      </c>
      <c r="K47" s="166" t="s">
        <v>60</v>
      </c>
      <c r="L47" s="166" t="s">
        <v>61</v>
      </c>
      <c r="M47" s="166" t="s">
        <v>62</v>
      </c>
      <c r="N47" s="189" t="s">
        <v>63</v>
      </c>
    </row>
    <row r="48" ht="14.25" spans="1:17">
      <c r="A48" s="216">
        <v>2021</v>
      </c>
      <c r="B48" s="195">
        <v>134001</v>
      </c>
      <c r="C48" s="195">
        <v>143144</v>
      </c>
      <c r="D48" s="195">
        <v>169833</v>
      </c>
      <c r="E48" s="195">
        <v>145203</v>
      </c>
      <c r="F48" s="195">
        <v>142944</v>
      </c>
      <c r="G48" s="195">
        <v>149625</v>
      </c>
      <c r="H48" s="195">
        <v>110489</v>
      </c>
      <c r="I48" s="195">
        <v>64943</v>
      </c>
      <c r="J48" s="195">
        <v>105309</v>
      </c>
      <c r="K48" s="195">
        <v>101138</v>
      </c>
      <c r="L48" s="195">
        <v>104537</v>
      </c>
      <c r="M48" s="195">
        <v>69440</v>
      </c>
      <c r="N48" s="221">
        <f t="shared" ref="N48:N51" si="35">SUM(B48:M48)</f>
        <v>1440606</v>
      </c>
    </row>
    <row r="49" ht="14.25" spans="1:14">
      <c r="A49" s="189">
        <v>2022</v>
      </c>
      <c r="B49" s="195">
        <v>129992</v>
      </c>
      <c r="C49" s="195">
        <v>112518</v>
      </c>
      <c r="D49" s="195">
        <v>121278</v>
      </c>
      <c r="E49" s="195">
        <v>98675</v>
      </c>
      <c r="F49" s="189">
        <v>122761</v>
      </c>
      <c r="G49" s="195">
        <v>128618</v>
      </c>
      <c r="H49" s="195">
        <v>111215</v>
      </c>
      <c r="I49" s="195">
        <v>72042</v>
      </c>
      <c r="J49" s="195">
        <v>112562</v>
      </c>
      <c r="K49" s="195">
        <v>117531</v>
      </c>
      <c r="L49" s="195">
        <v>121558</v>
      </c>
      <c r="M49" s="195">
        <v>106982</v>
      </c>
      <c r="N49" s="221">
        <f t="shared" si="35"/>
        <v>1355732</v>
      </c>
    </row>
    <row r="50" ht="14.25" spans="1:14">
      <c r="A50" s="189">
        <v>2023</v>
      </c>
      <c r="B50" s="195">
        <v>109008</v>
      </c>
      <c r="C50" s="195">
        <v>90131</v>
      </c>
      <c r="D50" s="189">
        <v>170165</v>
      </c>
      <c r="E50" s="189">
        <v>127125</v>
      </c>
      <c r="F50" s="189">
        <v>151434</v>
      </c>
      <c r="G50" s="189">
        <v>140690</v>
      </c>
      <c r="H50" s="189">
        <v>121103</v>
      </c>
      <c r="I50" s="189">
        <v>81029</v>
      </c>
      <c r="J50" s="189">
        <v>138622</v>
      </c>
      <c r="K50" s="189">
        <v>107714</v>
      </c>
      <c r="L50" s="189">
        <v>139278</v>
      </c>
      <c r="M50" s="189">
        <v>111136</v>
      </c>
      <c r="N50" s="221">
        <f t="shared" si="35"/>
        <v>1487435</v>
      </c>
    </row>
    <row r="51" ht="14.25" spans="1:14">
      <c r="A51" s="189">
        <v>2024</v>
      </c>
      <c r="B51" s="195">
        <v>141946</v>
      </c>
      <c r="C51" s="195">
        <v>147000</v>
      </c>
      <c r="D51" s="189">
        <v>162083</v>
      </c>
      <c r="E51" s="189">
        <v>135353</v>
      </c>
      <c r="F51" s="189">
        <v>139581</v>
      </c>
      <c r="G51" s="189"/>
      <c r="H51" s="189">
        <v>124806</v>
      </c>
      <c r="I51" s="189">
        <v>69121</v>
      </c>
      <c r="J51" s="189">
        <v>121666</v>
      </c>
      <c r="K51" s="189">
        <v>126488</v>
      </c>
      <c r="L51" s="189">
        <v>124251</v>
      </c>
      <c r="M51" s="189">
        <v>105715</v>
      </c>
      <c r="N51" s="221">
        <f t="shared" si="35"/>
        <v>1398010</v>
      </c>
    </row>
    <row r="52" ht="14.25" spans="1:14">
      <c r="A52" s="189" t="s">
        <v>69</v>
      </c>
      <c r="B52" s="226">
        <f t="shared" ref="B52:N52" si="36">B51/B50-1</f>
        <v>0.302161309261705</v>
      </c>
      <c r="C52" s="226">
        <f t="shared" si="36"/>
        <v>0.630959381344931</v>
      </c>
      <c r="D52" s="226">
        <f t="shared" si="36"/>
        <v>-0.0474950783063497</v>
      </c>
      <c r="E52" s="226">
        <f t="shared" si="36"/>
        <v>0.0647236971484759</v>
      </c>
      <c r="F52" s="226">
        <f t="shared" si="36"/>
        <v>-0.0782717223344823</v>
      </c>
      <c r="G52" s="226">
        <f t="shared" si="36"/>
        <v>-1</v>
      </c>
      <c r="H52" s="226">
        <f t="shared" si="36"/>
        <v>0.0305772771937938</v>
      </c>
      <c r="I52" s="226">
        <f t="shared" si="36"/>
        <v>-0.14695973046687</v>
      </c>
      <c r="J52" s="226">
        <f t="shared" si="36"/>
        <v>-0.122318246742941</v>
      </c>
      <c r="K52" s="226">
        <f t="shared" si="36"/>
        <v>0.174294892028891</v>
      </c>
      <c r="L52" s="226">
        <f t="shared" si="36"/>
        <v>-0.107892129410244</v>
      </c>
      <c r="M52" s="226">
        <f t="shared" si="36"/>
        <v>-0.0487780737114887</v>
      </c>
      <c r="N52" s="226">
        <f t="shared" si="36"/>
        <v>-0.0601202741632407</v>
      </c>
    </row>
    <row r="53" ht="14.25" spans="1:14">
      <c r="A53" s="189">
        <v>2025</v>
      </c>
      <c r="B53" s="194">
        <v>133727</v>
      </c>
      <c r="C53" s="194">
        <v>137983</v>
      </c>
      <c r="D53" s="231">
        <v>172223</v>
      </c>
      <c r="E53" s="231">
        <v>139084</v>
      </c>
      <c r="F53" s="189"/>
      <c r="G53" s="189"/>
      <c r="H53" s="189"/>
      <c r="I53" s="189"/>
      <c r="J53" s="189"/>
      <c r="K53" s="189"/>
      <c r="L53" s="189"/>
      <c r="M53" s="189"/>
      <c r="N53" s="221">
        <f>SUM(B53:M53)</f>
        <v>583017</v>
      </c>
    </row>
    <row r="54" ht="14.25" spans="1:14">
      <c r="A54" s="189" t="s">
        <v>69</v>
      </c>
      <c r="B54" s="226">
        <f>B53/B51-1</f>
        <v>-0.0579023008749806</v>
      </c>
      <c r="C54" s="226">
        <f>C53/C51-1</f>
        <v>-0.0613401360544218</v>
      </c>
      <c r="D54" s="226">
        <f>D53/D51-1</f>
        <v>0.0625605399702622</v>
      </c>
      <c r="E54" s="226">
        <f>E53/E51-1</f>
        <v>0.0275649597718559</v>
      </c>
      <c r="F54" s="226"/>
      <c r="G54" s="226"/>
      <c r="H54" s="226"/>
      <c r="I54" s="226"/>
      <c r="J54" s="226"/>
      <c r="K54" s="226"/>
      <c r="L54" s="226"/>
      <c r="M54" s="226"/>
      <c r="N54" s="226"/>
    </row>
    <row r="55" ht="14.25" spans="1:14">
      <c r="B55" s="194"/>
      <c r="C55" s="194"/>
      <c r="D55" s="194"/>
      <c r="E55" s="194"/>
      <c r="F55" s="194"/>
    </row>
    <row r="56" ht="14.25" spans="1:14">
      <c r="A56" s="215" t="s">
        <v>72</v>
      </c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</row>
    <row r="57" ht="14.25" spans="1:14">
      <c r="A57" s="189"/>
      <c r="B57" s="166" t="s">
        <v>51</v>
      </c>
      <c r="C57" s="166" t="s">
        <v>52</v>
      </c>
      <c r="D57" s="166" t="s">
        <v>53</v>
      </c>
      <c r="E57" s="166" t="s">
        <v>54</v>
      </c>
      <c r="F57" s="166" t="s">
        <v>55</v>
      </c>
      <c r="G57" s="166" t="s">
        <v>56</v>
      </c>
      <c r="H57" s="166" t="s">
        <v>57</v>
      </c>
      <c r="I57" s="166" t="s">
        <v>58</v>
      </c>
      <c r="J57" s="166" t="s">
        <v>59</v>
      </c>
      <c r="K57" s="166" t="s">
        <v>60</v>
      </c>
      <c r="L57" s="166" t="s">
        <v>61</v>
      </c>
      <c r="M57" s="166" t="s">
        <v>62</v>
      </c>
      <c r="N57" s="189" t="s">
        <v>63</v>
      </c>
    </row>
    <row r="58" ht="14.25" spans="1:14">
      <c r="A58" s="216">
        <v>2021</v>
      </c>
      <c r="B58" s="217">
        <f t="shared" ref="B58:N58" si="37">B11/B48</f>
        <v>0.0362236102715651</v>
      </c>
      <c r="C58" s="217">
        <f t="shared" si="37"/>
        <v>0.0461563181132286</v>
      </c>
      <c r="D58" s="217">
        <f t="shared" si="37"/>
        <v>0.0656527294459852</v>
      </c>
      <c r="E58" s="217">
        <f t="shared" si="37"/>
        <v>0.0562040729186036</v>
      </c>
      <c r="F58" s="217">
        <f t="shared" si="37"/>
        <v>0.0618284083277367</v>
      </c>
      <c r="G58" s="217">
        <f t="shared" si="37"/>
        <v>0.0714519632414369</v>
      </c>
      <c r="H58" s="217">
        <f t="shared" si="37"/>
        <v>0.0724868538949579</v>
      </c>
      <c r="I58" s="217">
        <f t="shared" si="37"/>
        <v>0.0709083350014628</v>
      </c>
      <c r="J58" s="217">
        <f t="shared" si="37"/>
        <v>0.10226096534959</v>
      </c>
      <c r="K58" s="217">
        <f t="shared" si="37"/>
        <v>0.0945243133144812</v>
      </c>
      <c r="L58" s="217">
        <f t="shared" si="37"/>
        <v>0.129064350421382</v>
      </c>
      <c r="M58" s="217">
        <f t="shared" si="37"/>
        <v>0.102289746543779</v>
      </c>
      <c r="N58" s="217">
        <f t="shared" si="37"/>
        <v>0.0671495190218561</v>
      </c>
    </row>
    <row r="59" ht="14.25" spans="1:14">
      <c r="A59" s="189">
        <v>2022</v>
      </c>
      <c r="B59" s="217">
        <f t="shared" ref="B59:N59" si="38">B17/B49</f>
        <v>0.070150470798203</v>
      </c>
      <c r="C59" s="217">
        <f t="shared" si="38"/>
        <v>0.076858813700919</v>
      </c>
      <c r="D59" s="217">
        <f t="shared" si="38"/>
        <v>0.0873530236316562</v>
      </c>
      <c r="E59" s="217">
        <f t="shared" si="38"/>
        <v>0.0871750696731695</v>
      </c>
      <c r="F59" s="217">
        <f t="shared" si="38"/>
        <v>0.0974658075447414</v>
      </c>
      <c r="G59" s="217">
        <f t="shared" si="38"/>
        <v>0.103119314559393</v>
      </c>
      <c r="H59" s="217">
        <f t="shared" si="38"/>
        <v>0.0786764375309086</v>
      </c>
      <c r="I59" s="217">
        <f t="shared" si="38"/>
        <v>0.0697509785958191</v>
      </c>
      <c r="J59" s="217">
        <f t="shared" si="38"/>
        <v>0.0847532915193405</v>
      </c>
      <c r="K59" s="217">
        <f t="shared" si="38"/>
        <v>0.0834758489249645</v>
      </c>
      <c r="L59" s="217">
        <f t="shared" si="38"/>
        <v>0.0975665937248063</v>
      </c>
      <c r="M59" s="217">
        <f t="shared" si="38"/>
        <v>0.0941373315137126</v>
      </c>
      <c r="N59" s="217">
        <f t="shared" si="38"/>
        <v>0.0864831692399383</v>
      </c>
    </row>
    <row r="60" ht="14.25" spans="1:14">
      <c r="A60" s="189">
        <v>2023</v>
      </c>
      <c r="B60" s="209">
        <f t="shared" ref="B60:N60" si="39">B24/B50</f>
        <v>0.086947746954352</v>
      </c>
      <c r="C60" s="209">
        <f t="shared" si="39"/>
        <v>0.0670912338706993</v>
      </c>
      <c r="D60" s="209">
        <f t="shared" si="39"/>
        <v>0.0912761143595922</v>
      </c>
      <c r="E60" s="209">
        <f t="shared" si="39"/>
        <v>0.0790639134709931</v>
      </c>
      <c r="F60" s="209">
        <f t="shared" si="39"/>
        <v>0.0876223305202266</v>
      </c>
      <c r="G60" s="209">
        <f t="shared" si="39"/>
        <v>0.0973629966593219</v>
      </c>
      <c r="H60" s="209">
        <f t="shared" si="39"/>
        <v>0.0784043335012345</v>
      </c>
      <c r="I60" s="209">
        <f t="shared" si="39"/>
        <v>0.133199224968838</v>
      </c>
      <c r="J60" s="209">
        <f t="shared" si="39"/>
        <v>0.0759980378294932</v>
      </c>
      <c r="K60" s="209">
        <f t="shared" si="39"/>
        <v>0.0672336000891249</v>
      </c>
      <c r="L60" s="209">
        <f t="shared" si="39"/>
        <v>0.0985798187797068</v>
      </c>
      <c r="M60" s="209">
        <f t="shared" si="39"/>
        <v>0.102091131586525</v>
      </c>
      <c r="N60" s="210">
        <f t="shared" si="39"/>
        <v>0.0882162918043478</v>
      </c>
    </row>
    <row r="61" ht="14.25" spans="1:14">
      <c r="A61" s="189">
        <v>2024</v>
      </c>
      <c r="B61" s="209">
        <f t="shared" ref="B61:N61" si="40">B31/B51</f>
        <v>0.049941527059586</v>
      </c>
      <c r="C61" s="209">
        <f t="shared" si="40"/>
        <v>0.0663061224489796</v>
      </c>
      <c r="D61" s="209">
        <f t="shared" si="40"/>
        <v>0.0682057957959811</v>
      </c>
      <c r="E61" s="209">
        <f t="shared" si="40"/>
        <v>0.0568144038181644</v>
      </c>
      <c r="F61" s="209">
        <f t="shared" si="40"/>
        <v>0.0692644414354389</v>
      </c>
      <c r="G61" s="209" t="e">
        <f t="shared" si="40"/>
        <v>#DIV/0!</v>
      </c>
      <c r="H61" s="209">
        <f t="shared" si="40"/>
        <v>0.0735621684854895</v>
      </c>
      <c r="I61" s="209">
        <f t="shared" si="40"/>
        <v>0.0727709379204583</v>
      </c>
      <c r="J61" s="209">
        <f t="shared" si="40"/>
        <v>0.0869018460375125</v>
      </c>
      <c r="K61" s="209">
        <f t="shared" si="40"/>
        <v>0.0745525267219025</v>
      </c>
      <c r="L61" s="209">
        <f t="shared" si="40"/>
        <v>0.0849651109447811</v>
      </c>
      <c r="M61" s="209">
        <f t="shared" si="40"/>
        <v>0.0709549259802299</v>
      </c>
      <c r="N61" s="209">
        <f t="shared" si="40"/>
        <v>0.0833634952539681</v>
      </c>
    </row>
    <row r="62" ht="14.25" spans="1:14">
      <c r="A62" s="216">
        <v>2025</v>
      </c>
      <c r="B62" s="210">
        <f>B38/B53</f>
        <v>0.0865943302399665</v>
      </c>
      <c r="C62" s="210">
        <f>C38/C53</f>
        <v>0.0945986099736924</v>
      </c>
      <c r="D62" s="210">
        <f>D38/D53</f>
        <v>0.100067935177067</v>
      </c>
      <c r="E62" s="210"/>
      <c r="F62" s="210"/>
      <c r="G62" s="210"/>
      <c r="H62" s="210"/>
      <c r="I62" s="210"/>
      <c r="J62" s="210"/>
      <c r="K62" s="210"/>
      <c r="L62" s="210"/>
      <c r="M62" s="210"/>
      <c r="N62" s="210">
        <f t="shared" ref="N62" si="41">N22/N50</f>
        <v>2.97926397958045e-7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topLeftCell="A7" workbookViewId="0">
      <selection activeCell="S31" sqref="S31:S33"/>
    </sheetView>
  </sheetViews>
  <sheetFormatPr defaultColWidth="9.375" defaultRowHeight="13.5"/>
  <cols>
    <col min="1" max="1" width="24.25" customWidth="1"/>
    <col min="2" max="3" width="9.625" customWidth="1"/>
    <col min="4" max="4" width="12.875"/>
    <col min="8" max="9" width="14"/>
  </cols>
  <sheetData>
    <row r="1" ht="14.25" spans="1:16">
      <c r="A1" s="205" t="s">
        <v>108</v>
      </c>
      <c r="B1" s="195" t="s">
        <v>33</v>
      </c>
      <c r="C1" s="195" t="s">
        <v>34</v>
      </c>
      <c r="D1" s="195" t="s">
        <v>35</v>
      </c>
      <c r="E1" s="195" t="s">
        <v>36</v>
      </c>
      <c r="F1" s="195" t="s">
        <v>37</v>
      </c>
      <c r="G1" s="195" t="s">
        <v>38</v>
      </c>
      <c r="H1" s="195" t="s">
        <v>39</v>
      </c>
      <c r="I1" s="194" t="s">
        <v>40</v>
      </c>
      <c r="J1" s="195" t="s">
        <v>41</v>
      </c>
      <c r="K1" s="194" t="s">
        <v>42</v>
      </c>
      <c r="L1" s="194" t="s">
        <v>43</v>
      </c>
      <c r="M1" s="194" t="s">
        <v>44</v>
      </c>
      <c r="N1" s="194" t="s">
        <v>75</v>
      </c>
      <c r="O1" s="194" t="s">
        <v>45</v>
      </c>
      <c r="P1" s="194">
        <v>2024</v>
      </c>
    </row>
    <row r="2" ht="14.25" spans="1:16">
      <c r="A2" s="205" t="s">
        <v>109</v>
      </c>
      <c r="B2" s="206"/>
      <c r="C2" s="206"/>
      <c r="D2" s="206"/>
      <c r="E2" s="206"/>
      <c r="F2" s="206"/>
      <c r="G2" s="206"/>
      <c r="H2" s="206">
        <v>3.1691</v>
      </c>
      <c r="I2" s="194">
        <v>1.7323</v>
      </c>
      <c r="J2" s="206">
        <v>4.2758</v>
      </c>
      <c r="K2" s="206">
        <v>3.9456</v>
      </c>
      <c r="L2" s="206">
        <v>8.1023</v>
      </c>
      <c r="M2" s="206">
        <v>6.1105</v>
      </c>
      <c r="N2" s="206">
        <f>N24/10000</f>
        <v>11.9334</v>
      </c>
      <c r="O2" s="206">
        <f>SUM(B31:G31)/10000</f>
        <v>5.8003</v>
      </c>
      <c r="P2" s="206">
        <f>N31/10000</f>
        <v>11.9359</v>
      </c>
    </row>
    <row r="3" ht="14.25" spans="1:16">
      <c r="A3" s="205" t="s">
        <v>29</v>
      </c>
      <c r="B3" s="207"/>
      <c r="C3" s="208"/>
      <c r="D3" s="208"/>
      <c r="E3" s="208"/>
      <c r="F3" s="208"/>
      <c r="G3" s="208"/>
      <c r="H3" s="208"/>
      <c r="I3" s="21"/>
      <c r="J3" s="208">
        <f t="shared" ref="J3:P3" si="0">(J2-H2)/H2</f>
        <v>0.349215865703197</v>
      </c>
      <c r="K3" s="209">
        <f t="shared" si="0"/>
        <v>1.27766553137447</v>
      </c>
      <c r="L3" s="210">
        <f t="shared" si="0"/>
        <v>0.894920248842322</v>
      </c>
      <c r="M3" s="210">
        <f t="shared" si="0"/>
        <v>0.548687145174371</v>
      </c>
      <c r="N3" s="210">
        <f t="shared" si="0"/>
        <v>0.472841045135332</v>
      </c>
      <c r="O3" s="210">
        <f t="shared" si="0"/>
        <v>-0.0507650765076508</v>
      </c>
      <c r="P3" s="210">
        <f t="shared" si="0"/>
        <v>0.000209496036334951</v>
      </c>
    </row>
    <row r="4" ht="14.25" spans="1:16">
      <c r="A4" s="211" t="s">
        <v>110</v>
      </c>
      <c r="B4" s="212"/>
      <c r="C4" s="10"/>
      <c r="D4" s="10"/>
      <c r="E4" s="10"/>
      <c r="F4" s="10"/>
      <c r="G4" s="10"/>
      <c r="H4" s="10">
        <v>85.1218</v>
      </c>
      <c r="I4" s="194">
        <v>45.6847</v>
      </c>
      <c r="J4" s="10">
        <v>85.9496</v>
      </c>
      <c r="K4" s="213">
        <v>40.774</v>
      </c>
      <c r="L4" s="10">
        <v>81.3376</v>
      </c>
      <c r="M4" s="10">
        <v>50.5531</v>
      </c>
      <c r="N4" s="10">
        <f>N51/10000</f>
        <v>94.9474</v>
      </c>
      <c r="O4" s="10">
        <f>SUM(B51:G51)/10000</f>
        <v>50.5531</v>
      </c>
      <c r="P4" s="10">
        <f>N52/10000</f>
        <v>101.6841</v>
      </c>
    </row>
    <row r="5" ht="14.25" spans="1:16">
      <c r="A5" s="205" t="s">
        <v>111</v>
      </c>
      <c r="B5" s="214"/>
      <c r="C5" s="208"/>
      <c r="D5" s="208"/>
      <c r="E5" s="208"/>
      <c r="F5" s="208"/>
      <c r="G5" s="208"/>
      <c r="H5" s="208">
        <f t="shared" ref="H5:P5" si="1">H2/H4</f>
        <v>0.0372301807527566</v>
      </c>
      <c r="I5" s="208">
        <f t="shared" si="1"/>
        <v>0.037918602945844</v>
      </c>
      <c r="J5" s="208">
        <f t="shared" si="1"/>
        <v>0.0497477591518751</v>
      </c>
      <c r="K5" s="208">
        <f t="shared" si="1"/>
        <v>0.0967675479472213</v>
      </c>
      <c r="L5" s="208">
        <f t="shared" si="1"/>
        <v>0.0996132170115666</v>
      </c>
      <c r="M5" s="208">
        <f t="shared" si="1"/>
        <v>0.120872903936653</v>
      </c>
      <c r="N5" s="208">
        <f t="shared" si="1"/>
        <v>0.125684326269071</v>
      </c>
      <c r="O5" s="208">
        <f t="shared" si="1"/>
        <v>0.114736781720607</v>
      </c>
      <c r="P5" s="208">
        <f t="shared" si="1"/>
        <v>0.117382166926786</v>
      </c>
    </row>
    <row r="6" ht="14.25" spans="1:16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N6" s="21"/>
      <c r="O6" s="194"/>
      <c r="P6" s="194"/>
    </row>
    <row r="7" spans="1:16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ht="14.25" spans="1:16">
      <c r="A8" s="151" t="s">
        <v>49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</row>
    <row r="9" ht="14.25" spans="1:16">
      <c r="A9" s="215" t="s">
        <v>112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89"/>
    </row>
    <row r="10" ht="14.25" spans="1:16">
      <c r="A10" s="216"/>
      <c r="B10" s="166" t="s">
        <v>51</v>
      </c>
      <c r="C10" s="166" t="s">
        <v>52</v>
      </c>
      <c r="D10" s="166" t="s">
        <v>53</v>
      </c>
      <c r="E10" s="166" t="s">
        <v>54</v>
      </c>
      <c r="F10" s="166" t="s">
        <v>55</v>
      </c>
      <c r="G10" s="166" t="s">
        <v>56</v>
      </c>
      <c r="H10" s="166" t="s">
        <v>57</v>
      </c>
      <c r="I10" s="166" t="s">
        <v>58</v>
      </c>
      <c r="J10" s="166" t="s">
        <v>59</v>
      </c>
      <c r="K10" s="166" t="s">
        <v>60</v>
      </c>
      <c r="L10" s="166" t="s">
        <v>61</v>
      </c>
      <c r="M10" s="166" t="s">
        <v>62</v>
      </c>
      <c r="N10" s="189" t="s">
        <v>63</v>
      </c>
    </row>
    <row r="11" ht="14.25" spans="1:16">
      <c r="A11" s="189">
        <v>2021</v>
      </c>
      <c r="B11" s="195">
        <f t="shared" ref="B11:M11" si="2">B13+B14</f>
        <v>1238</v>
      </c>
      <c r="C11" s="195">
        <f t="shared" si="2"/>
        <v>2048</v>
      </c>
      <c r="D11" s="195">
        <f t="shared" si="2"/>
        <v>3678</v>
      </c>
      <c r="E11" s="195">
        <f t="shared" si="2"/>
        <v>2622</v>
      </c>
      <c r="F11" s="195">
        <f t="shared" si="2"/>
        <v>3470</v>
      </c>
      <c r="G11" s="195">
        <f t="shared" si="2"/>
        <v>4262</v>
      </c>
      <c r="H11" s="195">
        <f t="shared" si="2"/>
        <v>3007</v>
      </c>
      <c r="I11" s="195">
        <f t="shared" si="2"/>
        <v>2087</v>
      </c>
      <c r="J11" s="195">
        <f t="shared" si="2"/>
        <v>4080</v>
      </c>
      <c r="K11" s="195">
        <f t="shared" si="2"/>
        <v>3859</v>
      </c>
      <c r="L11" s="195">
        <f t="shared" si="2"/>
        <v>4076</v>
      </c>
      <c r="M11" s="195">
        <f t="shared" si="2"/>
        <v>8322</v>
      </c>
      <c r="N11" s="195">
        <f>SUM(B11:L11)</f>
        <v>34427</v>
      </c>
    </row>
    <row r="12" ht="14.25" spans="1:16">
      <c r="A12" s="189" t="s">
        <v>64</v>
      </c>
      <c r="B12" s="189"/>
      <c r="C12" s="217">
        <f t="shared" ref="C12:M12" si="3">C11/B11-1</f>
        <v>0.654281098546042</v>
      </c>
      <c r="D12" s="217">
        <f t="shared" si="3"/>
        <v>0.7958984375</v>
      </c>
      <c r="E12" s="217">
        <f t="shared" si="3"/>
        <v>-0.287112561174551</v>
      </c>
      <c r="F12" s="217">
        <f t="shared" si="3"/>
        <v>0.323417238749047</v>
      </c>
      <c r="G12" s="217">
        <f t="shared" si="3"/>
        <v>0.228242074927954</v>
      </c>
      <c r="H12" s="217">
        <f t="shared" si="3"/>
        <v>-0.294462693571093</v>
      </c>
      <c r="I12" s="217">
        <f t="shared" si="3"/>
        <v>-0.305952776854007</v>
      </c>
      <c r="J12" s="217">
        <f t="shared" si="3"/>
        <v>0.95495927168184</v>
      </c>
      <c r="K12" s="217">
        <f t="shared" si="3"/>
        <v>-0.0541666666666667</v>
      </c>
      <c r="L12" s="217">
        <f t="shared" si="3"/>
        <v>0.0562321845037574</v>
      </c>
      <c r="M12" s="217">
        <f t="shared" si="3"/>
        <v>1.04170755642787</v>
      </c>
      <c r="N12" s="218"/>
    </row>
    <row r="13" ht="14.25" spans="1:16">
      <c r="A13" s="219" t="s">
        <v>65</v>
      </c>
      <c r="B13" s="220">
        <v>520</v>
      </c>
      <c r="C13" s="220">
        <v>940</v>
      </c>
      <c r="D13" s="220">
        <v>2101</v>
      </c>
      <c r="E13" s="220">
        <v>1164</v>
      </c>
      <c r="F13" s="220">
        <v>1699</v>
      </c>
      <c r="G13" s="220">
        <v>2457</v>
      </c>
      <c r="H13" s="220">
        <v>1351</v>
      </c>
      <c r="I13" s="220">
        <v>1155</v>
      </c>
      <c r="J13" s="220">
        <v>2537</v>
      </c>
      <c r="K13" s="220">
        <v>2065</v>
      </c>
      <c r="L13" s="220">
        <v>2319</v>
      </c>
      <c r="M13" s="220">
        <v>3503</v>
      </c>
      <c r="N13" s="221">
        <f>SUM(B13:M13)</f>
        <v>21811</v>
      </c>
    </row>
    <row r="14" ht="14.25" spans="1:16">
      <c r="A14" s="219" t="s">
        <v>66</v>
      </c>
      <c r="B14" s="220">
        <v>718</v>
      </c>
      <c r="C14" s="220">
        <v>1108</v>
      </c>
      <c r="D14" s="220">
        <v>1577</v>
      </c>
      <c r="E14" s="220">
        <v>1458</v>
      </c>
      <c r="F14" s="220">
        <v>1771</v>
      </c>
      <c r="G14" s="220">
        <v>1805</v>
      </c>
      <c r="H14" s="220">
        <v>1656</v>
      </c>
      <c r="I14" s="220">
        <v>932</v>
      </c>
      <c r="J14" s="220">
        <v>1543</v>
      </c>
      <c r="K14" s="220">
        <v>1794</v>
      </c>
      <c r="L14" s="220">
        <v>1757</v>
      </c>
      <c r="M14" s="220">
        <v>4819</v>
      </c>
      <c r="N14" s="221">
        <f>SUM(B14:M14)</f>
        <v>20938</v>
      </c>
    </row>
    <row r="15" ht="14.25" spans="1:16">
      <c r="A15" s="219" t="s">
        <v>67</v>
      </c>
      <c r="B15" s="222">
        <f t="shared" ref="B15:N15" si="4">B13/B11</f>
        <v>0.420032310177706</v>
      </c>
      <c r="C15" s="222">
        <f t="shared" si="4"/>
        <v>0.458984375</v>
      </c>
      <c r="D15" s="222">
        <f t="shared" si="4"/>
        <v>0.571234366503535</v>
      </c>
      <c r="E15" s="222">
        <f t="shared" si="4"/>
        <v>0.443935926773455</v>
      </c>
      <c r="F15" s="222">
        <f t="shared" si="4"/>
        <v>0.489625360230548</v>
      </c>
      <c r="G15" s="222">
        <f t="shared" si="4"/>
        <v>0.576489910839981</v>
      </c>
      <c r="H15" s="222">
        <f t="shared" si="4"/>
        <v>0.449285001662787</v>
      </c>
      <c r="I15" s="222">
        <f t="shared" si="4"/>
        <v>0.553425970292286</v>
      </c>
      <c r="J15" s="222">
        <f t="shared" si="4"/>
        <v>0.621813725490196</v>
      </c>
      <c r="K15" s="222">
        <f t="shared" si="4"/>
        <v>0.535112723503498</v>
      </c>
      <c r="L15" s="222">
        <f t="shared" si="4"/>
        <v>0.568940137389598</v>
      </c>
      <c r="M15" s="222">
        <f t="shared" si="4"/>
        <v>0.420932468156693</v>
      </c>
      <c r="N15" s="207">
        <f t="shared" si="4"/>
        <v>0.633543439742063</v>
      </c>
    </row>
    <row r="16" ht="14.25" spans="1:16">
      <c r="A16" s="219" t="s">
        <v>68</v>
      </c>
      <c r="B16" s="222">
        <f t="shared" ref="B16:N16" si="5">B14/B11</f>
        <v>0.579967689822294</v>
      </c>
      <c r="C16" s="222">
        <f t="shared" si="5"/>
        <v>0.541015625</v>
      </c>
      <c r="D16" s="222">
        <f t="shared" si="5"/>
        <v>0.428765633496465</v>
      </c>
      <c r="E16" s="222">
        <f t="shared" si="5"/>
        <v>0.556064073226545</v>
      </c>
      <c r="F16" s="222">
        <f t="shared" si="5"/>
        <v>0.510374639769452</v>
      </c>
      <c r="G16" s="222">
        <f t="shared" si="5"/>
        <v>0.423510089160019</v>
      </c>
      <c r="H16" s="222">
        <f t="shared" si="5"/>
        <v>0.550714998337213</v>
      </c>
      <c r="I16" s="222">
        <f t="shared" si="5"/>
        <v>0.446574029707714</v>
      </c>
      <c r="J16" s="222">
        <f t="shared" si="5"/>
        <v>0.378186274509804</v>
      </c>
      <c r="K16" s="222">
        <f t="shared" si="5"/>
        <v>0.464887276496502</v>
      </c>
      <c r="L16" s="222">
        <f t="shared" si="5"/>
        <v>0.431059862610402</v>
      </c>
      <c r="M16" s="222">
        <f t="shared" si="5"/>
        <v>0.579067531843307</v>
      </c>
      <c r="N16" s="207">
        <f t="shared" si="5"/>
        <v>0.608185435849769</v>
      </c>
    </row>
    <row r="17" ht="14.25" spans="1:19">
      <c r="A17" s="189">
        <v>2022</v>
      </c>
      <c r="B17" s="195">
        <f t="shared" ref="B17:N17" si="6">B20+B21</f>
        <v>5406</v>
      </c>
      <c r="C17" s="195">
        <f t="shared" si="6"/>
        <v>6837</v>
      </c>
      <c r="D17" s="195">
        <f t="shared" si="6"/>
        <v>5576</v>
      </c>
      <c r="E17" s="195">
        <f t="shared" si="6"/>
        <v>6534</v>
      </c>
      <c r="F17" s="195">
        <f t="shared" si="6"/>
        <v>7254</v>
      </c>
      <c r="G17" s="195">
        <f t="shared" si="6"/>
        <v>7849</v>
      </c>
      <c r="H17" s="195">
        <f t="shared" si="6"/>
        <v>6001</v>
      </c>
      <c r="I17" s="195">
        <f t="shared" si="6"/>
        <v>4579</v>
      </c>
      <c r="J17" s="195">
        <f t="shared" si="6"/>
        <v>7461</v>
      </c>
      <c r="K17" s="195">
        <f t="shared" si="6"/>
        <v>6665</v>
      </c>
      <c r="L17" s="195">
        <f t="shared" si="6"/>
        <v>8144</v>
      </c>
      <c r="M17" s="195">
        <f t="shared" si="6"/>
        <v>8717</v>
      </c>
      <c r="N17" s="195">
        <f t="shared" si="6"/>
        <v>81023</v>
      </c>
      <c r="O17" s="151">
        <f>SUM(B17:K17)</f>
        <v>64162</v>
      </c>
    </row>
    <row r="18" ht="14.25" spans="1:19">
      <c r="A18" s="189" t="s">
        <v>64</v>
      </c>
      <c r="B18" s="217"/>
      <c r="C18" s="217">
        <f t="shared" ref="C18:M18" si="7">C17/B17-1</f>
        <v>0.264705882352941</v>
      </c>
      <c r="D18" s="217">
        <f t="shared" si="7"/>
        <v>-0.184437618838672</v>
      </c>
      <c r="E18" s="217">
        <f t="shared" si="7"/>
        <v>0.17180774748924</v>
      </c>
      <c r="F18" s="217">
        <f t="shared" si="7"/>
        <v>0.110192837465565</v>
      </c>
      <c r="G18" s="217">
        <f t="shared" si="7"/>
        <v>0.0820237110559692</v>
      </c>
      <c r="H18" s="217">
        <f t="shared" si="7"/>
        <v>-0.23544400560581</v>
      </c>
      <c r="I18" s="217">
        <f t="shared" si="7"/>
        <v>-0.236960506582236</v>
      </c>
      <c r="J18" s="217">
        <f t="shared" si="7"/>
        <v>0.629395064424547</v>
      </c>
      <c r="K18" s="217">
        <f t="shared" si="7"/>
        <v>-0.106688111513202</v>
      </c>
      <c r="L18" s="217">
        <f t="shared" si="7"/>
        <v>0.221905476369092</v>
      </c>
      <c r="M18" s="217">
        <f t="shared" si="7"/>
        <v>0.0703585461689586</v>
      </c>
      <c r="N18" s="189"/>
    </row>
    <row r="19" ht="14.25" spans="1:19">
      <c r="A19" s="189" t="s">
        <v>69</v>
      </c>
      <c r="B19" s="217">
        <f t="shared" ref="B19:N19" si="8">(B17-B11)/B11</f>
        <v>3.36672051696284</v>
      </c>
      <c r="C19" s="217">
        <f t="shared" si="8"/>
        <v>2.33837890625</v>
      </c>
      <c r="D19" s="217">
        <f t="shared" si="8"/>
        <v>0.516041326808048</v>
      </c>
      <c r="E19" s="217">
        <f t="shared" si="8"/>
        <v>1.49199084668192</v>
      </c>
      <c r="F19" s="217">
        <f t="shared" si="8"/>
        <v>1.09048991354467</v>
      </c>
      <c r="G19" s="217">
        <f t="shared" si="8"/>
        <v>0.841623650868137</v>
      </c>
      <c r="H19" s="217">
        <f t="shared" si="8"/>
        <v>0.995676754240106</v>
      </c>
      <c r="I19" s="217">
        <f t="shared" si="8"/>
        <v>1.19405845711548</v>
      </c>
      <c r="J19" s="217">
        <f t="shared" si="8"/>
        <v>0.828676470588235</v>
      </c>
      <c r="K19" s="217">
        <f t="shared" si="8"/>
        <v>0.727131381186836</v>
      </c>
      <c r="L19" s="217">
        <f t="shared" si="8"/>
        <v>0.998037291462218</v>
      </c>
      <c r="M19" s="217">
        <f t="shared" si="8"/>
        <v>0.047464551790435</v>
      </c>
      <c r="N19" s="217">
        <f t="shared" si="8"/>
        <v>1.35347256513783</v>
      </c>
    </row>
    <row r="20" ht="14.25" spans="1:19">
      <c r="A20" s="219" t="s">
        <v>65</v>
      </c>
      <c r="B20" s="220">
        <v>2188</v>
      </c>
      <c r="C20" s="220">
        <v>2858</v>
      </c>
      <c r="D20" s="220">
        <v>2025</v>
      </c>
      <c r="E20" s="220">
        <v>2143</v>
      </c>
      <c r="F20" s="219">
        <v>2421</v>
      </c>
      <c r="G20" s="220">
        <v>3554</v>
      </c>
      <c r="H20" s="220">
        <v>2533</v>
      </c>
      <c r="I20" s="220">
        <v>1798</v>
      </c>
      <c r="J20" s="220">
        <v>3287</v>
      </c>
      <c r="K20" s="220">
        <v>2694</v>
      </c>
      <c r="L20" s="220">
        <v>3324</v>
      </c>
      <c r="M20" s="220">
        <v>4076</v>
      </c>
      <c r="N20" s="221">
        <f>SUM(B20:M20)</f>
        <v>32901</v>
      </c>
    </row>
    <row r="21" ht="14.25" spans="1:19">
      <c r="A21" s="219" t="s">
        <v>66</v>
      </c>
      <c r="B21" s="220">
        <v>3218</v>
      </c>
      <c r="C21" s="220">
        <v>3979</v>
      </c>
      <c r="D21" s="220">
        <v>3551</v>
      </c>
      <c r="E21" s="220">
        <f>183+4208</f>
        <v>4391</v>
      </c>
      <c r="F21" s="219">
        <v>4833</v>
      </c>
      <c r="G21" s="220">
        <v>4295</v>
      </c>
      <c r="H21" s="220">
        <v>3468</v>
      </c>
      <c r="I21" s="220">
        <v>2781</v>
      </c>
      <c r="J21" s="220">
        <v>4174</v>
      </c>
      <c r="K21" s="220">
        <v>3971</v>
      </c>
      <c r="L21" s="220">
        <v>4820</v>
      </c>
      <c r="M21" s="220">
        <v>4641</v>
      </c>
      <c r="N21" s="221">
        <f>SUM(B21:M21)</f>
        <v>48122</v>
      </c>
    </row>
    <row r="22" ht="14.25" spans="1:19">
      <c r="A22" s="219" t="s">
        <v>67</v>
      </c>
      <c r="B22" s="223">
        <f t="shared" ref="B22:N22" si="9">B20/B17</f>
        <v>0.404735479097299</v>
      </c>
      <c r="C22" s="223">
        <f t="shared" si="9"/>
        <v>0.418019599239432</v>
      </c>
      <c r="D22" s="223">
        <f t="shared" si="9"/>
        <v>0.363163558106169</v>
      </c>
      <c r="E22" s="223">
        <f t="shared" si="9"/>
        <v>0.327976737067646</v>
      </c>
      <c r="F22" s="223">
        <f t="shared" si="9"/>
        <v>0.333746898263027</v>
      </c>
      <c r="G22" s="223">
        <f t="shared" si="9"/>
        <v>0.452796534590394</v>
      </c>
      <c r="H22" s="223">
        <f t="shared" si="9"/>
        <v>0.422096317280453</v>
      </c>
      <c r="I22" s="223">
        <f t="shared" si="9"/>
        <v>0.392662153308583</v>
      </c>
      <c r="J22" s="223">
        <f t="shared" si="9"/>
        <v>0.440557566009918</v>
      </c>
      <c r="K22" s="223">
        <f t="shared" si="9"/>
        <v>0.404201050262566</v>
      </c>
      <c r="L22" s="223">
        <f t="shared" si="9"/>
        <v>0.408153241650295</v>
      </c>
      <c r="M22" s="223">
        <f t="shared" si="9"/>
        <v>0.467592061489044</v>
      </c>
      <c r="N22" s="217">
        <f t="shared" si="9"/>
        <v>0.406069881391704</v>
      </c>
    </row>
    <row r="23" ht="14.25" spans="1:19">
      <c r="A23" s="219" t="s">
        <v>68</v>
      </c>
      <c r="B23" s="224">
        <f t="shared" ref="B23:N23" si="10">B21/B17</f>
        <v>0.595264520902701</v>
      </c>
      <c r="C23" s="224">
        <f t="shared" si="10"/>
        <v>0.581980400760567</v>
      </c>
      <c r="D23" s="224">
        <f t="shared" si="10"/>
        <v>0.636836441893831</v>
      </c>
      <c r="E23" s="224">
        <f t="shared" si="10"/>
        <v>0.672023262932354</v>
      </c>
      <c r="F23" s="224">
        <f t="shared" si="10"/>
        <v>0.666253101736973</v>
      </c>
      <c r="G23" s="224">
        <f t="shared" si="10"/>
        <v>0.547203465409606</v>
      </c>
      <c r="H23" s="224">
        <f t="shared" si="10"/>
        <v>0.577903682719547</v>
      </c>
      <c r="I23" s="224">
        <f t="shared" si="10"/>
        <v>0.607337846691417</v>
      </c>
      <c r="J23" s="224">
        <f t="shared" si="10"/>
        <v>0.559442433990082</v>
      </c>
      <c r="K23" s="224">
        <f t="shared" si="10"/>
        <v>0.595798949737434</v>
      </c>
      <c r="L23" s="224">
        <f t="shared" si="10"/>
        <v>0.591846758349705</v>
      </c>
      <c r="M23" s="224">
        <f t="shared" si="10"/>
        <v>0.532407938510956</v>
      </c>
      <c r="N23" s="217">
        <f t="shared" si="10"/>
        <v>0.593930118608296</v>
      </c>
    </row>
    <row r="24" ht="14.25" spans="1:19">
      <c r="A24" s="189">
        <v>2023</v>
      </c>
      <c r="B24" s="195">
        <f t="shared" ref="B24:G24" si="11">SUM(B27,B28)</f>
        <v>8008</v>
      </c>
      <c r="C24" s="195">
        <f t="shared" si="11"/>
        <v>8990</v>
      </c>
      <c r="D24" s="195">
        <f t="shared" si="11"/>
        <v>11581</v>
      </c>
      <c r="E24" s="195">
        <f t="shared" si="11"/>
        <v>8425</v>
      </c>
      <c r="F24" s="195">
        <f t="shared" si="11"/>
        <v>11048</v>
      </c>
      <c r="G24" s="195">
        <f t="shared" si="11"/>
        <v>13053</v>
      </c>
      <c r="H24" s="195">
        <f>H27+H28</f>
        <v>8584</v>
      </c>
      <c r="I24" s="195">
        <f t="shared" ref="I24:J24" si="12">SUM(I27,I28)</f>
        <v>6945</v>
      </c>
      <c r="J24" s="195">
        <f t="shared" si="12"/>
        <v>8651</v>
      </c>
      <c r="K24" s="195">
        <f>K27+K28</f>
        <v>10045</v>
      </c>
      <c r="L24" s="195">
        <v>11562</v>
      </c>
      <c r="M24" s="195">
        <v>12442</v>
      </c>
      <c r="N24" s="221">
        <f t="shared" ref="N24:N28" si="13">SUM(B24:M24)</f>
        <v>119334</v>
      </c>
    </row>
    <row r="25" ht="14.25" spans="1:19">
      <c r="A25" s="189" t="s">
        <v>64</v>
      </c>
      <c r="B25" s="217"/>
      <c r="C25" s="217">
        <f t="shared" ref="C25:M25" si="14">C24/B24-1</f>
        <v>0.122627372627373</v>
      </c>
      <c r="D25" s="217">
        <f t="shared" si="14"/>
        <v>0.288209121245829</v>
      </c>
      <c r="E25" s="217">
        <f t="shared" si="14"/>
        <v>-0.272515326828426</v>
      </c>
      <c r="F25" s="217">
        <f t="shared" si="14"/>
        <v>0.3113353115727</v>
      </c>
      <c r="G25" s="217">
        <f t="shared" si="14"/>
        <v>0.181480811006517</v>
      </c>
      <c r="H25" s="217">
        <f t="shared" si="14"/>
        <v>-0.342373400750785</v>
      </c>
      <c r="I25" s="217">
        <f t="shared" si="14"/>
        <v>-0.190936626281454</v>
      </c>
      <c r="J25" s="217">
        <f t="shared" si="14"/>
        <v>0.245644348452124</v>
      </c>
      <c r="K25" s="217">
        <f t="shared" si="14"/>
        <v>0.161137440758294</v>
      </c>
      <c r="L25" s="217">
        <f t="shared" si="14"/>
        <v>0.151020408163265</v>
      </c>
      <c r="M25" s="217">
        <f t="shared" si="14"/>
        <v>0.0761113994118665</v>
      </c>
    </row>
    <row r="26" ht="14.25" spans="1:19">
      <c r="A26" s="189" t="s">
        <v>69</v>
      </c>
      <c r="B26" s="217">
        <f t="shared" ref="B26:H26" si="15">(B24-B17)/B17</f>
        <v>0.481317055123936</v>
      </c>
      <c r="C26" s="217">
        <f t="shared" si="15"/>
        <v>0.31490419774755</v>
      </c>
      <c r="D26" s="217">
        <f t="shared" si="15"/>
        <v>1.0769368723099</v>
      </c>
      <c r="E26" s="217">
        <f t="shared" si="15"/>
        <v>0.289409243954699</v>
      </c>
      <c r="F26" s="217">
        <f t="shared" si="15"/>
        <v>0.523021781086297</v>
      </c>
      <c r="G26" s="217">
        <f t="shared" si="15"/>
        <v>0.663014396738438</v>
      </c>
      <c r="H26" s="217">
        <f t="shared" si="15"/>
        <v>0.430428261956341</v>
      </c>
      <c r="I26" s="217">
        <f t="shared" ref="I26:M26" si="16">(I24-I17)/I17</f>
        <v>0.516706704520638</v>
      </c>
      <c r="J26" s="217">
        <f t="shared" si="16"/>
        <v>0.15949604610642</v>
      </c>
      <c r="K26" s="217">
        <f t="shared" si="16"/>
        <v>0.507126781695424</v>
      </c>
      <c r="L26" s="217">
        <f t="shared" si="16"/>
        <v>0.419695481335953</v>
      </c>
      <c r="M26" s="217">
        <f t="shared" si="16"/>
        <v>0.427325914878972</v>
      </c>
      <c r="N26" s="217">
        <f>N24/SUM(B17:K17)-1</f>
        <v>0.859885913780742</v>
      </c>
    </row>
    <row r="27" ht="14.25" spans="1:19">
      <c r="A27" s="219" t="s">
        <v>65</v>
      </c>
      <c r="B27" s="220">
        <v>3887</v>
      </c>
      <c r="C27" s="220">
        <v>4157</v>
      </c>
      <c r="D27" s="220">
        <v>5575</v>
      </c>
      <c r="E27" s="220">
        <v>4078</v>
      </c>
      <c r="F27" s="220">
        <v>4983</v>
      </c>
      <c r="G27" s="220">
        <v>6533</v>
      </c>
      <c r="H27" s="220">
        <v>3404</v>
      </c>
      <c r="I27" s="220">
        <v>3583</v>
      </c>
      <c r="J27" s="220">
        <v>3724</v>
      </c>
      <c r="K27" s="220">
        <v>5055</v>
      </c>
      <c r="L27" s="220">
        <v>6053</v>
      </c>
      <c r="M27" s="220">
        <v>5896</v>
      </c>
      <c r="N27" s="221">
        <f t="shared" si="13"/>
        <v>56928</v>
      </c>
    </row>
    <row r="28" ht="14.25" spans="1:19">
      <c r="A28" s="219" t="s">
        <v>66</v>
      </c>
      <c r="B28" s="220">
        <v>4121</v>
      </c>
      <c r="C28" s="220">
        <v>4833</v>
      </c>
      <c r="D28" s="220">
        <v>6006</v>
      </c>
      <c r="E28" s="220">
        <v>4347</v>
      </c>
      <c r="F28" s="220">
        <v>6065</v>
      </c>
      <c r="G28" s="220">
        <v>6520</v>
      </c>
      <c r="H28" s="220">
        <v>5180</v>
      </c>
      <c r="I28" s="220">
        <v>3362</v>
      </c>
      <c r="J28" s="220">
        <v>4927</v>
      </c>
      <c r="K28" s="220">
        <v>4990</v>
      </c>
      <c r="L28" s="220">
        <v>5509</v>
      </c>
      <c r="M28" s="220">
        <v>6546</v>
      </c>
      <c r="N28" s="221">
        <f t="shared" si="13"/>
        <v>62406</v>
      </c>
    </row>
    <row r="29" ht="14.25" spans="1:19">
      <c r="A29" s="219" t="s">
        <v>67</v>
      </c>
      <c r="B29" s="223">
        <f t="shared" ref="B29:H29" si="17">B27/B24</f>
        <v>0.48538961038961</v>
      </c>
      <c r="C29" s="223">
        <f t="shared" si="17"/>
        <v>0.462402669632925</v>
      </c>
      <c r="D29" s="223">
        <f t="shared" si="17"/>
        <v>0.481391935066056</v>
      </c>
      <c r="E29" s="223">
        <f t="shared" si="17"/>
        <v>0.484035608308605</v>
      </c>
      <c r="F29" s="223">
        <f t="shared" si="17"/>
        <v>0.451031860970311</v>
      </c>
      <c r="G29" s="223">
        <f t="shared" si="17"/>
        <v>0.500497969815368</v>
      </c>
      <c r="H29" s="223">
        <f t="shared" si="17"/>
        <v>0.396551724137931</v>
      </c>
      <c r="I29" s="223">
        <f t="shared" ref="I29:N29" si="18">I27/I24</f>
        <v>0.515910727141829</v>
      </c>
      <c r="J29" s="223">
        <f t="shared" si="18"/>
        <v>0.430470465842099</v>
      </c>
      <c r="K29" s="223">
        <f t="shared" si="18"/>
        <v>0.50323544051767</v>
      </c>
      <c r="L29" s="223">
        <f t="shared" si="18"/>
        <v>0.523525341636395</v>
      </c>
      <c r="M29" s="223">
        <f t="shared" si="18"/>
        <v>0.473878797620961</v>
      </c>
      <c r="N29" s="217">
        <f t="shared" si="18"/>
        <v>0.477047614259138</v>
      </c>
    </row>
    <row r="30" ht="14.25" spans="1:19">
      <c r="A30" s="219" t="s">
        <v>68</v>
      </c>
      <c r="B30" s="224">
        <f t="shared" ref="B30:H30" si="19">B28/B24</f>
        <v>0.51461038961039</v>
      </c>
      <c r="C30" s="224">
        <f t="shared" si="19"/>
        <v>0.537597330367075</v>
      </c>
      <c r="D30" s="224">
        <f t="shared" si="19"/>
        <v>0.518608064933944</v>
      </c>
      <c r="E30" s="224">
        <f t="shared" si="19"/>
        <v>0.515964391691395</v>
      </c>
      <c r="F30" s="224">
        <f t="shared" si="19"/>
        <v>0.548968139029689</v>
      </c>
      <c r="G30" s="224">
        <f t="shared" si="19"/>
        <v>0.499502030184632</v>
      </c>
      <c r="H30" s="224">
        <f t="shared" si="19"/>
        <v>0.603448275862069</v>
      </c>
      <c r="I30" s="224">
        <f t="shared" ref="I30:N30" si="20">I28/I24</f>
        <v>0.484089272858171</v>
      </c>
      <c r="J30" s="224">
        <f t="shared" si="20"/>
        <v>0.569529534157901</v>
      </c>
      <c r="K30" s="224">
        <f t="shared" si="20"/>
        <v>0.49676455948233</v>
      </c>
      <c r="L30" s="224">
        <f t="shared" si="20"/>
        <v>0.476474658363605</v>
      </c>
      <c r="M30" s="224">
        <f t="shared" si="20"/>
        <v>0.526121202379039</v>
      </c>
      <c r="N30" s="217">
        <f t="shared" si="20"/>
        <v>0.522952385740862</v>
      </c>
    </row>
    <row r="31" ht="14.25" spans="1:19">
      <c r="A31" s="189">
        <v>2024</v>
      </c>
      <c r="B31" s="195">
        <f t="shared" ref="B31:I31" si="21">B34+B35</f>
        <v>8560</v>
      </c>
      <c r="C31" s="195">
        <f t="shared" si="21"/>
        <v>9367</v>
      </c>
      <c r="D31" s="194">
        <f t="shared" si="21"/>
        <v>11259</v>
      </c>
      <c r="E31" s="194">
        <f t="shared" si="21"/>
        <v>8902</v>
      </c>
      <c r="F31" s="194">
        <f t="shared" si="21"/>
        <v>9180</v>
      </c>
      <c r="G31" s="194">
        <f t="shared" si="21"/>
        <v>10735</v>
      </c>
      <c r="H31" s="194">
        <f t="shared" si="21"/>
        <v>8242</v>
      </c>
      <c r="I31" s="194">
        <f t="shared" si="21"/>
        <v>5706</v>
      </c>
      <c r="J31" s="194">
        <v>10864</v>
      </c>
      <c r="K31" s="194">
        <v>10756</v>
      </c>
      <c r="L31" s="194">
        <v>10664</v>
      </c>
      <c r="M31" s="195">
        <f>SUM(M34:M35)</f>
        <v>15124</v>
      </c>
      <c r="N31" s="194">
        <f>SUM(B31:M31)</f>
        <v>119359</v>
      </c>
      <c r="S31" t="s">
        <v>104</v>
      </c>
    </row>
    <row r="32" ht="14.25" spans="1:19">
      <c r="A32" s="189" t="s">
        <v>64</v>
      </c>
      <c r="B32" s="217">
        <f>B31/M24-1</f>
        <v>-0.312007715801318</v>
      </c>
      <c r="C32" s="217">
        <f t="shared" ref="C32:M32" si="22">C31/B31-1</f>
        <v>0.0942757009345794</v>
      </c>
      <c r="D32" s="217">
        <f t="shared" si="22"/>
        <v>0.201985694459272</v>
      </c>
      <c r="E32" s="217">
        <f t="shared" si="22"/>
        <v>-0.209343636202149</v>
      </c>
      <c r="F32" s="217">
        <f t="shared" si="22"/>
        <v>0.0312289373174568</v>
      </c>
      <c r="G32" s="217">
        <f t="shared" si="22"/>
        <v>0.169389978213508</v>
      </c>
      <c r="H32" s="217">
        <f t="shared" si="22"/>
        <v>-0.232231020027946</v>
      </c>
      <c r="I32" s="217">
        <f t="shared" si="22"/>
        <v>-0.307692307692308</v>
      </c>
      <c r="J32" s="217">
        <f t="shared" si="22"/>
        <v>0.903960743077462</v>
      </c>
      <c r="K32" s="217">
        <f t="shared" si="22"/>
        <v>-0.00994108983799702</v>
      </c>
      <c r="L32" s="217">
        <f t="shared" si="22"/>
        <v>-0.00855336556340647</v>
      </c>
      <c r="M32" s="217">
        <f t="shared" si="22"/>
        <v>0.418229557389347</v>
      </c>
      <c r="N32" s="170"/>
      <c r="S32" t="s">
        <v>105</v>
      </c>
    </row>
    <row r="33" ht="14.25" spans="1:19">
      <c r="A33" s="189" t="s">
        <v>69</v>
      </c>
      <c r="B33" s="217">
        <f t="shared" ref="B33:J33" si="23">B31/B24-1</f>
        <v>0.0689310689310689</v>
      </c>
      <c r="C33" s="217">
        <f t="shared" si="23"/>
        <v>0.0419354838709678</v>
      </c>
      <c r="D33" s="217">
        <f t="shared" si="23"/>
        <v>-0.0278041619894656</v>
      </c>
      <c r="E33" s="217">
        <f t="shared" si="23"/>
        <v>0.0566172106824925</v>
      </c>
      <c r="F33" s="217">
        <f t="shared" si="23"/>
        <v>-0.16908037653874</v>
      </c>
      <c r="G33" s="217">
        <f t="shared" si="23"/>
        <v>-0.177583697234352</v>
      </c>
      <c r="H33" s="217">
        <f t="shared" si="23"/>
        <v>-0.0398415657036346</v>
      </c>
      <c r="I33" s="217">
        <f t="shared" si="23"/>
        <v>-0.178401727861771</v>
      </c>
      <c r="J33" s="217">
        <f t="shared" si="23"/>
        <v>0.255808577043116</v>
      </c>
      <c r="K33" s="217">
        <f t="shared" ref="K33:N33" si="24">K31/K24-1</f>
        <v>0.0707814833250373</v>
      </c>
      <c r="L33" s="217">
        <f t="shared" si="24"/>
        <v>-0.0776682234907455</v>
      </c>
      <c r="M33" s="217">
        <f t="shared" si="24"/>
        <v>0.215560199324867</v>
      </c>
      <c r="N33" s="225">
        <f t="shared" si="24"/>
        <v>0.000209496036335022</v>
      </c>
      <c r="S33" t="s">
        <v>106</v>
      </c>
    </row>
    <row r="34" ht="14.25" spans="1:19">
      <c r="A34" s="219" t="s">
        <v>65</v>
      </c>
      <c r="B34" s="220">
        <v>3970</v>
      </c>
      <c r="C34" s="220">
        <v>3804</v>
      </c>
      <c r="D34" s="220">
        <v>5559</v>
      </c>
      <c r="E34" s="220">
        <v>3842</v>
      </c>
      <c r="F34" s="220">
        <v>4393</v>
      </c>
      <c r="G34" s="220">
        <v>5531</v>
      </c>
      <c r="H34" s="220">
        <v>3827</v>
      </c>
      <c r="I34" s="220">
        <v>2696</v>
      </c>
      <c r="J34" s="220">
        <v>6329</v>
      </c>
      <c r="K34" s="220">
        <v>4769</v>
      </c>
      <c r="L34" s="220">
        <v>5791</v>
      </c>
      <c r="M34" s="220">
        <v>8818</v>
      </c>
      <c r="N34" s="221">
        <f>SUM(B34:M34)</f>
        <v>59329</v>
      </c>
    </row>
    <row r="35" ht="14.25" spans="1:19">
      <c r="A35" s="219" t="s">
        <v>66</v>
      </c>
      <c r="B35" s="220">
        <v>4590</v>
      </c>
      <c r="C35" s="220">
        <v>5563</v>
      </c>
      <c r="D35" s="220">
        <v>5700</v>
      </c>
      <c r="E35" s="220">
        <v>5060</v>
      </c>
      <c r="F35" s="220">
        <v>4787</v>
      </c>
      <c r="G35" s="220">
        <v>5204</v>
      </c>
      <c r="H35" s="220">
        <v>4415</v>
      </c>
      <c r="I35" s="220">
        <v>3010</v>
      </c>
      <c r="J35" s="220">
        <v>4068</v>
      </c>
      <c r="K35" s="220">
        <v>5140</v>
      </c>
      <c r="L35" s="220">
        <v>4875</v>
      </c>
      <c r="M35" s="220">
        <v>6306</v>
      </c>
      <c r="N35" s="221">
        <f>SUM(B35:M35)</f>
        <v>58718</v>
      </c>
    </row>
    <row r="36" ht="14.25" spans="1:19">
      <c r="A36" s="219" t="s">
        <v>67</v>
      </c>
      <c r="B36" s="223">
        <f t="shared" ref="B36:J36" si="25">B34/B31</f>
        <v>0.463785046728972</v>
      </c>
      <c r="C36" s="223">
        <f t="shared" si="25"/>
        <v>0.406106544251094</v>
      </c>
      <c r="D36" s="223">
        <f t="shared" si="25"/>
        <v>0.493738342659206</v>
      </c>
      <c r="E36" s="223">
        <f t="shared" si="25"/>
        <v>0.431588407099528</v>
      </c>
      <c r="F36" s="223">
        <f t="shared" si="25"/>
        <v>0.478540305010893</v>
      </c>
      <c r="G36" s="223">
        <f t="shared" si="25"/>
        <v>0.515230554261761</v>
      </c>
      <c r="H36" s="223">
        <f t="shared" si="25"/>
        <v>0.464329046347974</v>
      </c>
      <c r="I36" s="223">
        <f t="shared" si="25"/>
        <v>0.47248510339993</v>
      </c>
      <c r="J36" s="223">
        <f t="shared" si="25"/>
        <v>0.582566273932253</v>
      </c>
      <c r="K36" s="223">
        <f t="shared" ref="K36:N36" si="26">K34/K31</f>
        <v>0.443380438824842</v>
      </c>
      <c r="L36" s="223">
        <f t="shared" si="26"/>
        <v>0.543042010502626</v>
      </c>
      <c r="M36" s="223">
        <f t="shared" si="26"/>
        <v>0.583046813012431</v>
      </c>
      <c r="N36" s="156">
        <f t="shared" si="26"/>
        <v>0.497063480759725</v>
      </c>
    </row>
    <row r="37" ht="14.25" spans="1:19">
      <c r="A37" s="219" t="s">
        <v>68</v>
      </c>
      <c r="B37" s="224">
        <f t="shared" ref="B37:J37" si="27">B35/B31</f>
        <v>0.536214953271028</v>
      </c>
      <c r="C37" s="224">
        <f t="shared" si="27"/>
        <v>0.593893455748906</v>
      </c>
      <c r="D37" s="223">
        <f t="shared" si="27"/>
        <v>0.506261657340794</v>
      </c>
      <c r="E37" s="223">
        <f t="shared" si="27"/>
        <v>0.568411592900472</v>
      </c>
      <c r="F37" s="223">
        <f t="shared" si="27"/>
        <v>0.521459694989107</v>
      </c>
      <c r="G37" s="223">
        <f t="shared" si="27"/>
        <v>0.484769445738239</v>
      </c>
      <c r="H37" s="223">
        <f t="shared" si="27"/>
        <v>0.535670953652026</v>
      </c>
      <c r="I37" s="223">
        <f t="shared" si="27"/>
        <v>0.52751489660007</v>
      </c>
      <c r="J37" s="223">
        <f t="shared" si="27"/>
        <v>0.374447717231222</v>
      </c>
      <c r="K37" s="223">
        <f t="shared" ref="K37:N37" si="28">K35/K31</f>
        <v>0.477872815172927</v>
      </c>
      <c r="L37" s="223">
        <f t="shared" si="28"/>
        <v>0.457145536384096</v>
      </c>
      <c r="M37" s="223">
        <f t="shared" si="28"/>
        <v>0.416953186987569</v>
      </c>
      <c r="N37" s="170">
        <f t="shared" si="28"/>
        <v>0.491944470044153</v>
      </c>
    </row>
    <row r="38" ht="14.25" spans="1:19">
      <c r="A38" s="189">
        <v>2025</v>
      </c>
      <c r="B38" s="221">
        <f>B41+B42</f>
        <v>10254</v>
      </c>
      <c r="C38" s="221">
        <f t="shared" ref="C38:E38" si="29">C41+C42</f>
        <v>13013</v>
      </c>
      <c r="D38" s="221">
        <f t="shared" si="29"/>
        <v>17814</v>
      </c>
      <c r="E38" s="221">
        <f t="shared" si="29"/>
        <v>15957</v>
      </c>
      <c r="F38" s="221"/>
      <c r="G38" s="14"/>
      <c r="H38" s="189"/>
      <c r="I38" s="14"/>
      <c r="J38" s="14"/>
      <c r="K38" s="189"/>
      <c r="L38" s="189"/>
      <c r="M38" s="189"/>
      <c r="N38" s="221">
        <f>SUM(B38:M38)</f>
        <v>57038</v>
      </c>
    </row>
    <row r="39" ht="14.25" spans="1:19">
      <c r="A39" s="189" t="s">
        <v>64</v>
      </c>
      <c r="B39" s="226">
        <f>B38/M31-1</f>
        <v>-0.322004760645332</v>
      </c>
      <c r="C39" s="226">
        <f>C38/B38-1</f>
        <v>0.269065730446655</v>
      </c>
      <c r="D39" s="226">
        <f>D38/C38-1</f>
        <v>0.368938753554138</v>
      </c>
      <c r="E39" s="226">
        <f>E38/D38-1</f>
        <v>-0.104243853149208</v>
      </c>
      <c r="F39" s="226"/>
      <c r="G39" s="226"/>
      <c r="H39" s="226"/>
      <c r="I39" s="226"/>
      <c r="J39" s="226"/>
      <c r="K39" s="226"/>
      <c r="L39" s="226"/>
      <c r="M39" s="226"/>
      <c r="N39" s="226"/>
    </row>
    <row r="40" ht="14.25" spans="1:19">
      <c r="A40" s="189" t="s">
        <v>69</v>
      </c>
      <c r="B40" s="207">
        <f>B38/B31-1</f>
        <v>0.197897196261682</v>
      </c>
      <c r="C40" s="207">
        <f>C38/C31-1</f>
        <v>0.389238817123946</v>
      </c>
      <c r="D40" s="207">
        <f>D38/D31-1</f>
        <v>0.582200905941913</v>
      </c>
      <c r="E40" s="207">
        <f>E38/E31-1</f>
        <v>0.792518535160638</v>
      </c>
      <c r="F40" s="207"/>
      <c r="G40" s="207"/>
      <c r="H40" s="207"/>
      <c r="I40" s="207"/>
      <c r="J40" s="207"/>
      <c r="K40" s="207"/>
      <c r="L40" s="207"/>
      <c r="M40" s="207"/>
      <c r="N40" s="207">
        <f>N38/N31-1</f>
        <v>-0.522130714902102</v>
      </c>
      <c r="O40" s="207"/>
    </row>
    <row r="41" ht="14.25" spans="1:19">
      <c r="A41" s="219" t="s">
        <v>65</v>
      </c>
      <c r="B41" s="220">
        <v>5012</v>
      </c>
      <c r="C41" s="220">
        <v>6112</v>
      </c>
      <c r="D41" s="227">
        <v>8720</v>
      </c>
      <c r="E41" s="220">
        <v>9384</v>
      </c>
      <c r="F41" s="220"/>
      <c r="G41" s="220"/>
      <c r="H41" s="220"/>
      <c r="I41" s="220"/>
      <c r="J41" s="220"/>
      <c r="K41" s="220"/>
      <c r="L41" s="220"/>
      <c r="M41" s="220"/>
      <c r="N41" s="221">
        <f>SUM(B41:M41)</f>
        <v>29228</v>
      </c>
    </row>
    <row r="42" ht="14.25" spans="1:19">
      <c r="A42" s="219" t="s">
        <v>66</v>
      </c>
      <c r="B42" s="220">
        <v>5242</v>
      </c>
      <c r="C42" s="220">
        <v>6901</v>
      </c>
      <c r="D42" s="220">
        <v>9094</v>
      </c>
      <c r="E42" s="227">
        <v>6573</v>
      </c>
      <c r="F42" s="220"/>
      <c r="G42" s="220"/>
      <c r="H42" s="220"/>
      <c r="I42" s="220"/>
      <c r="J42" s="220"/>
      <c r="K42" s="220"/>
      <c r="L42" s="220"/>
      <c r="M42" s="220"/>
      <c r="N42" s="221">
        <f>SUM(B42:M42)</f>
        <v>27810</v>
      </c>
    </row>
    <row r="43" ht="14.25" spans="1:19">
      <c r="A43" s="219" t="s">
        <v>67</v>
      </c>
      <c r="B43" s="223">
        <f>B41/B38</f>
        <v>0.488784864443144</v>
      </c>
      <c r="C43" s="223">
        <f>C41/C38</f>
        <v>0.469684161991854</v>
      </c>
      <c r="D43" s="223">
        <f>D41/D38</f>
        <v>0.489502638374312</v>
      </c>
      <c r="E43" s="223">
        <f>E41/E38</f>
        <v>0.588080466253055</v>
      </c>
      <c r="F43" s="223"/>
      <c r="G43" s="223"/>
      <c r="H43" s="223"/>
      <c r="I43" s="223"/>
      <c r="J43" s="223"/>
      <c r="K43" s="223"/>
      <c r="L43" s="223"/>
      <c r="M43" s="223"/>
      <c r="N43" s="223">
        <f t="shared" ref="N43" si="30">N41/N38</f>
        <v>0.512430309618149</v>
      </c>
    </row>
    <row r="44" ht="14.25" spans="1:19">
      <c r="A44" s="219" t="s">
        <v>68</v>
      </c>
      <c r="B44" s="223">
        <f>B42/B38</f>
        <v>0.511215135556856</v>
      </c>
      <c r="C44" s="223">
        <f>C42/C38</f>
        <v>0.530315838008146</v>
      </c>
      <c r="D44" s="223">
        <f>D42/D38</f>
        <v>0.510497361625688</v>
      </c>
      <c r="E44" s="223">
        <f>E42/E38</f>
        <v>0.411919533746945</v>
      </c>
      <c r="F44" s="223"/>
      <c r="G44" s="223"/>
      <c r="H44" s="223"/>
      <c r="I44" s="223"/>
      <c r="J44" s="223"/>
      <c r="K44" s="223"/>
      <c r="L44" s="223"/>
      <c r="M44" s="223"/>
      <c r="N44" s="223">
        <f t="shared" ref="N44" si="31">N42/N38</f>
        <v>0.487569690381851</v>
      </c>
    </row>
    <row r="45" ht="14.25" spans="1:19">
      <c r="B45" s="194"/>
      <c r="C45" s="194"/>
      <c r="D45" s="194"/>
      <c r="E45" s="228"/>
      <c r="M45" s="14"/>
    </row>
    <row r="46" ht="14.25" spans="1:19">
      <c r="B46" s="194"/>
      <c r="C46" s="194"/>
      <c r="D46" s="194"/>
      <c r="E46" s="228"/>
      <c r="M46" s="14"/>
    </row>
    <row r="47" ht="14.25" spans="1:19">
      <c r="A47" s="215" t="s">
        <v>113</v>
      </c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</row>
    <row r="48" ht="14.25" spans="1:19">
      <c r="A48" s="216"/>
      <c r="B48" s="166" t="s">
        <v>51</v>
      </c>
      <c r="C48" s="166" t="s">
        <v>52</v>
      </c>
      <c r="D48" s="166" t="s">
        <v>53</v>
      </c>
      <c r="E48" s="166" t="s">
        <v>54</v>
      </c>
      <c r="F48" s="166" t="s">
        <v>55</v>
      </c>
      <c r="G48" s="166" t="s">
        <v>56</v>
      </c>
      <c r="H48" s="166" t="s">
        <v>57</v>
      </c>
      <c r="I48" s="166" t="s">
        <v>58</v>
      </c>
      <c r="J48" s="166" t="s">
        <v>59</v>
      </c>
      <c r="K48" s="166" t="s">
        <v>60</v>
      </c>
      <c r="L48" s="166" t="s">
        <v>61</v>
      </c>
      <c r="M48" s="166" t="s">
        <v>62</v>
      </c>
      <c r="N48" s="189" t="s">
        <v>63</v>
      </c>
    </row>
    <row r="49" ht="14.25" spans="1:16">
      <c r="A49" s="216">
        <v>2021</v>
      </c>
      <c r="B49" s="195">
        <v>41966</v>
      </c>
      <c r="C49" s="195">
        <v>58279</v>
      </c>
      <c r="D49" s="195">
        <v>85819</v>
      </c>
      <c r="E49" s="195">
        <v>78595</v>
      </c>
      <c r="F49" s="195">
        <v>95403</v>
      </c>
      <c r="G49" s="195">
        <v>96785</v>
      </c>
      <c r="H49" s="195">
        <v>83900</v>
      </c>
      <c r="I49" s="195">
        <v>47584</v>
      </c>
      <c r="J49" s="195">
        <v>59641</v>
      </c>
      <c r="K49" s="195">
        <v>59044</v>
      </c>
      <c r="L49" s="195">
        <v>66399</v>
      </c>
      <c r="M49" s="195">
        <v>86081</v>
      </c>
      <c r="N49" s="221">
        <f>SUM(B49:M49)</f>
        <v>859496</v>
      </c>
    </row>
    <row r="50" ht="14.25" spans="1:16">
      <c r="A50" s="189">
        <v>2022</v>
      </c>
      <c r="B50" s="195">
        <v>42377</v>
      </c>
      <c r="C50" s="195">
        <v>62103</v>
      </c>
      <c r="D50" s="195">
        <v>59919</v>
      </c>
      <c r="E50" s="195">
        <v>69111</v>
      </c>
      <c r="F50" s="189">
        <v>84977</v>
      </c>
      <c r="G50" s="195">
        <v>89252</v>
      </c>
      <c r="H50" s="195">
        <v>73378</v>
      </c>
      <c r="I50" s="195">
        <v>51907</v>
      </c>
      <c r="J50" s="195">
        <v>67240</v>
      </c>
      <c r="K50" s="195">
        <v>65966</v>
      </c>
      <c r="L50" s="195">
        <v>73221</v>
      </c>
      <c r="M50" s="195">
        <v>73927</v>
      </c>
      <c r="N50" s="221">
        <f>SUM(B50:M50)</f>
        <v>813378</v>
      </c>
    </row>
    <row r="51" ht="14.25" spans="1:16">
      <c r="A51" s="189">
        <v>2023</v>
      </c>
      <c r="B51" s="195">
        <v>64147</v>
      </c>
      <c r="C51" s="195">
        <v>74001</v>
      </c>
      <c r="D51" s="194">
        <v>99524</v>
      </c>
      <c r="E51" s="194">
        <v>74749</v>
      </c>
      <c r="F51" s="189">
        <v>92025</v>
      </c>
      <c r="G51" s="189">
        <v>101085</v>
      </c>
      <c r="H51" s="189">
        <v>81205</v>
      </c>
      <c r="I51" s="189">
        <v>55957</v>
      </c>
      <c r="J51" s="189">
        <v>68803</v>
      </c>
      <c r="K51" s="189">
        <v>77892</v>
      </c>
      <c r="L51" s="189">
        <v>78314</v>
      </c>
      <c r="M51" s="14">
        <v>81772</v>
      </c>
      <c r="N51" s="221">
        <f>SUM(B51:M51)</f>
        <v>949474</v>
      </c>
    </row>
    <row r="52" s="204" customFormat="1" ht="14.25" spans="1:16">
      <c r="A52" s="189">
        <v>2024</v>
      </c>
      <c r="B52" s="229">
        <v>68685</v>
      </c>
      <c r="C52" s="229">
        <v>81348</v>
      </c>
      <c r="D52" s="229">
        <v>94691</v>
      </c>
      <c r="E52" s="229">
        <v>92000</v>
      </c>
      <c r="F52" s="229">
        <v>95158</v>
      </c>
      <c r="G52" s="229">
        <v>103357</v>
      </c>
      <c r="H52" s="229">
        <v>83979</v>
      </c>
      <c r="I52" s="229">
        <v>52322</v>
      </c>
      <c r="J52" s="229">
        <v>73144</v>
      </c>
      <c r="K52" s="229">
        <v>83472</v>
      </c>
      <c r="L52" s="229">
        <v>83339</v>
      </c>
      <c r="M52" s="229">
        <v>105346</v>
      </c>
      <c r="N52" s="229">
        <f>SUM(B52:M52)</f>
        <v>1016841</v>
      </c>
      <c r="O52" s="189"/>
      <c r="P52" s="230"/>
    </row>
    <row r="53" ht="14.25" spans="1:16">
      <c r="A53" s="189" t="s">
        <v>69</v>
      </c>
      <c r="B53" s="226">
        <f t="shared" ref="B53:N53" si="32">B52/B51-1</f>
        <v>0.0707437604252732</v>
      </c>
      <c r="C53" s="226">
        <f t="shared" si="32"/>
        <v>0.0992824421291605</v>
      </c>
      <c r="D53" s="226">
        <f t="shared" si="32"/>
        <v>-0.0485611510791367</v>
      </c>
      <c r="E53" s="226">
        <f t="shared" si="32"/>
        <v>0.230785696129714</v>
      </c>
      <c r="F53" s="226">
        <f t="shared" si="32"/>
        <v>0.0340450964411845</v>
      </c>
      <c r="G53" s="226">
        <f t="shared" si="32"/>
        <v>0.0224761339466786</v>
      </c>
      <c r="H53" s="226">
        <f t="shared" si="32"/>
        <v>0.0341604580998707</v>
      </c>
      <c r="I53" s="226">
        <f t="shared" si="32"/>
        <v>-0.0649605947423915</v>
      </c>
      <c r="J53" s="226">
        <f t="shared" si="32"/>
        <v>0.0630931790764937</v>
      </c>
      <c r="K53" s="226">
        <f t="shared" si="32"/>
        <v>0.0716376521337236</v>
      </c>
      <c r="L53" s="226">
        <f t="shared" si="32"/>
        <v>0.0641647725821692</v>
      </c>
      <c r="M53" s="226">
        <f t="shared" si="32"/>
        <v>0.288289390011251</v>
      </c>
      <c r="N53" s="226">
        <f t="shared" si="32"/>
        <v>0.0709519165348393</v>
      </c>
    </row>
    <row r="54" ht="14.25" spans="1:16">
      <c r="A54" s="189">
        <v>2025</v>
      </c>
      <c r="B54" s="194">
        <v>72316</v>
      </c>
      <c r="C54" s="194">
        <v>90327</v>
      </c>
      <c r="D54" s="194">
        <v>116725</v>
      </c>
      <c r="E54" s="194">
        <v>98522</v>
      </c>
      <c r="F54" s="189"/>
      <c r="G54" s="189"/>
      <c r="H54" s="189"/>
      <c r="I54" s="189"/>
      <c r="J54" s="189"/>
      <c r="K54" s="189"/>
      <c r="L54" s="189"/>
      <c r="M54" s="189"/>
      <c r="N54" s="221">
        <f>SUM(B54:M54)</f>
        <v>377890</v>
      </c>
    </row>
    <row r="55" ht="14.25" spans="1:16">
      <c r="A55" s="189" t="s">
        <v>69</v>
      </c>
      <c r="B55" s="226">
        <f>B54/B52-1</f>
        <v>0.0528645264613816</v>
      </c>
      <c r="C55" s="226">
        <f>C54/C52-1</f>
        <v>0.11037763681959</v>
      </c>
      <c r="D55" s="226">
        <f>D54/D52-1</f>
        <v>0.232693709011416</v>
      </c>
      <c r="E55" s="226">
        <f>E54/E52-1</f>
        <v>0.0708913043478261</v>
      </c>
      <c r="F55" s="226"/>
      <c r="G55" s="226"/>
      <c r="H55" s="226"/>
      <c r="I55" s="226"/>
      <c r="J55" s="226"/>
      <c r="K55" s="226"/>
      <c r="L55" s="226"/>
      <c r="M55" s="226"/>
      <c r="N55" s="226"/>
    </row>
    <row r="56" ht="14.25" spans="1:16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</row>
    <row r="57" ht="14.25" spans="1:16">
      <c r="A57" s="189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</row>
    <row r="58" ht="14.25" spans="1:16">
      <c r="A58" s="215" t="s">
        <v>72</v>
      </c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</row>
    <row r="59" ht="14.25" spans="1:16">
      <c r="A59" s="189"/>
      <c r="B59" s="166" t="s">
        <v>51</v>
      </c>
      <c r="C59" s="166" t="s">
        <v>52</v>
      </c>
      <c r="D59" s="166" t="s">
        <v>53</v>
      </c>
      <c r="E59" s="166" t="s">
        <v>54</v>
      </c>
      <c r="F59" s="166" t="s">
        <v>55</v>
      </c>
      <c r="G59" s="166" t="s">
        <v>56</v>
      </c>
      <c r="H59" s="166" t="s">
        <v>57</v>
      </c>
      <c r="I59" s="166" t="s">
        <v>58</v>
      </c>
      <c r="J59" s="166" t="s">
        <v>59</v>
      </c>
      <c r="K59" s="166" t="s">
        <v>60</v>
      </c>
      <c r="L59" s="166" t="s">
        <v>61</v>
      </c>
      <c r="M59" s="166" t="s">
        <v>62</v>
      </c>
      <c r="N59" s="189" t="s">
        <v>63</v>
      </c>
    </row>
    <row r="60" ht="14.25" spans="1:16">
      <c r="A60" s="216">
        <v>2021</v>
      </c>
      <c r="B60" s="217">
        <f t="shared" ref="B60:N60" si="33">B11/B49</f>
        <v>0.0295000714864414</v>
      </c>
      <c r="C60" s="217">
        <f t="shared" si="33"/>
        <v>0.0351413030422622</v>
      </c>
      <c r="D60" s="217">
        <f t="shared" si="33"/>
        <v>0.0428576422470549</v>
      </c>
      <c r="E60" s="217">
        <f t="shared" si="33"/>
        <v>0.0333609008206629</v>
      </c>
      <c r="F60" s="217">
        <f t="shared" si="33"/>
        <v>0.0363720218441768</v>
      </c>
      <c r="G60" s="217">
        <f t="shared" si="33"/>
        <v>0.0440357493413236</v>
      </c>
      <c r="H60" s="217">
        <f t="shared" si="33"/>
        <v>0.0358402860548272</v>
      </c>
      <c r="I60" s="217">
        <f t="shared" si="33"/>
        <v>0.0438592804303968</v>
      </c>
      <c r="J60" s="217">
        <f t="shared" si="33"/>
        <v>0.0684093157391727</v>
      </c>
      <c r="K60" s="217">
        <f t="shared" si="33"/>
        <v>0.0653580380733013</v>
      </c>
      <c r="L60" s="217">
        <f t="shared" si="33"/>
        <v>0.0613864666636546</v>
      </c>
      <c r="M60" s="217">
        <f t="shared" si="33"/>
        <v>0.0966763861943983</v>
      </c>
      <c r="N60" s="217">
        <f t="shared" si="33"/>
        <v>0.0400548693653025</v>
      </c>
    </row>
    <row r="61" ht="14.25" spans="1:16">
      <c r="A61" s="189">
        <v>2022</v>
      </c>
      <c r="B61" s="217">
        <f t="shared" ref="B61:N61" si="34">B17/B50</f>
        <v>0.127569200273733</v>
      </c>
      <c r="C61" s="217">
        <f t="shared" si="34"/>
        <v>0.110091299937201</v>
      </c>
      <c r="D61" s="217">
        <f t="shared" si="34"/>
        <v>0.0930589629332933</v>
      </c>
      <c r="E61" s="217">
        <f t="shared" si="34"/>
        <v>0.0945435603594218</v>
      </c>
      <c r="F61" s="217">
        <f t="shared" si="34"/>
        <v>0.0853642750391282</v>
      </c>
      <c r="G61" s="217">
        <f t="shared" si="34"/>
        <v>0.0879420069018061</v>
      </c>
      <c r="H61" s="217">
        <f t="shared" si="34"/>
        <v>0.0817820055057374</v>
      </c>
      <c r="I61" s="217">
        <f t="shared" si="34"/>
        <v>0.0882154622690581</v>
      </c>
      <c r="J61" s="217">
        <f t="shared" si="34"/>
        <v>0.110960737656157</v>
      </c>
      <c r="K61" s="217">
        <f t="shared" si="34"/>
        <v>0.101036897795834</v>
      </c>
      <c r="L61" s="217">
        <f t="shared" si="34"/>
        <v>0.111224921812048</v>
      </c>
      <c r="M61" s="217">
        <f t="shared" si="34"/>
        <v>0.117913617487521</v>
      </c>
      <c r="N61" s="217">
        <f t="shared" si="34"/>
        <v>0.0996129720744844</v>
      </c>
    </row>
    <row r="62" ht="14.25" spans="1:16">
      <c r="A62" s="189">
        <v>2023</v>
      </c>
      <c r="B62" s="209">
        <f t="shared" ref="B62:N62" si="35">B24/B51</f>
        <v>0.124838262116701</v>
      </c>
      <c r="C62" s="209">
        <f t="shared" si="35"/>
        <v>0.121484844799395</v>
      </c>
      <c r="D62" s="209">
        <f t="shared" si="35"/>
        <v>0.116363892126522</v>
      </c>
      <c r="E62" s="209">
        <f t="shared" si="35"/>
        <v>0.112710537933618</v>
      </c>
      <c r="F62" s="209">
        <f t="shared" si="35"/>
        <v>0.120054333061668</v>
      </c>
      <c r="G62" s="209">
        <f t="shared" si="35"/>
        <v>0.12912895088292</v>
      </c>
      <c r="H62" s="209">
        <f t="shared" si="35"/>
        <v>0.10570777661474</v>
      </c>
      <c r="I62" s="209">
        <f t="shared" si="35"/>
        <v>0.124113158317994</v>
      </c>
      <c r="J62" s="209">
        <f t="shared" si="35"/>
        <v>0.125735796404227</v>
      </c>
      <c r="K62" s="209">
        <f t="shared" si="35"/>
        <v>0.128960612129615</v>
      </c>
      <c r="L62" s="209">
        <f t="shared" si="35"/>
        <v>0.147636437929361</v>
      </c>
      <c r="M62" s="209">
        <f t="shared" si="35"/>
        <v>0.15215477180453</v>
      </c>
      <c r="N62" s="210">
        <f t="shared" si="35"/>
        <v>0.125684326269071</v>
      </c>
    </row>
    <row r="63" ht="14.25" spans="1:16">
      <c r="A63" s="189">
        <v>2024</v>
      </c>
      <c r="B63" s="209">
        <f t="shared" ref="B63:N63" si="36">B31/B52</f>
        <v>0.124626919997088</v>
      </c>
      <c r="C63" s="209">
        <f t="shared" si="36"/>
        <v>0.115147268525348</v>
      </c>
      <c r="D63" s="209">
        <f t="shared" si="36"/>
        <v>0.118902535615845</v>
      </c>
      <c r="E63" s="209">
        <f t="shared" si="36"/>
        <v>0.0967608695652174</v>
      </c>
      <c r="F63" s="209">
        <f t="shared" si="36"/>
        <v>0.0964711322221989</v>
      </c>
      <c r="G63" s="209">
        <f t="shared" si="36"/>
        <v>0.103863308726066</v>
      </c>
      <c r="H63" s="209">
        <f t="shared" si="36"/>
        <v>0.0981435835149263</v>
      </c>
      <c r="I63" s="209">
        <f t="shared" si="36"/>
        <v>0.109055464240664</v>
      </c>
      <c r="J63" s="209">
        <f t="shared" si="36"/>
        <v>0.148528929235481</v>
      </c>
      <c r="K63" s="209">
        <f t="shared" si="36"/>
        <v>0.128857580985241</v>
      </c>
      <c r="L63" s="209">
        <f t="shared" si="36"/>
        <v>0.127959298767684</v>
      </c>
      <c r="M63" s="209">
        <f t="shared" si="36"/>
        <v>0.143565014333719</v>
      </c>
      <c r="N63" s="209">
        <f t="shared" si="36"/>
        <v>0.117382166926786</v>
      </c>
    </row>
    <row r="64" ht="14.25" spans="1:16">
      <c r="A64" s="216">
        <v>2025</v>
      </c>
      <c r="B64" s="210">
        <f>B38/B54</f>
        <v>0.141794347032469</v>
      </c>
      <c r="C64" s="210">
        <f>C38/C54</f>
        <v>0.144065451083286</v>
      </c>
      <c r="D64" s="210">
        <f>D38/D54</f>
        <v>0.152615121010923</v>
      </c>
      <c r="E64" s="210">
        <f>E38/E54</f>
        <v>0.161963825338503</v>
      </c>
      <c r="F64" s="210"/>
      <c r="G64" s="210"/>
      <c r="H64" s="210"/>
      <c r="I64" s="210"/>
      <c r="J64" s="210"/>
      <c r="K64" s="210"/>
      <c r="L64" s="210"/>
      <c r="M64" s="210"/>
      <c r="N64" s="210">
        <f t="shared" ref="N64" si="37">N24/N52</f>
        <v>0.117357580978737</v>
      </c>
    </row>
  </sheetData>
  <pageMargins left="0.75" right="0.75" top="1" bottom="1" header="0.5" footer="0.5"/>
  <pageSetup paperSize="9" orientation="portrait" horizontalDpi="1200" verticalDpi="12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H173"/>
  <sheetViews>
    <sheetView zoomScale="108" zoomScaleNormal="108" workbookViewId="0">
      <selection activeCell="F11" sqref="F11"/>
    </sheetView>
  </sheetViews>
  <sheetFormatPr defaultColWidth="8.75" defaultRowHeight="14.25"/>
  <cols>
    <col min="1" max="1" width="3.625" style="14" customWidth="1"/>
    <col min="2" max="2" width="24.75" style="14" customWidth="1"/>
    <col min="3" max="3" width="11.625" style="14" customWidth="1"/>
    <col min="4" max="4" width="10.125" style="14" customWidth="1"/>
    <col min="5" max="5" width="11.625" style="14" customWidth="1"/>
    <col min="6" max="11" width="9.125" style="14" customWidth="1"/>
    <col min="12" max="14" width="8.875" style="14" customWidth="1"/>
    <col min="15" max="15" width="9.25" style="14" customWidth="1"/>
    <col min="16" max="16" width="40.375" style="14" customWidth="1"/>
    <col min="17" max="18" width="8.75" style="14"/>
    <col min="19" max="19" width="11.625" style="14" customWidth="1"/>
    <col min="20" max="16384" width="8.75" style="14"/>
  </cols>
  <sheetData>
    <row r="1" spans="2:17">
      <c r="B1" s="14"/>
    </row>
    <row r="2" spans="2:17">
      <c r="B2" s="179" t="s">
        <v>114</v>
      </c>
      <c r="C2" s="151"/>
      <c r="D2" s="151"/>
      <c r="E2" s="151"/>
      <c r="F2" s="151"/>
      <c r="G2" s="151"/>
      <c r="H2" s="151"/>
      <c r="I2" s="151"/>
      <c r="Q2" s="180"/>
    </row>
    <row r="3" spans="2:17">
      <c r="B3" s="181"/>
      <c r="C3" s="181">
        <v>2014</v>
      </c>
      <c r="D3" s="181">
        <v>2015</v>
      </c>
      <c r="E3" s="181">
        <v>2016</v>
      </c>
      <c r="F3" s="181">
        <v>2017</v>
      </c>
      <c r="G3" s="181">
        <v>2018</v>
      </c>
      <c r="H3" s="181">
        <v>2019</v>
      </c>
      <c r="I3" s="181">
        <v>2020</v>
      </c>
      <c r="J3" s="181">
        <v>2021</v>
      </c>
      <c r="K3" s="180" t="s">
        <v>115</v>
      </c>
      <c r="L3" s="180" t="s">
        <v>42</v>
      </c>
      <c r="M3" s="180" t="s">
        <v>116</v>
      </c>
      <c r="N3" s="180">
        <v>2022</v>
      </c>
      <c r="O3" s="180" t="s">
        <v>117</v>
      </c>
      <c r="P3" s="180">
        <v>2023</v>
      </c>
      <c r="Q3" s="14">
        <v>2024</v>
      </c>
    </row>
    <row r="4" spans="2:17">
      <c r="B4" s="181" t="s">
        <v>118</v>
      </c>
      <c r="C4" s="182">
        <v>7.5</v>
      </c>
      <c r="D4" s="182">
        <v>33.1</v>
      </c>
      <c r="E4" s="182">
        <v>50.7</v>
      </c>
      <c r="F4" s="182">
        <v>77.7</v>
      </c>
      <c r="G4" s="182">
        <v>125.6</v>
      </c>
      <c r="H4" s="182">
        <v>120.6</v>
      </c>
      <c r="I4" s="182">
        <v>136.7</v>
      </c>
      <c r="J4" s="183">
        <v>352.1</v>
      </c>
      <c r="K4" s="184">
        <v>129.3</v>
      </c>
      <c r="L4" s="184">
        <v>260</v>
      </c>
      <c r="M4" s="185">
        <v>456.7</v>
      </c>
      <c r="N4" s="185">
        <v>688.7</v>
      </c>
      <c r="O4" s="185">
        <v>158.6</v>
      </c>
      <c r="P4" s="185">
        <v>949.5</v>
      </c>
      <c r="Q4" s="14">
        <v>1286.6</v>
      </c>
    </row>
    <row r="5" spans="2:17">
      <c r="B5" s="181" t="s">
        <v>29</v>
      </c>
      <c r="C5" s="186"/>
      <c r="D5" s="187">
        <f t="shared" ref="D5:J5" si="0">D4/C4-1</f>
        <v>3.41333333333333</v>
      </c>
      <c r="E5" s="187">
        <f t="shared" si="0"/>
        <v>0.531722054380665</v>
      </c>
      <c r="F5" s="187">
        <f t="shared" si="0"/>
        <v>0.532544378698225</v>
      </c>
      <c r="G5" s="187">
        <f t="shared" si="0"/>
        <v>0.616473616473616</v>
      </c>
      <c r="H5" s="187">
        <f t="shared" si="0"/>
        <v>-0.0398089171974523</v>
      </c>
      <c r="I5" s="187">
        <f t="shared" si="0"/>
        <v>0.133499170812604</v>
      </c>
      <c r="J5" s="187">
        <f t="shared" si="0"/>
        <v>1.57571324067301</v>
      </c>
      <c r="K5" s="187">
        <v>1.42</v>
      </c>
      <c r="L5" s="187">
        <v>1.2</v>
      </c>
      <c r="M5" s="188">
        <v>1.1</v>
      </c>
      <c r="N5" s="188">
        <v>0.934</v>
      </c>
      <c r="O5" s="188">
        <v>0.262</v>
      </c>
      <c r="P5" s="188">
        <f>P4/N4-1</f>
        <v>0.378684478002033</v>
      </c>
      <c r="Q5" s="188">
        <f>Q4/P4-1</f>
        <v>0.355028962611901</v>
      </c>
    </row>
    <row r="6" spans="2:17">
      <c r="B6" s="189" t="s">
        <v>119</v>
      </c>
      <c r="C6" s="151"/>
      <c r="D6" s="190">
        <v>24.7482</v>
      </c>
      <c r="E6" s="151">
        <v>40.9</v>
      </c>
      <c r="F6" s="151">
        <v>65.2</v>
      </c>
      <c r="G6" s="190">
        <v>79.1644</v>
      </c>
      <c r="H6" s="190">
        <v>83.0254</v>
      </c>
      <c r="I6" s="190">
        <v>95.898</v>
      </c>
      <c r="J6" s="190">
        <v>272.0897</v>
      </c>
      <c r="K6" s="190">
        <v>103.6</v>
      </c>
      <c r="L6" s="190">
        <v>192.77482</v>
      </c>
      <c r="M6" s="14">
        <v>357.8</v>
      </c>
      <c r="N6" s="14">
        <v>535.6</v>
      </c>
      <c r="O6" s="14">
        <v>115.2</v>
      </c>
      <c r="P6" s="14">
        <v>669.5</v>
      </c>
      <c r="Q6" s="14">
        <v>771.9</v>
      </c>
    </row>
    <row r="7" spans="2:17">
      <c r="B7" s="189" t="s">
        <v>120</v>
      </c>
      <c r="C7" s="151"/>
      <c r="D7" s="190">
        <f t="shared" ref="D7:L7" si="1">D4-D6</f>
        <v>8.3518</v>
      </c>
      <c r="E7" s="190">
        <f t="shared" si="1"/>
        <v>9.8</v>
      </c>
      <c r="F7" s="190">
        <f t="shared" si="1"/>
        <v>12.5</v>
      </c>
      <c r="G7" s="190">
        <f t="shared" si="1"/>
        <v>46.4356</v>
      </c>
      <c r="H7" s="190">
        <f t="shared" si="1"/>
        <v>37.5746</v>
      </c>
      <c r="I7" s="190">
        <f t="shared" si="1"/>
        <v>40.802</v>
      </c>
      <c r="J7" s="190">
        <f t="shared" si="1"/>
        <v>80.0103</v>
      </c>
      <c r="K7" s="190">
        <f t="shared" si="1"/>
        <v>25.7</v>
      </c>
      <c r="L7" s="190">
        <f t="shared" si="1"/>
        <v>67.22518</v>
      </c>
      <c r="M7" s="14">
        <v>98.7</v>
      </c>
      <c r="N7" s="14">
        <v>151.8</v>
      </c>
      <c r="O7" s="14">
        <v>43.3</v>
      </c>
      <c r="P7" s="14">
        <v>280.4</v>
      </c>
      <c r="Q7" s="14">
        <v>514.1</v>
      </c>
    </row>
    <row r="8" spans="2:17">
      <c r="B8" s="189" t="s">
        <v>121</v>
      </c>
      <c r="C8" s="191">
        <f t="shared" ref="C8:N8" si="2">C6/C4</f>
        <v>0</v>
      </c>
      <c r="D8" s="191">
        <f t="shared" si="2"/>
        <v>0.747679758308157</v>
      </c>
      <c r="E8" s="191">
        <f t="shared" si="2"/>
        <v>0.806706114398422</v>
      </c>
      <c r="F8" s="191">
        <f t="shared" si="2"/>
        <v>0.839124839124839</v>
      </c>
      <c r="G8" s="191">
        <f t="shared" si="2"/>
        <v>0.630289808917197</v>
      </c>
      <c r="H8" s="191">
        <f t="shared" si="2"/>
        <v>0.688436152570481</v>
      </c>
      <c r="I8" s="191">
        <f t="shared" si="2"/>
        <v>0.701521580102414</v>
      </c>
      <c r="J8" s="191">
        <f t="shared" si="2"/>
        <v>0.772762567452428</v>
      </c>
      <c r="K8" s="191">
        <f t="shared" si="2"/>
        <v>0.801237432327919</v>
      </c>
      <c r="L8" s="191">
        <f t="shared" si="2"/>
        <v>0.741441615384615</v>
      </c>
      <c r="M8" s="191">
        <f t="shared" si="2"/>
        <v>0.783446463761769</v>
      </c>
      <c r="N8" s="191">
        <f t="shared" si="2"/>
        <v>0.77769711049804</v>
      </c>
      <c r="O8" s="191">
        <v>0.73</v>
      </c>
      <c r="P8" s="191">
        <f>P6/P4</f>
        <v>0.705107951553449</v>
      </c>
      <c r="Q8" s="191">
        <f>Q6/Q4</f>
        <v>0.59995336545935</v>
      </c>
    </row>
    <row r="9" spans="2:17">
      <c r="B9" s="181" t="s">
        <v>122</v>
      </c>
      <c r="C9" s="192">
        <v>1970.06</v>
      </c>
      <c r="D9" s="192">
        <v>2114.63</v>
      </c>
      <c r="E9" s="186">
        <v>2437.69</v>
      </c>
      <c r="F9" s="186">
        <v>2471.83</v>
      </c>
      <c r="G9" s="186">
        <v>2370.98</v>
      </c>
      <c r="H9" s="186">
        <v>2144.42</v>
      </c>
      <c r="I9" s="186">
        <v>2017.77</v>
      </c>
      <c r="J9" s="186">
        <v>2148.15</v>
      </c>
      <c r="K9" s="186">
        <v>554.5</v>
      </c>
      <c r="L9" s="186">
        <v>1035.47</v>
      </c>
      <c r="M9" s="185">
        <v>1698.6</v>
      </c>
      <c r="N9" s="185">
        <v>2356.4</v>
      </c>
      <c r="O9" s="185">
        <v>513.8</v>
      </c>
      <c r="P9" s="185">
        <v>2606.3</v>
      </c>
      <c r="Q9" s="14">
        <v>2756.3</v>
      </c>
    </row>
    <row r="10" spans="2:17">
      <c r="B10" s="181" t="s">
        <v>29</v>
      </c>
      <c r="C10" s="192"/>
      <c r="D10" s="193">
        <f t="shared" ref="D10:I10" si="3">(D9-C9)/C9</f>
        <v>0.0733835517699969</v>
      </c>
      <c r="E10" s="193">
        <f t="shared" si="3"/>
        <v>0.152773771298052</v>
      </c>
      <c r="F10" s="193">
        <f t="shared" si="3"/>
        <v>0.0140050621695129</v>
      </c>
      <c r="G10" s="193">
        <f t="shared" si="3"/>
        <v>-0.0407997313731122</v>
      </c>
      <c r="H10" s="193">
        <f t="shared" si="3"/>
        <v>-0.0955554243393027</v>
      </c>
      <c r="I10" s="193">
        <f t="shared" si="3"/>
        <v>-0.0590602587179751</v>
      </c>
      <c r="J10" s="188">
        <f>J9/H9-1</f>
        <v>0.00173939806567747</v>
      </c>
      <c r="K10" s="188">
        <v>0.09</v>
      </c>
      <c r="L10" s="188">
        <v>0.0348</v>
      </c>
      <c r="M10" s="188">
        <v>0.142</v>
      </c>
      <c r="N10" s="188">
        <v>0.095</v>
      </c>
      <c r="O10" s="188">
        <v>-0.073</v>
      </c>
      <c r="P10" s="188">
        <f>P9/N9-1</f>
        <v>0.106051604141912</v>
      </c>
      <c r="Q10" s="188">
        <f>Q9/P9-1</f>
        <v>0.0575528527030655</v>
      </c>
    </row>
    <row r="11" spans="2:17">
      <c r="B11" s="181" t="s">
        <v>123</v>
      </c>
      <c r="C11" s="192">
        <v>2349.19</v>
      </c>
      <c r="D11" s="192">
        <v>2459.76</v>
      </c>
      <c r="E11" s="186">
        <v>2802.82</v>
      </c>
      <c r="F11" s="186">
        <v>2887.89</v>
      </c>
      <c r="G11" s="186">
        <v>2808.06</v>
      </c>
      <c r="H11" s="186">
        <v>2576.9</v>
      </c>
      <c r="I11" s="186">
        <v>2531.1</v>
      </c>
      <c r="J11" s="186">
        <v>2627.5</v>
      </c>
      <c r="K11" s="186">
        <v>650.9</v>
      </c>
      <c r="L11" s="186">
        <v>1205.7</v>
      </c>
      <c r="M11" s="185">
        <v>1947</v>
      </c>
      <c r="N11" s="185">
        <v>2686.4</v>
      </c>
      <c r="O11" s="185">
        <v>607.6</v>
      </c>
      <c r="P11" s="185">
        <v>3009.4</v>
      </c>
      <c r="Q11" s="14">
        <v>3143.6</v>
      </c>
    </row>
    <row r="12" spans="2:17">
      <c r="B12" s="181" t="s">
        <v>29</v>
      </c>
      <c r="C12" s="192"/>
      <c r="D12" s="193">
        <f t="shared" ref="D12:I12" si="4">(D11-C11)/C11</f>
        <v>0.0470672870223354</v>
      </c>
      <c r="E12" s="193">
        <f t="shared" si="4"/>
        <v>0.139468891273945</v>
      </c>
      <c r="F12" s="193">
        <f t="shared" si="4"/>
        <v>0.0303515744856964</v>
      </c>
      <c r="G12" s="193">
        <f t="shared" si="4"/>
        <v>-0.0276430196441</v>
      </c>
      <c r="H12" s="193">
        <f t="shared" si="4"/>
        <v>-0.0823201783437675</v>
      </c>
      <c r="I12" s="193">
        <f t="shared" si="4"/>
        <v>-0.0177732934921806</v>
      </c>
      <c r="J12" s="188">
        <f>J11/H11-1</f>
        <v>0.0196359967402693</v>
      </c>
      <c r="K12" s="188">
        <v>0.002</v>
      </c>
      <c r="L12" s="188">
        <v>-0.00647</v>
      </c>
      <c r="M12" s="188">
        <v>0.044</v>
      </c>
      <c r="N12" s="188">
        <v>0.021</v>
      </c>
      <c r="O12" s="188">
        <v>0.067</v>
      </c>
      <c r="P12" s="188">
        <f>P11/N11-1</f>
        <v>0.120235259082787</v>
      </c>
      <c r="Q12" s="188">
        <f>Q11/P11-1</f>
        <v>0.0445936066990098</v>
      </c>
    </row>
    <row r="13" spans="2:17">
      <c r="B13" s="181" t="s">
        <v>124</v>
      </c>
      <c r="C13" s="187">
        <f t="shared" ref="C13:Q13" si="5">C4/C11</f>
        <v>0.00319258978626676</v>
      </c>
      <c r="D13" s="187">
        <f t="shared" si="5"/>
        <v>0.0134565973916154</v>
      </c>
      <c r="E13" s="187">
        <f t="shared" si="5"/>
        <v>0.0180889247258119</v>
      </c>
      <c r="F13" s="187">
        <f t="shared" si="5"/>
        <v>0.0269054569252984</v>
      </c>
      <c r="G13" s="187">
        <f t="shared" si="5"/>
        <v>0.0447283889945372</v>
      </c>
      <c r="H13" s="187">
        <f t="shared" si="5"/>
        <v>0.0468004191082308</v>
      </c>
      <c r="I13" s="187">
        <f t="shared" si="5"/>
        <v>0.0540081387539015</v>
      </c>
      <c r="J13" s="187">
        <f t="shared" si="5"/>
        <v>0.134005708848716</v>
      </c>
      <c r="K13" s="187">
        <f t="shared" si="5"/>
        <v>0.198648025810416</v>
      </c>
      <c r="L13" s="187">
        <f t="shared" si="5"/>
        <v>0.21564236543087</v>
      </c>
      <c r="M13" s="187">
        <f t="shared" si="5"/>
        <v>0.234565998972779</v>
      </c>
      <c r="N13" s="187">
        <f t="shared" si="5"/>
        <v>0.256365396069089</v>
      </c>
      <c r="O13" s="187">
        <f t="shared" si="5"/>
        <v>0.261026991441738</v>
      </c>
      <c r="P13" s="187">
        <f t="shared" si="5"/>
        <v>0.315511397620788</v>
      </c>
      <c r="Q13" s="187">
        <f t="shared" si="5"/>
        <v>0.409275989311617</v>
      </c>
    </row>
    <row r="16" spans="2:17">
      <c r="B16" s="143" t="s">
        <v>125</v>
      </c>
      <c r="C16" s="143" t="s">
        <v>51</v>
      </c>
      <c r="D16" s="143" t="s">
        <v>52</v>
      </c>
      <c r="E16" s="143" t="s">
        <v>53</v>
      </c>
      <c r="F16" s="143" t="s">
        <v>54</v>
      </c>
      <c r="G16" s="143" t="s">
        <v>55</v>
      </c>
      <c r="H16" s="143" t="s">
        <v>56</v>
      </c>
      <c r="I16" s="143" t="s">
        <v>57</v>
      </c>
      <c r="J16" s="143" t="s">
        <v>58</v>
      </c>
      <c r="K16" s="143" t="s">
        <v>59</v>
      </c>
      <c r="L16" s="143" t="s">
        <v>60</v>
      </c>
      <c r="M16" s="143" t="s">
        <v>61</v>
      </c>
      <c r="N16" s="143" t="s">
        <v>62</v>
      </c>
      <c r="O16" s="143" t="s">
        <v>63</v>
      </c>
    </row>
    <row r="17" spans="2:20">
      <c r="B17" s="144">
        <v>2018</v>
      </c>
      <c r="C17" s="151">
        <v>3.847</v>
      </c>
      <c r="D17" s="151">
        <v>3.442</v>
      </c>
      <c r="E17" s="151">
        <v>6.7778</v>
      </c>
      <c r="F17" s="151">
        <v>8.1904</v>
      </c>
      <c r="G17" s="151">
        <v>10.2</v>
      </c>
      <c r="H17" s="151">
        <v>8.4</v>
      </c>
      <c r="I17" s="151">
        <v>8.4</v>
      </c>
      <c r="J17" s="151">
        <v>10.1</v>
      </c>
      <c r="K17" s="151">
        <v>12.1</v>
      </c>
      <c r="L17" s="151">
        <v>13.8</v>
      </c>
      <c r="M17" s="151">
        <v>16.9</v>
      </c>
      <c r="N17" s="151">
        <v>22.5</v>
      </c>
      <c r="O17" s="146">
        <f>SUM(C17:N17)</f>
        <v>124.6572</v>
      </c>
    </row>
    <row r="18" spans="2:20">
      <c r="B18" s="144">
        <v>2019</v>
      </c>
      <c r="C18" s="151">
        <v>9.6</v>
      </c>
      <c r="D18" s="151">
        <v>5.3</v>
      </c>
      <c r="E18" s="151">
        <v>12.6</v>
      </c>
      <c r="F18" s="151">
        <v>9.7</v>
      </c>
      <c r="G18" s="151">
        <v>10.4</v>
      </c>
      <c r="H18" s="151">
        <v>15.2</v>
      </c>
      <c r="I18" s="151">
        <v>8</v>
      </c>
      <c r="J18" s="151">
        <v>8.5</v>
      </c>
      <c r="K18" s="151">
        <v>8</v>
      </c>
      <c r="L18" s="151">
        <v>7.5</v>
      </c>
      <c r="M18" s="151">
        <v>9.5</v>
      </c>
      <c r="N18" s="151">
        <v>16.3</v>
      </c>
      <c r="O18" s="148">
        <f>SUM(C18:N18)</f>
        <v>120.6</v>
      </c>
    </row>
    <row r="19" spans="2:20">
      <c r="B19" s="151" t="s">
        <v>69</v>
      </c>
      <c r="C19" s="191">
        <f t="shared" ref="C19:O19" si="6">C18/C17-1</f>
        <v>1.49545100077983</v>
      </c>
      <c r="D19" s="191">
        <f t="shared" si="6"/>
        <v>0.539802440441604</v>
      </c>
      <c r="E19" s="191">
        <f t="shared" si="6"/>
        <v>0.859010298326891</v>
      </c>
      <c r="F19" s="191">
        <f t="shared" si="6"/>
        <v>0.184313342449697</v>
      </c>
      <c r="G19" s="191">
        <f t="shared" si="6"/>
        <v>0.0196078431372551</v>
      </c>
      <c r="H19" s="191">
        <f t="shared" si="6"/>
        <v>0.809523809523809</v>
      </c>
      <c r="I19" s="191">
        <f t="shared" si="6"/>
        <v>-0.0476190476190477</v>
      </c>
      <c r="J19" s="191">
        <f t="shared" si="6"/>
        <v>-0.158415841584158</v>
      </c>
      <c r="K19" s="191">
        <f t="shared" si="6"/>
        <v>-0.338842975206612</v>
      </c>
      <c r="L19" s="191">
        <f t="shared" si="6"/>
        <v>-0.456521739130435</v>
      </c>
      <c r="M19" s="191">
        <f t="shared" si="6"/>
        <v>-0.437869822485207</v>
      </c>
      <c r="N19" s="191">
        <f t="shared" si="6"/>
        <v>-0.275555555555556</v>
      </c>
      <c r="O19" s="191">
        <f t="shared" si="6"/>
        <v>-0.0325468564992636</v>
      </c>
    </row>
    <row r="20" spans="2:20">
      <c r="B20" s="151" t="s">
        <v>64</v>
      </c>
      <c r="C20" s="151"/>
      <c r="D20" s="191">
        <f t="shared" ref="D20:N20" si="7">D18/C18-1</f>
        <v>-0.447916666666667</v>
      </c>
      <c r="E20" s="191">
        <f t="shared" si="7"/>
        <v>1.37735849056604</v>
      </c>
      <c r="F20" s="191">
        <f t="shared" si="7"/>
        <v>-0.23015873015873</v>
      </c>
      <c r="G20" s="191">
        <f t="shared" si="7"/>
        <v>0.0721649484536084</v>
      </c>
      <c r="H20" s="191">
        <f t="shared" si="7"/>
        <v>0.461538461538461</v>
      </c>
      <c r="I20" s="191">
        <f t="shared" si="7"/>
        <v>-0.473684210526316</v>
      </c>
      <c r="J20" s="191">
        <f t="shared" si="7"/>
        <v>0.0625</v>
      </c>
      <c r="K20" s="191">
        <f t="shared" si="7"/>
        <v>-0.0588235294117647</v>
      </c>
      <c r="L20" s="191">
        <f t="shared" si="7"/>
        <v>-0.0625</v>
      </c>
      <c r="M20" s="191">
        <f t="shared" si="7"/>
        <v>0.266666666666667</v>
      </c>
      <c r="N20" s="191">
        <f t="shared" si="7"/>
        <v>0.715789473684211</v>
      </c>
      <c r="O20" s="148"/>
    </row>
    <row r="21" spans="2:20">
      <c r="B21" s="144">
        <v>2020</v>
      </c>
      <c r="C21" s="151">
        <v>4.4</v>
      </c>
      <c r="D21" s="151">
        <v>1.2908</v>
      </c>
      <c r="E21" s="151">
        <v>5.3</v>
      </c>
      <c r="F21" s="151">
        <v>7.2</v>
      </c>
      <c r="G21" s="151">
        <v>8.2</v>
      </c>
      <c r="H21" s="151">
        <v>10.4</v>
      </c>
      <c r="I21" s="151">
        <v>9.8</v>
      </c>
      <c r="J21" s="151">
        <v>10.9</v>
      </c>
      <c r="K21" s="151">
        <v>13.8</v>
      </c>
      <c r="L21" s="151">
        <v>16</v>
      </c>
      <c r="M21" s="151">
        <v>20</v>
      </c>
      <c r="N21" s="151">
        <v>24.8</v>
      </c>
      <c r="O21" s="146">
        <f>SUM(C21:N21)</f>
        <v>132.0908</v>
      </c>
      <c r="S21" s="151"/>
      <c r="T21" s="194"/>
    </row>
    <row r="22" spans="2:20">
      <c r="B22" s="151" t="s">
        <v>69</v>
      </c>
      <c r="C22" s="191">
        <f t="shared" ref="C22:O22" si="8">C21/C18-1</f>
        <v>-0.541666666666667</v>
      </c>
      <c r="D22" s="191">
        <f t="shared" si="8"/>
        <v>-0.756452830188679</v>
      </c>
      <c r="E22" s="191">
        <f t="shared" si="8"/>
        <v>-0.579365079365079</v>
      </c>
      <c r="F22" s="191">
        <f t="shared" si="8"/>
        <v>-0.257731958762887</v>
      </c>
      <c r="G22" s="191">
        <f t="shared" si="8"/>
        <v>-0.211538461538462</v>
      </c>
      <c r="H22" s="191">
        <f t="shared" si="8"/>
        <v>-0.315789473684211</v>
      </c>
      <c r="I22" s="191">
        <f t="shared" si="8"/>
        <v>0.225</v>
      </c>
      <c r="J22" s="191">
        <f t="shared" si="8"/>
        <v>0.282352941176471</v>
      </c>
      <c r="K22" s="191">
        <f t="shared" si="8"/>
        <v>0.725</v>
      </c>
      <c r="L22" s="191">
        <f t="shared" si="8"/>
        <v>1.13333333333333</v>
      </c>
      <c r="M22" s="191">
        <f t="shared" si="8"/>
        <v>1.10526315789474</v>
      </c>
      <c r="N22" s="191">
        <f t="shared" si="8"/>
        <v>0.521472392638037</v>
      </c>
      <c r="O22" s="191">
        <f t="shared" si="8"/>
        <v>0.0952802653399669</v>
      </c>
      <c r="S22" s="151"/>
      <c r="T22" s="194"/>
    </row>
    <row r="23" spans="2:20">
      <c r="B23" s="151" t="s">
        <v>64</v>
      </c>
      <c r="C23" s="151"/>
      <c r="D23" s="191">
        <f t="shared" ref="D23:N23" si="9">D21/C21-1</f>
        <v>-0.706636363636364</v>
      </c>
      <c r="E23" s="191">
        <f t="shared" si="9"/>
        <v>3.10598078710877</v>
      </c>
      <c r="F23" s="191">
        <f t="shared" si="9"/>
        <v>0.358490566037736</v>
      </c>
      <c r="G23" s="191">
        <f t="shared" si="9"/>
        <v>0.138888888888889</v>
      </c>
      <c r="H23" s="191">
        <f t="shared" si="9"/>
        <v>0.26829268292683</v>
      </c>
      <c r="I23" s="191">
        <f t="shared" si="9"/>
        <v>-0.0576923076923077</v>
      </c>
      <c r="J23" s="191">
        <f t="shared" si="9"/>
        <v>0.112244897959184</v>
      </c>
      <c r="K23" s="191">
        <f t="shared" si="9"/>
        <v>0.26605504587156</v>
      </c>
      <c r="L23" s="191">
        <f t="shared" si="9"/>
        <v>0.159420289855073</v>
      </c>
      <c r="M23" s="191">
        <f t="shared" si="9"/>
        <v>0.25</v>
      </c>
      <c r="N23" s="191">
        <f t="shared" si="9"/>
        <v>0.24</v>
      </c>
      <c r="O23" s="148"/>
      <c r="S23" s="151"/>
      <c r="T23" s="194"/>
    </row>
    <row r="24" spans="2:20">
      <c r="B24" s="144">
        <v>2021</v>
      </c>
      <c r="C24" s="151">
        <v>17.9</v>
      </c>
      <c r="D24" s="151">
        <v>11</v>
      </c>
      <c r="E24" s="151">
        <v>22.6</v>
      </c>
      <c r="F24" s="151">
        <v>20.6</v>
      </c>
      <c r="G24" s="151">
        <v>21.7</v>
      </c>
      <c r="H24" s="151">
        <v>25.6</v>
      </c>
      <c r="I24" s="151">
        <v>27.1</v>
      </c>
      <c r="J24" s="151">
        <v>32.1</v>
      </c>
      <c r="K24" s="151">
        <v>35.7</v>
      </c>
      <c r="L24" s="151">
        <v>38.3</v>
      </c>
      <c r="M24" s="151">
        <v>45</v>
      </c>
      <c r="N24" s="151">
        <v>53.1</v>
      </c>
      <c r="O24" s="148">
        <f>SUM(C24:N24)</f>
        <v>350.7</v>
      </c>
      <c r="S24" s="151"/>
      <c r="T24" s="194"/>
    </row>
    <row r="25" spans="2:20">
      <c r="B25" s="151" t="s">
        <v>69</v>
      </c>
      <c r="C25" s="191">
        <f t="shared" ref="C25:O25" si="10">C24/C21-1</f>
        <v>3.06818181818182</v>
      </c>
      <c r="D25" s="191">
        <f t="shared" si="10"/>
        <v>7.52184691664084</v>
      </c>
      <c r="E25" s="191">
        <f t="shared" si="10"/>
        <v>3.26415094339623</v>
      </c>
      <c r="F25" s="191">
        <f t="shared" si="10"/>
        <v>1.86111111111111</v>
      </c>
      <c r="G25" s="191">
        <f t="shared" si="10"/>
        <v>1.64634146341463</v>
      </c>
      <c r="H25" s="191">
        <f t="shared" si="10"/>
        <v>1.46153846153846</v>
      </c>
      <c r="I25" s="191">
        <f t="shared" si="10"/>
        <v>1.76530612244898</v>
      </c>
      <c r="J25" s="191">
        <f t="shared" si="10"/>
        <v>1.94495412844037</v>
      </c>
      <c r="K25" s="191">
        <f t="shared" si="10"/>
        <v>1.58695652173913</v>
      </c>
      <c r="L25" s="191">
        <f t="shared" si="10"/>
        <v>1.39375</v>
      </c>
      <c r="M25" s="191">
        <f t="shared" si="10"/>
        <v>1.25</v>
      </c>
      <c r="N25" s="191">
        <f t="shared" si="10"/>
        <v>1.14112903225806</v>
      </c>
      <c r="O25" s="191">
        <f t="shared" si="10"/>
        <v>1.65499186922935</v>
      </c>
      <c r="S25" s="151"/>
      <c r="T25" s="194"/>
    </row>
    <row r="26" spans="2:20">
      <c r="B26" s="151" t="s">
        <v>64</v>
      </c>
      <c r="C26" s="151"/>
      <c r="D26" s="191">
        <f t="shared" ref="D26:N26" si="11">D24/C24-1</f>
        <v>-0.385474860335196</v>
      </c>
      <c r="E26" s="191">
        <f t="shared" si="11"/>
        <v>1.05454545454545</v>
      </c>
      <c r="F26" s="191">
        <f t="shared" si="11"/>
        <v>-0.088495575221239</v>
      </c>
      <c r="G26" s="191">
        <f t="shared" si="11"/>
        <v>0.0533980582524272</v>
      </c>
      <c r="H26" s="191">
        <f t="shared" si="11"/>
        <v>0.179723502304147</v>
      </c>
      <c r="I26" s="191">
        <f t="shared" si="11"/>
        <v>0.05859375</v>
      </c>
      <c r="J26" s="191">
        <f t="shared" si="11"/>
        <v>0.18450184501845</v>
      </c>
      <c r="K26" s="191">
        <f t="shared" si="11"/>
        <v>0.11214953271028</v>
      </c>
      <c r="L26" s="191">
        <f t="shared" si="11"/>
        <v>0.0728291316526608</v>
      </c>
      <c r="M26" s="191">
        <f t="shared" si="11"/>
        <v>0.174934725848564</v>
      </c>
      <c r="N26" s="191">
        <f t="shared" si="11"/>
        <v>0.18</v>
      </c>
      <c r="O26" s="148"/>
      <c r="S26" s="151"/>
      <c r="T26" s="194"/>
    </row>
    <row r="27" spans="2:20">
      <c r="B27" s="144">
        <v>2022</v>
      </c>
      <c r="C27" s="194">
        <v>43.1</v>
      </c>
      <c r="D27" s="194">
        <v>33.4</v>
      </c>
      <c r="E27" s="194">
        <v>48.4</v>
      </c>
      <c r="F27" s="194">
        <v>29.9</v>
      </c>
      <c r="G27" s="194">
        <v>44.7</v>
      </c>
      <c r="H27" s="194">
        <v>59.6</v>
      </c>
      <c r="I27" s="194">
        <v>59.3</v>
      </c>
      <c r="J27" s="195">
        <v>66.6</v>
      </c>
      <c r="K27" s="195">
        <v>70.8</v>
      </c>
      <c r="L27" s="195">
        <v>71.4</v>
      </c>
      <c r="M27" s="195">
        <v>78.6</v>
      </c>
      <c r="N27" s="195">
        <v>81.4</v>
      </c>
      <c r="O27" s="148">
        <f>SUM(C27:N27)</f>
        <v>687.2</v>
      </c>
      <c r="S27" s="151"/>
      <c r="T27" s="194"/>
    </row>
    <row r="28" spans="2:20">
      <c r="B28" s="151" t="s">
        <v>69</v>
      </c>
      <c r="C28" s="191">
        <f t="shared" ref="C28:O28" si="12">C27/C24-1</f>
        <v>1.40782122905028</v>
      </c>
      <c r="D28" s="191">
        <f t="shared" si="12"/>
        <v>2.03636363636364</v>
      </c>
      <c r="E28" s="191">
        <f t="shared" si="12"/>
        <v>1.14159292035398</v>
      </c>
      <c r="F28" s="191">
        <f t="shared" si="12"/>
        <v>0.451456310679611</v>
      </c>
      <c r="G28" s="191">
        <f t="shared" si="12"/>
        <v>1.05990783410138</v>
      </c>
      <c r="H28" s="191">
        <f t="shared" si="12"/>
        <v>1.328125</v>
      </c>
      <c r="I28" s="191">
        <f t="shared" si="12"/>
        <v>1.18819188191882</v>
      </c>
      <c r="J28" s="191">
        <f t="shared" si="12"/>
        <v>1.07476635514019</v>
      </c>
      <c r="K28" s="191">
        <f t="shared" si="12"/>
        <v>0.983193277310924</v>
      </c>
      <c r="L28" s="191">
        <f t="shared" si="12"/>
        <v>0.864229765013055</v>
      </c>
      <c r="M28" s="191">
        <f t="shared" si="12"/>
        <v>0.746666666666667</v>
      </c>
      <c r="N28" s="191">
        <f t="shared" si="12"/>
        <v>0.532956685499058</v>
      </c>
      <c r="O28" s="191">
        <f t="shared" si="12"/>
        <v>0.959509552323923</v>
      </c>
      <c r="S28" s="151"/>
      <c r="T28" s="195"/>
    </row>
    <row r="29" spans="2:20">
      <c r="B29" s="151" t="s">
        <v>64</v>
      </c>
      <c r="C29" s="151"/>
      <c r="D29" s="191">
        <f t="shared" ref="D29:L29" si="13">D27/C27-1</f>
        <v>-0.225058004640371</v>
      </c>
      <c r="E29" s="191">
        <f t="shared" si="13"/>
        <v>0.449101796407186</v>
      </c>
      <c r="F29" s="191">
        <f t="shared" si="13"/>
        <v>-0.382231404958678</v>
      </c>
      <c r="G29" s="191">
        <f t="shared" si="13"/>
        <v>0.494983277591973</v>
      </c>
      <c r="H29" s="191">
        <f t="shared" si="13"/>
        <v>0.333333333333333</v>
      </c>
      <c r="I29" s="191">
        <f t="shared" si="13"/>
        <v>-0.00503355704697994</v>
      </c>
      <c r="J29" s="191">
        <f t="shared" si="13"/>
        <v>0.123102866779089</v>
      </c>
      <c r="K29" s="191">
        <f t="shared" si="13"/>
        <v>0.0630630630630631</v>
      </c>
      <c r="L29" s="191">
        <f t="shared" si="13"/>
        <v>0.00847457627118664</v>
      </c>
      <c r="M29" s="191">
        <v>0.1</v>
      </c>
      <c r="N29" s="191">
        <v>0.1</v>
      </c>
      <c r="O29" s="196"/>
      <c r="Q29" s="197"/>
      <c r="S29" s="151"/>
      <c r="T29" s="195"/>
    </row>
    <row r="30" spans="2:20">
      <c r="B30" s="144">
        <v>2023</v>
      </c>
      <c r="C30" s="180">
        <v>40.8</v>
      </c>
      <c r="D30" s="180">
        <v>52.5</v>
      </c>
      <c r="E30" s="180">
        <v>65.3</v>
      </c>
      <c r="F30" s="180">
        <v>63.6</v>
      </c>
      <c r="G30" s="180">
        <v>71.7</v>
      </c>
      <c r="H30" s="180">
        <v>80.6</v>
      </c>
      <c r="I30" s="180">
        <v>78</v>
      </c>
      <c r="J30" s="150">
        <v>84.6</v>
      </c>
      <c r="K30" s="150">
        <v>90.4</v>
      </c>
      <c r="L30" s="150">
        <v>95.6</v>
      </c>
      <c r="M30" s="150">
        <v>102.6</v>
      </c>
      <c r="N30" s="150">
        <v>119.1</v>
      </c>
      <c r="O30" s="148">
        <f>SUM(C30:N30)</f>
        <v>944.8</v>
      </c>
      <c r="P30" s="14" t="s">
        <v>126</v>
      </c>
      <c r="Q30" s="197"/>
      <c r="S30" s="151"/>
      <c r="T30" s="195"/>
    </row>
    <row r="31" ht="15" customHeight="1" spans="2:20">
      <c r="B31" s="151" t="s">
        <v>69</v>
      </c>
      <c r="C31" s="191">
        <f>C30/C27-1</f>
        <v>-0.0533642691415315</v>
      </c>
      <c r="D31" s="191">
        <f>D30/D27-1</f>
        <v>0.57185628742515</v>
      </c>
      <c r="E31" s="191">
        <f t="shared" ref="E31:O31" si="14">E30/E27-1</f>
        <v>0.349173553719008</v>
      </c>
      <c r="F31" s="191">
        <f t="shared" si="14"/>
        <v>1.12709030100334</v>
      </c>
      <c r="G31" s="191">
        <f t="shared" si="14"/>
        <v>0.604026845637584</v>
      </c>
      <c r="H31" s="191">
        <f t="shared" si="14"/>
        <v>0.35234899328859</v>
      </c>
      <c r="I31" s="191">
        <f t="shared" si="14"/>
        <v>0.315345699831366</v>
      </c>
      <c r="J31" s="191">
        <f t="shared" si="14"/>
        <v>0.27027027027027</v>
      </c>
      <c r="K31" s="191">
        <f t="shared" si="14"/>
        <v>0.276836158192091</v>
      </c>
      <c r="L31" s="191">
        <f t="shared" si="14"/>
        <v>0.338935574229692</v>
      </c>
      <c r="M31" s="191">
        <f t="shared" si="14"/>
        <v>0.305343511450382</v>
      </c>
      <c r="N31" s="191">
        <f t="shared" si="14"/>
        <v>0.463144963144963</v>
      </c>
      <c r="O31" s="191">
        <f t="shared" si="14"/>
        <v>0.374854481955762</v>
      </c>
      <c r="Q31" s="197"/>
      <c r="S31" s="151"/>
      <c r="T31" s="195"/>
    </row>
    <row r="32" spans="2:20">
      <c r="B32" s="151" t="s">
        <v>64</v>
      </c>
      <c r="C32" s="198">
        <f>C30/N27-1</f>
        <v>-0.498771498771499</v>
      </c>
      <c r="D32" s="191">
        <f>D30/C30-1</f>
        <v>0.286764705882353</v>
      </c>
      <c r="E32" s="191">
        <f t="shared" ref="E32:M32" si="15">E30/D30-1</f>
        <v>0.243809523809524</v>
      </c>
      <c r="F32" s="191">
        <f t="shared" si="15"/>
        <v>-0.0260336906584991</v>
      </c>
      <c r="G32" s="191">
        <f t="shared" si="15"/>
        <v>0.127358490566038</v>
      </c>
      <c r="H32" s="191">
        <f t="shared" si="15"/>
        <v>0.124128312412831</v>
      </c>
      <c r="I32" s="191">
        <f t="shared" si="15"/>
        <v>-0.032258064516129</v>
      </c>
      <c r="J32" s="191">
        <f t="shared" si="15"/>
        <v>0.0846153846153845</v>
      </c>
      <c r="K32" s="191">
        <f t="shared" si="15"/>
        <v>0.0685579196217496</v>
      </c>
      <c r="L32" s="191">
        <f t="shared" si="15"/>
        <v>0.0575221238938053</v>
      </c>
      <c r="M32" s="191">
        <f t="shared" si="15"/>
        <v>0.0732217573221758</v>
      </c>
      <c r="N32" s="191">
        <v>0.160818713450292</v>
      </c>
      <c r="O32" s="196"/>
      <c r="Q32" s="197"/>
      <c r="S32" s="151"/>
      <c r="T32" s="195"/>
    </row>
    <row r="33" spans="2:16">
      <c r="B33" s="144">
        <v>2024</v>
      </c>
      <c r="C33" s="180">
        <v>72.9</v>
      </c>
      <c r="D33" s="180">
        <f>47.7</f>
        <v>47.7</v>
      </c>
      <c r="E33" s="180">
        <v>88.3</v>
      </c>
      <c r="F33" s="180">
        <v>85</v>
      </c>
      <c r="G33" s="180">
        <v>95.5</v>
      </c>
      <c r="H33" s="180">
        <v>104.9</v>
      </c>
      <c r="I33" s="180">
        <v>99.1</v>
      </c>
      <c r="J33" s="150">
        <v>110</v>
      </c>
      <c r="K33" s="150">
        <v>128.7</v>
      </c>
      <c r="L33" s="150">
        <v>143</v>
      </c>
      <c r="M33" s="150">
        <v>151.2</v>
      </c>
      <c r="N33" s="150">
        <v>159.6</v>
      </c>
      <c r="O33" s="148">
        <f>SUM(C33:N33)</f>
        <v>1285.9</v>
      </c>
    </row>
    <row r="34" spans="2:16">
      <c r="B34" s="151" t="s">
        <v>69</v>
      </c>
      <c r="C34" s="191">
        <f>C33/C30-1</f>
        <v>0.786764705882353</v>
      </c>
      <c r="D34" s="191">
        <f t="shared" ref="D34:K34" si="16">D33/D30-1</f>
        <v>-0.0914285714285714</v>
      </c>
      <c r="E34" s="191">
        <f t="shared" si="16"/>
        <v>0.352220520673813</v>
      </c>
      <c r="F34" s="191">
        <f t="shared" si="16"/>
        <v>0.336477987421384</v>
      </c>
      <c r="G34" s="191">
        <f t="shared" si="16"/>
        <v>0.331938633193863</v>
      </c>
      <c r="H34" s="191">
        <f t="shared" si="16"/>
        <v>0.301488833746898</v>
      </c>
      <c r="I34" s="191">
        <f t="shared" si="16"/>
        <v>0.27051282051282</v>
      </c>
      <c r="J34" s="191">
        <f t="shared" si="16"/>
        <v>0.300236406619385</v>
      </c>
      <c r="K34" s="191">
        <f t="shared" si="16"/>
        <v>0.423672566371681</v>
      </c>
      <c r="L34" s="191">
        <f t="shared" ref="L34:O34" si="17">L33/L30-1</f>
        <v>0.49581589958159</v>
      </c>
      <c r="M34" s="191">
        <f t="shared" si="17"/>
        <v>0.473684210526316</v>
      </c>
      <c r="N34" s="191">
        <f t="shared" si="17"/>
        <v>0.340050377833753</v>
      </c>
      <c r="O34" s="191">
        <f t="shared" si="17"/>
        <v>0.361028789161727</v>
      </c>
      <c r="P34" s="14" t="s">
        <v>127</v>
      </c>
    </row>
    <row r="35" spans="2:16">
      <c r="B35" s="151" t="s">
        <v>64</v>
      </c>
      <c r="C35" s="198">
        <f>C33/N30-1</f>
        <v>-0.387909319899244</v>
      </c>
      <c r="D35" s="191">
        <f>D33/C33-1</f>
        <v>-0.345679012345679</v>
      </c>
      <c r="E35" s="191">
        <f t="shared" ref="E35:N35" si="18">E33/D33-1</f>
        <v>0.851153039832285</v>
      </c>
      <c r="F35" s="191">
        <f t="shared" si="18"/>
        <v>-0.0373725934314836</v>
      </c>
      <c r="G35" s="191">
        <f t="shared" si="18"/>
        <v>0.123529411764706</v>
      </c>
      <c r="H35" s="191">
        <f t="shared" si="18"/>
        <v>0.0984293193717278</v>
      </c>
      <c r="I35" s="191">
        <f t="shared" si="18"/>
        <v>-0.0552907530981889</v>
      </c>
      <c r="J35" s="191">
        <f t="shared" si="18"/>
        <v>0.109989909182644</v>
      </c>
      <c r="K35" s="191">
        <f t="shared" si="18"/>
        <v>0.17</v>
      </c>
      <c r="L35" s="191">
        <f t="shared" si="18"/>
        <v>0.111111111111111</v>
      </c>
      <c r="M35" s="191">
        <f t="shared" si="18"/>
        <v>0.0573426573426572</v>
      </c>
      <c r="N35" s="191">
        <f t="shared" si="18"/>
        <v>0.0555555555555556</v>
      </c>
      <c r="O35" s="196"/>
    </row>
    <row r="36" spans="2:16">
      <c r="B36" s="144">
        <v>2025</v>
      </c>
      <c r="C36" s="180">
        <v>94.4</v>
      </c>
      <c r="D36" s="180">
        <v>89.2</v>
      </c>
      <c r="E36" s="180">
        <v>123.7</v>
      </c>
      <c r="F36" s="180">
        <v>122.6</v>
      </c>
      <c r="G36" s="180"/>
      <c r="H36" s="180"/>
      <c r="I36" s="180"/>
      <c r="J36" s="150"/>
      <c r="K36" s="150"/>
      <c r="L36" s="150"/>
      <c r="M36" s="150"/>
      <c r="N36" s="150"/>
      <c r="O36" s="148"/>
    </row>
    <row r="37" spans="2:16">
      <c r="B37" s="151" t="s">
        <v>69</v>
      </c>
      <c r="C37" s="191">
        <f>C36/C33-1</f>
        <v>0.294924554183813</v>
      </c>
      <c r="D37" s="191">
        <f t="shared" ref="D37:F37" si="19">D36/D33-1</f>
        <v>0.870020964360587</v>
      </c>
      <c r="E37" s="191">
        <f t="shared" si="19"/>
        <v>0.400906002265006</v>
      </c>
      <c r="F37" s="191">
        <f t="shared" si="19"/>
        <v>0.442352941176471</v>
      </c>
      <c r="G37" s="191"/>
      <c r="H37" s="191"/>
      <c r="I37" s="191"/>
      <c r="J37" s="191"/>
      <c r="K37" s="191"/>
      <c r="L37" s="191"/>
      <c r="M37" s="191"/>
      <c r="N37" s="191"/>
      <c r="O37" s="191"/>
    </row>
    <row r="38" spans="2:16">
      <c r="B38" s="151" t="s">
        <v>64</v>
      </c>
      <c r="C38" s="198">
        <f>C36/N33-1</f>
        <v>-0.408521303258145</v>
      </c>
      <c r="D38" s="191">
        <f>D36/C36-1</f>
        <v>-0.0550847457627119</v>
      </c>
      <c r="E38" s="191">
        <f>E36/D36-1</f>
        <v>0.386771300448431</v>
      </c>
      <c r="F38" s="191">
        <f>F36/E36-1</f>
        <v>-0.00889248181083269</v>
      </c>
      <c r="G38" s="191"/>
      <c r="H38" s="191"/>
      <c r="I38" s="191"/>
      <c r="J38" s="191"/>
      <c r="K38" s="191"/>
      <c r="L38" s="191"/>
      <c r="M38" s="191"/>
      <c r="N38" s="191"/>
      <c r="O38" s="196"/>
    </row>
    <row r="39" spans="2:16">
      <c r="B39" s="144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</row>
    <row r="40" spans="2:16">
      <c r="B40" s="143" t="s">
        <v>128</v>
      </c>
      <c r="C40" s="143" t="s">
        <v>51</v>
      </c>
      <c r="D40" s="143" t="s">
        <v>52</v>
      </c>
      <c r="E40" s="143" t="s">
        <v>53</v>
      </c>
      <c r="F40" s="143" t="s">
        <v>54</v>
      </c>
      <c r="G40" s="143" t="s">
        <v>55</v>
      </c>
      <c r="H40" s="143" t="s">
        <v>56</v>
      </c>
      <c r="I40" s="143" t="s">
        <v>57</v>
      </c>
      <c r="J40" s="143" t="s">
        <v>58</v>
      </c>
      <c r="K40" s="143" t="s">
        <v>59</v>
      </c>
      <c r="L40" s="143" t="s">
        <v>60</v>
      </c>
      <c r="M40" s="143" t="s">
        <v>61</v>
      </c>
      <c r="N40" s="143" t="s">
        <v>62</v>
      </c>
      <c r="O40" s="143" t="s">
        <v>63</v>
      </c>
    </row>
    <row r="41" spans="2:16">
      <c r="B41" s="144">
        <v>2018</v>
      </c>
      <c r="C41" s="8">
        <v>280.9211</v>
      </c>
      <c r="D41" s="8">
        <v>171.7603</v>
      </c>
      <c r="E41" s="8">
        <v>265.6259</v>
      </c>
      <c r="F41" s="8">
        <v>231.8552</v>
      </c>
      <c r="G41" s="8">
        <v>228.7706</v>
      </c>
      <c r="H41" s="8">
        <v>227.3669</v>
      </c>
      <c r="I41" s="8">
        <v>188.9115</v>
      </c>
      <c r="J41" s="8">
        <v>210.3359</v>
      </c>
      <c r="K41" s="8">
        <v>239.4062</v>
      </c>
      <c r="L41" s="8">
        <v>238.0127</v>
      </c>
      <c r="M41" s="8">
        <v>254.7819</v>
      </c>
      <c r="N41" s="8">
        <v>266.1465</v>
      </c>
      <c r="O41" s="146">
        <f>SUM(C41:N41)</f>
        <v>2803.8947</v>
      </c>
    </row>
    <row r="42" spans="2:16">
      <c r="B42" s="144">
        <v>2019</v>
      </c>
      <c r="C42" s="8">
        <v>236.7278</v>
      </c>
      <c r="D42" s="8">
        <v>148.1602</v>
      </c>
      <c r="E42" s="8">
        <v>252.0013</v>
      </c>
      <c r="F42" s="8">
        <v>198.0497</v>
      </c>
      <c r="G42" s="8">
        <v>191.2565</v>
      </c>
      <c r="H42" s="8">
        <v>205.6446</v>
      </c>
      <c r="I42" s="8">
        <v>180.8472</v>
      </c>
      <c r="J42" s="8">
        <v>195.7572</v>
      </c>
      <c r="K42" s="8">
        <v>227.0682</v>
      </c>
      <c r="L42" s="8">
        <v>228.417</v>
      </c>
      <c r="M42" s="8">
        <v>245.6879</v>
      </c>
      <c r="N42" s="8">
        <v>265.8306</v>
      </c>
      <c r="O42" s="148">
        <f>SUM(C42:N42)</f>
        <v>2575.4482</v>
      </c>
    </row>
    <row r="43" spans="2:16">
      <c r="B43" s="151" t="s">
        <v>69</v>
      </c>
      <c r="C43" s="191">
        <f t="shared" ref="C43:O43" si="20">C42/C41-1</f>
        <v>-0.157315701810936</v>
      </c>
      <c r="D43" s="191">
        <f t="shared" si="20"/>
        <v>-0.137401366904925</v>
      </c>
      <c r="E43" s="191">
        <f t="shared" si="20"/>
        <v>-0.0512924379738573</v>
      </c>
      <c r="F43" s="191">
        <f t="shared" si="20"/>
        <v>-0.145804364103113</v>
      </c>
      <c r="G43" s="191">
        <f t="shared" si="20"/>
        <v>-0.163981298296197</v>
      </c>
      <c r="H43" s="191">
        <f t="shared" si="20"/>
        <v>-0.0955385326536096</v>
      </c>
      <c r="I43" s="191">
        <f t="shared" si="20"/>
        <v>-0.0426882429073931</v>
      </c>
      <c r="J43" s="191">
        <f t="shared" si="20"/>
        <v>-0.0693115155330117</v>
      </c>
      <c r="K43" s="191">
        <f t="shared" si="20"/>
        <v>-0.0515358415947458</v>
      </c>
      <c r="L43" s="191">
        <f t="shared" si="20"/>
        <v>-0.0403159159154112</v>
      </c>
      <c r="M43" s="191">
        <f t="shared" si="20"/>
        <v>-0.0356932733447706</v>
      </c>
      <c r="N43" s="191">
        <f t="shared" si="20"/>
        <v>-0.00118694027537469</v>
      </c>
      <c r="O43" s="191">
        <f t="shared" si="20"/>
        <v>-0.0814747073062337</v>
      </c>
    </row>
    <row r="44" spans="2:16">
      <c r="B44" s="151" t="s">
        <v>64</v>
      </c>
      <c r="C44" s="198"/>
      <c r="D44" s="191">
        <f t="shared" ref="D44:N44" si="21">D42/C42-1</f>
        <v>-0.374132653621586</v>
      </c>
      <c r="E44" s="191">
        <f t="shared" si="21"/>
        <v>0.700870409192212</v>
      </c>
      <c r="F44" s="191">
        <f t="shared" si="21"/>
        <v>-0.214092546347975</v>
      </c>
      <c r="G44" s="191">
        <f t="shared" si="21"/>
        <v>-0.0343004811418549</v>
      </c>
      <c r="H44" s="191">
        <f t="shared" si="21"/>
        <v>0.0752293386107139</v>
      </c>
      <c r="I44" s="191">
        <f t="shared" si="21"/>
        <v>-0.120583764416863</v>
      </c>
      <c r="J44" s="191">
        <f t="shared" si="21"/>
        <v>0.0824452908311548</v>
      </c>
      <c r="K44" s="191">
        <f t="shared" si="21"/>
        <v>0.159948139838535</v>
      </c>
      <c r="L44" s="191">
        <f t="shared" si="21"/>
        <v>0.00594006558382021</v>
      </c>
      <c r="M44" s="191">
        <f t="shared" si="21"/>
        <v>0.0756112723658922</v>
      </c>
      <c r="N44" s="191">
        <f t="shared" si="21"/>
        <v>0.0819849084956972</v>
      </c>
      <c r="O44" s="148"/>
    </row>
    <row r="45" spans="2:16">
      <c r="B45" s="144">
        <v>2020</v>
      </c>
      <c r="C45" s="8">
        <v>192.7201</v>
      </c>
      <c r="D45" s="8">
        <v>30.9942</v>
      </c>
      <c r="E45" s="8">
        <v>143.0217</v>
      </c>
      <c r="F45" s="8">
        <v>206.9962</v>
      </c>
      <c r="G45" s="8">
        <v>219.358</v>
      </c>
      <c r="H45" s="8">
        <v>229.9696</v>
      </c>
      <c r="I45" s="8">
        <v>211.1803</v>
      </c>
      <c r="J45" s="8">
        <v>218.5812</v>
      </c>
      <c r="K45" s="8">
        <v>256.5201</v>
      </c>
      <c r="L45" s="8">
        <v>257.3228</v>
      </c>
      <c r="M45" s="8">
        <v>276.9666</v>
      </c>
      <c r="N45" s="8">
        <v>283.1245</v>
      </c>
      <c r="O45" s="146">
        <f>SUM(C45:N45)</f>
        <v>2526.7553</v>
      </c>
    </row>
    <row r="46" spans="2:16">
      <c r="B46" s="151" t="s">
        <v>69</v>
      </c>
      <c r="C46" s="191">
        <f t="shared" ref="C46:O46" si="22">C45/C42-1</f>
        <v>-0.185900008364037</v>
      </c>
      <c r="D46" s="191">
        <f t="shared" si="22"/>
        <v>-0.79080616791824</v>
      </c>
      <c r="E46" s="191">
        <f t="shared" si="22"/>
        <v>-0.432456499232345</v>
      </c>
      <c r="F46" s="191">
        <f t="shared" si="22"/>
        <v>0.0451730045539074</v>
      </c>
      <c r="G46" s="191">
        <f t="shared" si="22"/>
        <v>0.146930953980649</v>
      </c>
      <c r="H46" s="191">
        <f t="shared" si="22"/>
        <v>0.118286597362634</v>
      </c>
      <c r="I46" s="191">
        <f t="shared" si="22"/>
        <v>0.167727783454762</v>
      </c>
      <c r="J46" s="191">
        <f t="shared" si="22"/>
        <v>0.116593412656086</v>
      </c>
      <c r="K46" s="191">
        <f t="shared" si="22"/>
        <v>0.129705084199373</v>
      </c>
      <c r="L46" s="191">
        <f t="shared" si="22"/>
        <v>0.126548374245349</v>
      </c>
      <c r="M46" s="191">
        <f t="shared" si="22"/>
        <v>0.127310705981043</v>
      </c>
      <c r="N46" s="191">
        <f t="shared" si="22"/>
        <v>0.0650560921127967</v>
      </c>
      <c r="O46" s="191">
        <f t="shared" si="22"/>
        <v>-0.0189065732325736</v>
      </c>
    </row>
    <row r="47" spans="2:16">
      <c r="B47" s="151" t="s">
        <v>64</v>
      </c>
      <c r="C47" s="198">
        <f>C45/N42-1</f>
        <v>-0.27502665231166</v>
      </c>
      <c r="D47" s="191">
        <f t="shared" ref="D47:N47" si="23">D45/C45-1</f>
        <v>-0.839175052316806</v>
      </c>
      <c r="E47" s="191">
        <f t="shared" si="23"/>
        <v>3.61446657761775</v>
      </c>
      <c r="F47" s="191">
        <f t="shared" si="23"/>
        <v>0.447306247933006</v>
      </c>
      <c r="G47" s="191">
        <f t="shared" si="23"/>
        <v>0.0597199368877304</v>
      </c>
      <c r="H47" s="191">
        <f t="shared" si="23"/>
        <v>0.0483757145852899</v>
      </c>
      <c r="I47" s="191">
        <f t="shared" si="23"/>
        <v>-0.0817034077547643</v>
      </c>
      <c r="J47" s="191">
        <f t="shared" si="23"/>
        <v>0.0350454090651449</v>
      </c>
      <c r="K47" s="191">
        <f t="shared" si="23"/>
        <v>0.173568907115525</v>
      </c>
      <c r="L47" s="191">
        <f t="shared" si="23"/>
        <v>0.00312918948651575</v>
      </c>
      <c r="M47" s="191">
        <f t="shared" si="23"/>
        <v>0.0763391351252203</v>
      </c>
      <c r="N47" s="191">
        <f t="shared" si="23"/>
        <v>0.0222333667669674</v>
      </c>
      <c r="O47" s="148"/>
    </row>
    <row r="48" spans="2:16">
      <c r="B48" s="144">
        <v>2021</v>
      </c>
      <c r="C48" s="8">
        <v>250.3168</v>
      </c>
      <c r="D48" s="8">
        <v>145.4806</v>
      </c>
      <c r="E48" s="8">
        <v>252.5691</v>
      </c>
      <c r="F48" s="8">
        <v>225.1792</v>
      </c>
      <c r="G48" s="8">
        <v>212.7721</v>
      </c>
      <c r="H48" s="8">
        <v>201.5309</v>
      </c>
      <c r="I48" s="8">
        <v>186.355</v>
      </c>
      <c r="J48" s="8">
        <v>179.8841</v>
      </c>
      <c r="K48" s="8">
        <v>206.7099</v>
      </c>
      <c r="L48" s="8">
        <v>233.2801</v>
      </c>
      <c r="M48" s="8">
        <v>252.1591</v>
      </c>
      <c r="N48" s="8">
        <v>278.5918</v>
      </c>
      <c r="O48" s="148">
        <f>SUM(C48:N48)</f>
        <v>2624.8287</v>
      </c>
    </row>
    <row r="49" spans="2:16">
      <c r="B49" s="151" t="s">
        <v>69</v>
      </c>
      <c r="C49" s="191">
        <f t="shared" ref="C49:O49" si="24">C48/C45-1</f>
        <v>0.298861924625402</v>
      </c>
      <c r="D49" s="191">
        <f t="shared" si="24"/>
        <v>3.69380077562899</v>
      </c>
      <c r="E49" s="191">
        <f t="shared" si="24"/>
        <v>0.765949502767762</v>
      </c>
      <c r="F49" s="191">
        <f t="shared" si="24"/>
        <v>0.0878421922721289</v>
      </c>
      <c r="G49" s="191">
        <f t="shared" si="24"/>
        <v>-0.0300235231904011</v>
      </c>
      <c r="H49" s="191">
        <f t="shared" si="24"/>
        <v>-0.123662866744126</v>
      </c>
      <c r="I49" s="191">
        <f t="shared" si="24"/>
        <v>-0.117554999211574</v>
      </c>
      <c r="J49" s="191">
        <f t="shared" si="24"/>
        <v>-0.177037640931608</v>
      </c>
      <c r="K49" s="191">
        <f t="shared" si="24"/>
        <v>-0.194176596687745</v>
      </c>
      <c r="L49" s="191">
        <f t="shared" si="24"/>
        <v>-0.0934340058479076</v>
      </c>
      <c r="M49" s="191">
        <f t="shared" si="24"/>
        <v>-0.089568561696609</v>
      </c>
      <c r="N49" s="191">
        <f t="shared" si="24"/>
        <v>-0.0160095646968031</v>
      </c>
      <c r="O49" s="191">
        <f t="shared" si="24"/>
        <v>0.0388139682540689</v>
      </c>
    </row>
    <row r="50" spans="2:16">
      <c r="B50" s="151" t="s">
        <v>64</v>
      </c>
      <c r="C50" s="198">
        <f>C48/N45-1</f>
        <v>-0.115877290732522</v>
      </c>
      <c r="D50" s="191">
        <f t="shared" ref="D50:N50" si="25">D48/C48-1</f>
        <v>-0.418814078799345</v>
      </c>
      <c r="E50" s="191">
        <f t="shared" si="25"/>
        <v>0.73610158330389</v>
      </c>
      <c r="F50" s="191">
        <f t="shared" si="25"/>
        <v>-0.108445174013765</v>
      </c>
      <c r="G50" s="191">
        <f t="shared" si="25"/>
        <v>-0.0550987835466153</v>
      </c>
      <c r="H50" s="191">
        <f t="shared" si="25"/>
        <v>-0.0528321147368475</v>
      </c>
      <c r="I50" s="191">
        <f t="shared" si="25"/>
        <v>-0.0753030924786224</v>
      </c>
      <c r="J50" s="191">
        <f t="shared" si="25"/>
        <v>-0.0347235115773658</v>
      </c>
      <c r="K50" s="191">
        <f t="shared" si="25"/>
        <v>0.149128244241709</v>
      </c>
      <c r="L50" s="191">
        <f t="shared" si="25"/>
        <v>0.128538594426295</v>
      </c>
      <c r="M50" s="191">
        <f t="shared" si="25"/>
        <v>0.0809284632508303</v>
      </c>
      <c r="N50" s="191">
        <f t="shared" si="25"/>
        <v>0.104825485179793</v>
      </c>
      <c r="O50" s="148"/>
    </row>
    <row r="51" spans="2:16">
      <c r="B51" s="144">
        <v>2022</v>
      </c>
      <c r="C51" s="8">
        <v>253.0584</v>
      </c>
      <c r="D51" s="8">
        <v>173.7299</v>
      </c>
      <c r="E51" s="8">
        <v>223.3912</v>
      </c>
      <c r="F51" s="8">
        <v>118.0903</v>
      </c>
      <c r="G51" s="8">
        <v>186.1975</v>
      </c>
      <c r="H51" s="8">
        <v>250.2293</v>
      </c>
      <c r="I51" s="8">
        <v>242.0058</v>
      </c>
      <c r="J51" s="8">
        <v>238.3354</v>
      </c>
      <c r="K51" s="8">
        <v>261.0325</v>
      </c>
      <c r="L51" s="8">
        <v>250.4683</v>
      </c>
      <c r="M51" s="8">
        <v>232.7721</v>
      </c>
      <c r="N51" s="8">
        <v>255.6</v>
      </c>
      <c r="O51" s="146">
        <f>SUM(C51:N51)</f>
        <v>2684.9107</v>
      </c>
    </row>
    <row r="52" spans="2:16">
      <c r="B52" s="151" t="s">
        <v>69</v>
      </c>
      <c r="C52" s="191">
        <f t="shared" ref="C52:O52" si="26">C51/C48-1</f>
        <v>0.0109525209654326</v>
      </c>
      <c r="D52" s="191">
        <f t="shared" si="26"/>
        <v>0.194179155158832</v>
      </c>
      <c r="E52" s="191">
        <f t="shared" si="26"/>
        <v>-0.115524424800975</v>
      </c>
      <c r="F52" s="191">
        <f t="shared" si="26"/>
        <v>-0.475571900068923</v>
      </c>
      <c r="G52" s="191">
        <f t="shared" si="26"/>
        <v>-0.124897014223199</v>
      </c>
      <c r="H52" s="191">
        <f t="shared" si="26"/>
        <v>0.241642348642317</v>
      </c>
      <c r="I52" s="191">
        <f t="shared" si="26"/>
        <v>0.298627887633817</v>
      </c>
      <c r="J52" s="191">
        <f t="shared" si="26"/>
        <v>0.324938668842883</v>
      </c>
      <c r="K52" s="191">
        <f t="shared" si="26"/>
        <v>0.262796315028937</v>
      </c>
      <c r="L52" s="191">
        <f t="shared" si="26"/>
        <v>0.0736805239709688</v>
      </c>
      <c r="M52" s="191">
        <f t="shared" si="26"/>
        <v>-0.0768839990307707</v>
      </c>
      <c r="N52" s="191">
        <f t="shared" si="26"/>
        <v>-0.0825286314959737</v>
      </c>
      <c r="O52" s="191">
        <f t="shared" si="26"/>
        <v>0.0228898746802029</v>
      </c>
    </row>
    <row r="53" spans="2:16">
      <c r="B53" s="151" t="s">
        <v>64</v>
      </c>
      <c r="C53" s="198">
        <f>C51/N48-1</f>
        <v>-0.0916516566532108</v>
      </c>
      <c r="D53" s="191">
        <f t="shared" ref="D53:L53" si="27">D51/C51-1</f>
        <v>-0.313479023023934</v>
      </c>
      <c r="E53" s="191">
        <f t="shared" si="27"/>
        <v>0.285853500174696</v>
      </c>
      <c r="F53" s="191">
        <f t="shared" si="27"/>
        <v>-0.471374431938232</v>
      </c>
      <c r="G53" s="191">
        <f t="shared" si="27"/>
        <v>0.576738309581735</v>
      </c>
      <c r="H53" s="191">
        <f t="shared" si="27"/>
        <v>0.343891835282429</v>
      </c>
      <c r="I53" s="191">
        <f t="shared" si="27"/>
        <v>-0.0328638572701119</v>
      </c>
      <c r="J53" s="191">
        <f t="shared" si="27"/>
        <v>-0.0151665786522471</v>
      </c>
      <c r="K53" s="191">
        <f t="shared" si="27"/>
        <v>0.0952317616266825</v>
      </c>
      <c r="L53" s="191">
        <f t="shared" si="27"/>
        <v>-0.0404708225987187</v>
      </c>
      <c r="M53" s="191">
        <v>0.1</v>
      </c>
      <c r="N53" s="191">
        <v>0.1</v>
      </c>
      <c r="O53" s="196"/>
    </row>
    <row r="54" spans="2:16">
      <c r="B54" s="144">
        <v>2023</v>
      </c>
      <c r="C54" s="199">
        <v>164.8966</v>
      </c>
      <c r="D54" s="8">
        <v>197.6</v>
      </c>
      <c r="E54" s="8">
        <v>245.1</v>
      </c>
      <c r="F54" s="8">
        <v>215.9</v>
      </c>
      <c r="G54" s="8">
        <v>238.2</v>
      </c>
      <c r="H54" s="8">
        <v>262.2</v>
      </c>
      <c r="I54" s="8">
        <v>238.7</v>
      </c>
      <c r="J54" s="8">
        <v>258.2</v>
      </c>
      <c r="K54" s="8">
        <v>285.8</v>
      </c>
      <c r="L54" s="8">
        <v>285.3</v>
      </c>
      <c r="M54" s="8">
        <v>297</v>
      </c>
      <c r="N54" s="8">
        <v>315.6</v>
      </c>
      <c r="O54" s="148">
        <f>SUM(C54:N54)</f>
        <v>3004.4966</v>
      </c>
    </row>
    <row r="55" spans="2:16">
      <c r="B55" s="151" t="s">
        <v>69</v>
      </c>
      <c r="C55" s="13">
        <f>C54/C51-1</f>
        <v>-0.348385194879917</v>
      </c>
      <c r="D55" s="13">
        <f t="shared" ref="D55:O55" si="28">D54/D51-1</f>
        <v>0.137397765151537</v>
      </c>
      <c r="E55" s="13">
        <f t="shared" si="28"/>
        <v>0.0971784027302776</v>
      </c>
      <c r="F55" s="13">
        <f t="shared" si="28"/>
        <v>0.828261931759001</v>
      </c>
      <c r="G55" s="13">
        <f t="shared" si="28"/>
        <v>0.279286778823561</v>
      </c>
      <c r="H55" s="13">
        <f t="shared" si="28"/>
        <v>0.0478389221406126</v>
      </c>
      <c r="I55" s="13">
        <f t="shared" si="28"/>
        <v>-0.0136600031900063</v>
      </c>
      <c r="J55" s="13">
        <f t="shared" si="28"/>
        <v>0.0833472492965794</v>
      </c>
      <c r="K55" s="13">
        <f t="shared" si="28"/>
        <v>0.0948828211046517</v>
      </c>
      <c r="L55" s="13">
        <f t="shared" si="28"/>
        <v>0.139066301004958</v>
      </c>
      <c r="M55" s="13">
        <f t="shared" si="28"/>
        <v>0.275926109701291</v>
      </c>
      <c r="N55" s="13">
        <f t="shared" si="28"/>
        <v>0.234741784037559</v>
      </c>
      <c r="O55" s="191">
        <f t="shared" si="28"/>
        <v>0.119030364771536</v>
      </c>
    </row>
    <row r="56" spans="2:16">
      <c r="B56" s="151" t="s">
        <v>64</v>
      </c>
      <c r="C56" s="198">
        <f>C54/N51-1</f>
        <v>-0.354864632237872</v>
      </c>
      <c r="D56" s="191">
        <f>D54/C54-1</f>
        <v>0.198326708980052</v>
      </c>
      <c r="E56" s="191">
        <f t="shared" ref="E56:N56" si="29">E54/D54-1</f>
        <v>0.240384615384615</v>
      </c>
      <c r="F56" s="191">
        <f t="shared" si="29"/>
        <v>-0.119135046919625</v>
      </c>
      <c r="G56" s="191">
        <f t="shared" si="29"/>
        <v>0.103288559518296</v>
      </c>
      <c r="H56" s="191">
        <f t="shared" si="29"/>
        <v>0.100755667506297</v>
      </c>
      <c r="I56" s="191">
        <f t="shared" si="29"/>
        <v>-0.089626239511823</v>
      </c>
      <c r="J56" s="191">
        <f t="shared" si="29"/>
        <v>0.0816925010473397</v>
      </c>
      <c r="K56" s="191">
        <f t="shared" si="29"/>
        <v>0.106893880712626</v>
      </c>
      <c r="L56" s="191">
        <f t="shared" si="29"/>
        <v>-0.00174947515745272</v>
      </c>
      <c r="M56" s="191">
        <f t="shared" si="29"/>
        <v>0.0410094637223974</v>
      </c>
      <c r="N56" s="191">
        <f t="shared" si="29"/>
        <v>0.0626262626262628</v>
      </c>
      <c r="O56" s="196"/>
    </row>
    <row r="57" spans="2:16">
      <c r="B57" s="144">
        <v>2024</v>
      </c>
      <c r="C57" s="199">
        <v>243.9</v>
      </c>
      <c r="D57" s="8">
        <v>158.4</v>
      </c>
      <c r="E57" s="8">
        <v>269.4</v>
      </c>
      <c r="F57" s="8">
        <v>235.9</v>
      </c>
      <c r="G57" s="8">
        <v>241.7</v>
      </c>
      <c r="H57" s="8">
        <v>255.2</v>
      </c>
      <c r="I57" s="8">
        <v>226.2</v>
      </c>
      <c r="J57" s="8">
        <v>245.3</v>
      </c>
      <c r="K57" s="8">
        <v>280.9</v>
      </c>
      <c r="L57" s="8">
        <v>305.3</v>
      </c>
      <c r="M57" s="8">
        <v>331.6</v>
      </c>
      <c r="N57" s="8">
        <v>348.9</v>
      </c>
      <c r="O57" s="200">
        <f>SUM(C57:N57)</f>
        <v>3142.7</v>
      </c>
      <c r="P57" s="14" t="s">
        <v>129</v>
      </c>
    </row>
    <row r="58" spans="2:16">
      <c r="B58" s="151" t="s">
        <v>69</v>
      </c>
      <c r="C58" s="13">
        <f>C57/C54-1</f>
        <v>0.479108726316977</v>
      </c>
      <c r="D58" s="13">
        <f t="shared" ref="D58:K58" si="30">D57/D54-1</f>
        <v>-0.198380566801619</v>
      </c>
      <c r="E58" s="13">
        <f t="shared" si="30"/>
        <v>0.0991432068543452</v>
      </c>
      <c r="F58" s="13">
        <f t="shared" si="30"/>
        <v>0.0926354793886057</v>
      </c>
      <c r="G58" s="13">
        <f t="shared" si="30"/>
        <v>0.0146935348446684</v>
      </c>
      <c r="H58" s="13">
        <f t="shared" si="30"/>
        <v>-0.026697177726926</v>
      </c>
      <c r="I58" s="13">
        <f t="shared" si="30"/>
        <v>-0.0523669878508588</v>
      </c>
      <c r="J58" s="13">
        <f t="shared" si="30"/>
        <v>-0.0499612703330751</v>
      </c>
      <c r="K58" s="13">
        <f t="shared" si="30"/>
        <v>-0.0171448565430372</v>
      </c>
      <c r="L58" s="13">
        <f t="shared" ref="L58:O58" si="31">L57/L54-1</f>
        <v>0.0701016473887137</v>
      </c>
      <c r="M58" s="13">
        <f t="shared" si="31"/>
        <v>0.116498316498317</v>
      </c>
      <c r="N58" s="13">
        <f t="shared" si="31"/>
        <v>0.105513307984791</v>
      </c>
      <c r="O58" s="13">
        <f t="shared" si="31"/>
        <v>0.0459988538512575</v>
      </c>
      <c r="P58" s="14" t="s">
        <v>130</v>
      </c>
    </row>
    <row r="59" spans="2:16">
      <c r="B59" s="151" t="s">
        <v>64</v>
      </c>
      <c r="C59" s="198">
        <f>C57/N54-1</f>
        <v>-0.227186311787072</v>
      </c>
      <c r="D59" s="198">
        <f>D57/C57-1</f>
        <v>-0.350553505535055</v>
      </c>
      <c r="E59" s="198">
        <f t="shared" ref="E59:N59" si="32">E57/D57-1</f>
        <v>0.700757575757575</v>
      </c>
      <c r="F59" s="198">
        <f t="shared" si="32"/>
        <v>-0.124350408314774</v>
      </c>
      <c r="G59" s="198">
        <f t="shared" si="32"/>
        <v>0.0245866892751165</v>
      </c>
      <c r="H59" s="198">
        <f t="shared" si="32"/>
        <v>0.0558543649151841</v>
      </c>
      <c r="I59" s="198">
        <f t="shared" si="32"/>
        <v>-0.113636363636364</v>
      </c>
      <c r="J59" s="198">
        <f t="shared" si="32"/>
        <v>0.0844385499557914</v>
      </c>
      <c r="K59" s="198">
        <f t="shared" si="32"/>
        <v>0.14512841418671</v>
      </c>
      <c r="L59" s="198">
        <f t="shared" si="32"/>
        <v>0.0868636525453899</v>
      </c>
      <c r="M59" s="198">
        <f t="shared" si="32"/>
        <v>0.0861447756305274</v>
      </c>
      <c r="N59" s="198">
        <f t="shared" si="32"/>
        <v>0.0521712907117007</v>
      </c>
      <c r="O59" s="196"/>
    </row>
    <row r="60" spans="2:16">
      <c r="B60" s="144">
        <v>2025</v>
      </c>
      <c r="C60" s="199">
        <v>242.3</v>
      </c>
      <c r="D60" s="8">
        <v>212.9</v>
      </c>
      <c r="E60" s="8">
        <v>291.5</v>
      </c>
      <c r="F60" s="8">
        <v>259</v>
      </c>
      <c r="G60" s="8"/>
      <c r="H60" s="8"/>
      <c r="I60" s="8"/>
      <c r="J60" s="8"/>
      <c r="K60" s="8"/>
      <c r="L60" s="8"/>
      <c r="M60" s="8"/>
      <c r="N60" s="8"/>
      <c r="O60" s="200"/>
    </row>
    <row r="61" spans="2:16">
      <c r="B61" s="151" t="s">
        <v>69</v>
      </c>
      <c r="C61" s="13">
        <f>C60/C57-1</f>
        <v>-0.00656006560065603</v>
      </c>
      <c r="D61" s="13">
        <f>D60/D57-1</f>
        <v>0.344065656565657</v>
      </c>
      <c r="E61" s="13">
        <f>E60/E57-1</f>
        <v>0.0820341499628805</v>
      </c>
      <c r="F61" s="13">
        <f>F60/F57-1</f>
        <v>0.0979228486646884</v>
      </c>
      <c r="G61" s="13"/>
      <c r="H61" s="13"/>
      <c r="I61" s="13"/>
      <c r="J61" s="13"/>
      <c r="K61" s="13"/>
      <c r="L61" s="13"/>
      <c r="M61" s="13"/>
      <c r="N61" s="13"/>
      <c r="O61" s="13"/>
    </row>
    <row r="62" spans="2:16">
      <c r="B62" s="151" t="s">
        <v>64</v>
      </c>
      <c r="C62" s="198">
        <f>C60/N57-1</f>
        <v>-0.305531670965893</v>
      </c>
      <c r="D62" s="198">
        <f>D60/C60-1</f>
        <v>-0.12133718530747</v>
      </c>
      <c r="E62" s="198">
        <f>E60/D60-1</f>
        <v>0.369187411930484</v>
      </c>
      <c r="F62" s="198">
        <f>F60/E60-1</f>
        <v>-0.111492281303602</v>
      </c>
      <c r="G62" s="198"/>
      <c r="H62" s="198"/>
      <c r="I62" s="198"/>
      <c r="J62" s="198"/>
      <c r="K62" s="198"/>
      <c r="L62" s="198"/>
      <c r="M62" s="198"/>
      <c r="N62" s="198"/>
      <c r="O62" s="196"/>
    </row>
    <row r="64" spans="2:16">
      <c r="B64" s="143" t="s">
        <v>131</v>
      </c>
      <c r="C64" s="143" t="s">
        <v>51</v>
      </c>
      <c r="D64" s="143" t="s">
        <v>52</v>
      </c>
      <c r="E64" s="143" t="s">
        <v>53</v>
      </c>
      <c r="F64" s="143" t="s">
        <v>54</v>
      </c>
      <c r="G64" s="143" t="s">
        <v>55</v>
      </c>
      <c r="H64" s="143" t="s">
        <v>56</v>
      </c>
      <c r="I64" s="143" t="s">
        <v>57</v>
      </c>
      <c r="J64" s="143" t="s">
        <v>58</v>
      </c>
      <c r="K64" s="143" t="s">
        <v>59</v>
      </c>
      <c r="L64" s="143" t="s">
        <v>60</v>
      </c>
      <c r="M64" s="143" t="s">
        <v>61</v>
      </c>
      <c r="N64" s="143" t="s">
        <v>62</v>
      </c>
      <c r="O64" s="143" t="s">
        <v>63</v>
      </c>
    </row>
    <row r="65" spans="2:34">
      <c r="B65" s="144">
        <v>2018</v>
      </c>
      <c r="C65" s="13">
        <f t="shared" ref="C65:O65" si="33">C17/C41</f>
        <v>0.0136942365667798</v>
      </c>
      <c r="D65" s="13">
        <f t="shared" si="33"/>
        <v>0.0200395551242051</v>
      </c>
      <c r="E65" s="13">
        <f t="shared" si="33"/>
        <v>0.0255163370740579</v>
      </c>
      <c r="F65" s="13">
        <f t="shared" si="33"/>
        <v>0.0353254962580093</v>
      </c>
      <c r="G65" s="13">
        <f t="shared" si="33"/>
        <v>0.0445861487446376</v>
      </c>
      <c r="H65" s="13">
        <f t="shared" si="33"/>
        <v>0.0369446915975896</v>
      </c>
      <c r="I65" s="13">
        <f t="shared" si="33"/>
        <v>0.0444652654814556</v>
      </c>
      <c r="J65" s="13">
        <f t="shared" si="33"/>
        <v>0.0480184314708046</v>
      </c>
      <c r="K65" s="13">
        <f t="shared" si="33"/>
        <v>0.050541715293923</v>
      </c>
      <c r="L65" s="13">
        <f t="shared" si="33"/>
        <v>0.0579800993812515</v>
      </c>
      <c r="M65" s="13">
        <f t="shared" si="33"/>
        <v>0.0663312425254698</v>
      </c>
      <c r="N65" s="13">
        <f t="shared" si="33"/>
        <v>0.0845399056534653</v>
      </c>
      <c r="O65" s="13">
        <f t="shared" si="33"/>
        <v>0.0444585882629615</v>
      </c>
    </row>
    <row r="66" spans="2:34">
      <c r="B66" s="144">
        <v>2019</v>
      </c>
      <c r="C66" s="13">
        <f t="shared" ref="C66:O66" si="34">C18/C42</f>
        <v>0.0405529050664941</v>
      </c>
      <c r="D66" s="13">
        <f t="shared" si="34"/>
        <v>0.0357720899404833</v>
      </c>
      <c r="E66" s="13">
        <f t="shared" si="34"/>
        <v>0.0499997420648227</v>
      </c>
      <c r="F66" s="13">
        <f t="shared" si="34"/>
        <v>0.0489776051162915</v>
      </c>
      <c r="G66" s="13">
        <f t="shared" si="34"/>
        <v>0.0543772368520809</v>
      </c>
      <c r="H66" s="13">
        <f t="shared" si="34"/>
        <v>0.0739139272317386</v>
      </c>
      <c r="I66" s="13">
        <f t="shared" si="34"/>
        <v>0.0442362392118872</v>
      </c>
      <c r="J66" s="13">
        <f t="shared" si="34"/>
        <v>0.0434211359786511</v>
      </c>
      <c r="K66" s="13">
        <f t="shared" si="34"/>
        <v>0.0352317057166085</v>
      </c>
      <c r="L66" s="13">
        <f t="shared" si="34"/>
        <v>0.0328346839333325</v>
      </c>
      <c r="M66" s="13">
        <f t="shared" si="34"/>
        <v>0.0386669428978798</v>
      </c>
      <c r="N66" s="13">
        <f t="shared" si="34"/>
        <v>0.0613172448920478</v>
      </c>
      <c r="O66" s="13">
        <f t="shared" si="34"/>
        <v>0.0468268008651853</v>
      </c>
    </row>
    <row r="67" spans="2:34">
      <c r="B67" s="144">
        <v>2020</v>
      </c>
      <c r="C67" s="13">
        <f t="shared" ref="C67:O67" si="35">C21/C45</f>
        <v>0.02283103838157</v>
      </c>
      <c r="D67" s="13">
        <f t="shared" si="35"/>
        <v>0.0416465016035258</v>
      </c>
      <c r="E67" s="13">
        <f t="shared" si="35"/>
        <v>0.0370573136803716</v>
      </c>
      <c r="F67" s="13">
        <f t="shared" si="35"/>
        <v>0.0347832472286931</v>
      </c>
      <c r="G67" s="13">
        <f t="shared" si="35"/>
        <v>0.0373818142032659</v>
      </c>
      <c r="H67" s="13">
        <f t="shared" si="35"/>
        <v>0.0452233686539438</v>
      </c>
      <c r="I67" s="13">
        <f t="shared" si="35"/>
        <v>0.0464058437269007</v>
      </c>
      <c r="J67" s="13">
        <f t="shared" si="35"/>
        <v>0.0498670516952053</v>
      </c>
      <c r="K67" s="13">
        <f t="shared" si="35"/>
        <v>0.053796953922909</v>
      </c>
      <c r="L67" s="13">
        <f t="shared" si="35"/>
        <v>0.0621787109420541</v>
      </c>
      <c r="M67" s="13">
        <f t="shared" si="35"/>
        <v>0.0722108730800031</v>
      </c>
      <c r="N67" s="13">
        <f t="shared" si="35"/>
        <v>0.0875939736758917</v>
      </c>
      <c r="O67" s="13">
        <f t="shared" si="35"/>
        <v>0.0522768469111354</v>
      </c>
    </row>
    <row r="68" spans="2:34">
      <c r="B68" s="144">
        <v>2021</v>
      </c>
      <c r="C68" s="13">
        <f t="shared" ref="C68:O68" si="36">C24/C48</f>
        <v>0.0715093833094702</v>
      </c>
      <c r="D68" s="13">
        <f t="shared" si="36"/>
        <v>0.0756114560979265</v>
      </c>
      <c r="E68" s="13">
        <f t="shared" si="36"/>
        <v>0.0894804629703317</v>
      </c>
      <c r="F68" s="13">
        <f t="shared" si="36"/>
        <v>0.0914826946716215</v>
      </c>
      <c r="G68" s="13">
        <f t="shared" si="36"/>
        <v>0.101987055633704</v>
      </c>
      <c r="H68" s="13">
        <f t="shared" si="36"/>
        <v>0.127027666725053</v>
      </c>
      <c r="I68" s="13">
        <f t="shared" si="36"/>
        <v>0.145421373185587</v>
      </c>
      <c r="J68" s="13">
        <f t="shared" si="36"/>
        <v>0.178448234168556</v>
      </c>
      <c r="K68" s="13">
        <f t="shared" si="36"/>
        <v>0.172705806543373</v>
      </c>
      <c r="L68" s="13">
        <f t="shared" si="36"/>
        <v>0.164180313708713</v>
      </c>
      <c r="M68" s="13">
        <f t="shared" si="36"/>
        <v>0.178458758775709</v>
      </c>
      <c r="N68" s="13">
        <f t="shared" si="36"/>
        <v>0.190601446273724</v>
      </c>
      <c r="O68" s="13">
        <f t="shared" si="36"/>
        <v>0.133608718923258</v>
      </c>
    </row>
    <row r="69" spans="2:34">
      <c r="B69" s="144">
        <v>2022</v>
      </c>
      <c r="C69" s="13">
        <f t="shared" ref="C69:O69" si="37">C27/C51</f>
        <v>0.17031641708001</v>
      </c>
      <c r="D69" s="13">
        <f t="shared" si="37"/>
        <v>0.192252456255371</v>
      </c>
      <c r="E69" s="13">
        <f t="shared" si="37"/>
        <v>0.216660280261711</v>
      </c>
      <c r="F69" s="13">
        <f t="shared" si="37"/>
        <v>0.253196071142168</v>
      </c>
      <c r="G69" s="13">
        <f t="shared" si="37"/>
        <v>0.2400676700815</v>
      </c>
      <c r="H69" s="13">
        <f t="shared" si="37"/>
        <v>0.238181539891611</v>
      </c>
      <c r="I69" s="13">
        <f t="shared" si="37"/>
        <v>0.245035449563605</v>
      </c>
      <c r="J69" s="13">
        <f t="shared" si="37"/>
        <v>0.279438136340636</v>
      </c>
      <c r="K69" s="13">
        <f t="shared" si="37"/>
        <v>0.271230593891565</v>
      </c>
      <c r="L69" s="13">
        <f t="shared" si="37"/>
        <v>0.285066014341935</v>
      </c>
      <c r="M69" s="13">
        <f t="shared" si="37"/>
        <v>0.337669334082564</v>
      </c>
      <c r="N69" s="13">
        <f t="shared" si="37"/>
        <v>0.318466353677621</v>
      </c>
      <c r="O69" s="13">
        <f t="shared" si="37"/>
        <v>0.255948922249071</v>
      </c>
    </row>
    <row r="70" spans="2:34">
      <c r="B70" s="144">
        <v>2023</v>
      </c>
      <c r="C70" s="13">
        <f>C30/C54</f>
        <v>0.247427782016124</v>
      </c>
      <c r="D70" s="201">
        <v>0.27</v>
      </c>
      <c r="E70" s="201">
        <v>0.27</v>
      </c>
      <c r="F70" s="13">
        <f>F30/F54</f>
        <v>0.294580824455767</v>
      </c>
      <c r="G70" s="13">
        <f>G30/G54</f>
        <v>0.301007556675063</v>
      </c>
      <c r="H70" s="13">
        <f>H30/H54</f>
        <v>0.307398932112891</v>
      </c>
      <c r="I70" s="13">
        <f>I30/I54</f>
        <v>0.326770004189359</v>
      </c>
      <c r="J70" s="13">
        <f>J30/J54</f>
        <v>0.327652982184353</v>
      </c>
      <c r="K70" s="13">
        <v>0.316</v>
      </c>
      <c r="L70" s="13">
        <v>0.335</v>
      </c>
      <c r="M70" s="13">
        <v>0.345</v>
      </c>
      <c r="N70" s="13">
        <f>N30/N54</f>
        <v>0.377376425855513</v>
      </c>
      <c r="O70" s="13">
        <f>O30/O54</f>
        <v>0.314461996728504</v>
      </c>
    </row>
    <row r="71" spans="2:34">
      <c r="B71" s="144">
        <v>2024</v>
      </c>
      <c r="C71" s="13">
        <f>C33/C57</f>
        <v>0.298892988929889</v>
      </c>
      <c r="D71" s="13">
        <f t="shared" ref="D71:M71" si="38">D33/D57</f>
        <v>0.301136363636364</v>
      </c>
      <c r="E71" s="13">
        <f t="shared" si="38"/>
        <v>0.327765404602821</v>
      </c>
      <c r="F71" s="13">
        <f t="shared" si="38"/>
        <v>0.360322170411191</v>
      </c>
      <c r="G71" s="13">
        <f t="shared" si="38"/>
        <v>0.395117914770376</v>
      </c>
      <c r="H71" s="13">
        <f t="shared" si="38"/>
        <v>0.411050156739812</v>
      </c>
      <c r="I71" s="13">
        <f t="shared" si="38"/>
        <v>0.438107869142352</v>
      </c>
      <c r="J71" s="13">
        <f t="shared" si="38"/>
        <v>0.448430493273543</v>
      </c>
      <c r="K71" s="13">
        <f t="shared" si="38"/>
        <v>0.458170167319331</v>
      </c>
      <c r="L71" s="13">
        <f t="shared" si="38"/>
        <v>0.46839174582378</v>
      </c>
      <c r="M71" s="13">
        <f t="shared" si="38"/>
        <v>0.455971049457177</v>
      </c>
      <c r="N71" s="13">
        <f t="shared" ref="N71:O71" si="39">N33/N57</f>
        <v>0.45743766122098</v>
      </c>
      <c r="O71" s="13">
        <f t="shared" si="39"/>
        <v>0.409170458522926</v>
      </c>
    </row>
    <row r="72" spans="2:34">
      <c r="B72" s="144">
        <v>2025</v>
      </c>
      <c r="C72" s="13">
        <f>C36/C60</f>
        <v>0.389599669830788</v>
      </c>
      <c r="D72" s="13">
        <f>D36/D60</f>
        <v>0.418976045091592</v>
      </c>
      <c r="E72" s="13">
        <f>E36/E60</f>
        <v>0.424356775300172</v>
      </c>
      <c r="F72" s="13">
        <f>F36/F60</f>
        <v>0.473359073359073</v>
      </c>
    </row>
    <row r="74" spans="2:34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2:34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 s="120"/>
      <c r="V75" s="121"/>
      <c r="W75" s="121"/>
      <c r="X75"/>
      <c r="Y75"/>
      <c r="Z75"/>
      <c r="AA75"/>
      <c r="AB75"/>
      <c r="AC75"/>
      <c r="AD75"/>
      <c r="AE75"/>
      <c r="AF75"/>
      <c r="AG75"/>
      <c r="AH75"/>
    </row>
    <row r="76" spans="2:34">
      <c r="B76"/>
      <c r="C76" s="22"/>
      <c r="D76" s="22"/>
      <c r="E76" s="22"/>
      <c r="F76" s="22"/>
      <c r="G76" s="22"/>
      <c r="H76" s="22"/>
      <c r="I76"/>
      <c r="J76"/>
      <c r="K76"/>
      <c r="L76"/>
      <c r="M76"/>
      <c r="N76"/>
      <c r="O76"/>
      <c r="P76"/>
      <c r="Q76"/>
      <c r="R76"/>
      <c r="S76"/>
      <c r="T76" s="121"/>
      <c r="U76" s="120"/>
      <c r="V76" s="121"/>
      <c r="W76" s="121"/>
      <c r="X76"/>
      <c r="Y76"/>
      <c r="Z76"/>
      <c r="AA76"/>
      <c r="AB76"/>
      <c r="AC76"/>
      <c r="AD76"/>
      <c r="AE76"/>
      <c r="AF76"/>
      <c r="AG76"/>
      <c r="AH76"/>
    </row>
    <row r="77" spans="2:34">
      <c r="B77"/>
      <c r="C77" s="22"/>
      <c r="D77" s="22"/>
      <c r="E77" s="22"/>
      <c r="F77" s="22"/>
      <c r="G77" s="22"/>
      <c r="H77"/>
      <c r="I77"/>
      <c r="J77"/>
      <c r="K77"/>
      <c r="L77"/>
      <c r="M77"/>
      <c r="N77"/>
      <c r="O77"/>
      <c r="P77"/>
      <c r="Q77"/>
      <c r="R77"/>
      <c r="S77"/>
      <c r="T77" s="121"/>
      <c r="U77" s="120"/>
      <c r="V77" s="121"/>
      <c r="W77" s="121"/>
      <c r="X77"/>
      <c r="Y77"/>
      <c r="Z77"/>
      <c r="AA77"/>
      <c r="AB77"/>
      <c r="AC77"/>
      <c r="AD77"/>
      <c r="AE77"/>
      <c r="AF77"/>
      <c r="AG77"/>
      <c r="AH77"/>
    </row>
    <row r="78" spans="2:34">
      <c r="B78"/>
      <c r="C78" s="22"/>
      <c r="D78" s="22"/>
      <c r="E78" s="22"/>
      <c r="F78" s="22"/>
      <c r="G78" s="22"/>
      <c r="H78"/>
      <c r="I78" s="124"/>
      <c r="J78" s="118"/>
      <c r="K78"/>
      <c r="L78"/>
      <c r="M78"/>
      <c r="N78"/>
      <c r="O78"/>
      <c r="P78"/>
      <c r="Q78"/>
      <c r="R78"/>
      <c r="S78"/>
      <c r="T78" s="121"/>
      <c r="U78" s="120"/>
      <c r="V78" s="121"/>
      <c r="W78" s="121"/>
      <c r="X78"/>
      <c r="Y78"/>
      <c r="Z78"/>
      <c r="AA78"/>
      <c r="AB78"/>
      <c r="AC78"/>
      <c r="AD78"/>
      <c r="AE78"/>
      <c r="AF78"/>
      <c r="AG78"/>
      <c r="AH78"/>
    </row>
    <row r="79" spans="2:34">
      <c r="B79"/>
      <c r="C79" s="22"/>
      <c r="D79" s="22"/>
      <c r="E79" s="22"/>
      <c r="F79" s="22"/>
      <c r="G79" s="22"/>
      <c r="H79"/>
      <c r="I79" s="124"/>
      <c r="J79" s="118"/>
      <c r="K79"/>
      <c r="L79"/>
      <c r="M79"/>
      <c r="N79"/>
      <c r="O79"/>
      <c r="P79"/>
      <c r="Q79"/>
      <c r="R79"/>
      <c r="S79"/>
      <c r="T79" s="121"/>
      <c r="U79" s="120"/>
      <c r="V79" s="121"/>
      <c r="W79" s="121"/>
      <c r="X79"/>
      <c r="Y79"/>
      <c r="Z79"/>
      <c r="AA79"/>
      <c r="AB79"/>
      <c r="AC79"/>
      <c r="AD79"/>
      <c r="AE79"/>
      <c r="AF79"/>
      <c r="AG79"/>
      <c r="AH79"/>
    </row>
    <row r="80" spans="2:34">
      <c r="B80"/>
      <c r="C80" s="22"/>
      <c r="D80" s="22"/>
      <c r="E80" s="22"/>
      <c r="F80" s="22"/>
      <c r="G80" s="22"/>
      <c r="H80"/>
      <c r="I80" s="124"/>
      <c r="J80" s="118"/>
      <c r="K80"/>
      <c r="L80"/>
      <c r="M80"/>
      <c r="N80"/>
      <c r="O80"/>
      <c r="P80"/>
      <c r="Q80"/>
      <c r="R80"/>
      <c r="S80"/>
      <c r="T80" s="121"/>
      <c r="U80" s="120"/>
      <c r="V80" s="121"/>
      <c r="W80" s="121"/>
      <c r="X80"/>
      <c r="Y80"/>
      <c r="Z80"/>
      <c r="AA80"/>
      <c r="AB80"/>
      <c r="AC80"/>
      <c r="AD80"/>
      <c r="AE80"/>
      <c r="AF80"/>
      <c r="AG80"/>
      <c r="AH80"/>
    </row>
    <row r="81" spans="2:34">
      <c r="B81"/>
      <c r="C81" s="22"/>
      <c r="D81" s="22"/>
      <c r="E81" s="22"/>
      <c r="F81" s="122"/>
      <c r="G81" s="22"/>
      <c r="H81"/>
      <c r="I81" s="124"/>
      <c r="J81" s="118"/>
      <c r="K81"/>
      <c r="L81"/>
      <c r="M81"/>
      <c r="N81"/>
      <c r="O81"/>
      <c r="P81"/>
      <c r="Q81"/>
      <c r="R81"/>
      <c r="S81"/>
      <c r="T81" s="121"/>
      <c r="U81" s="120"/>
      <c r="V81" s="121"/>
      <c r="W81" s="121"/>
      <c r="X81"/>
      <c r="Y81"/>
      <c r="Z81"/>
      <c r="AA81"/>
      <c r="AB81"/>
      <c r="AC81"/>
      <c r="AD81"/>
      <c r="AE81"/>
      <c r="AF81"/>
      <c r="AG81"/>
      <c r="AH81"/>
    </row>
    <row r="82" spans="2:34">
      <c r="B82"/>
      <c r="C82" s="22"/>
      <c r="D82" s="22"/>
      <c r="E82" s="22"/>
      <c r="F82" s="22"/>
      <c r="G82" s="22"/>
      <c r="H82"/>
      <c r="I82" s="124"/>
      <c r="J82" s="118"/>
      <c r="K82"/>
      <c r="L82"/>
      <c r="M82"/>
      <c r="N82"/>
      <c r="O82"/>
      <c r="P82"/>
      <c r="Q82"/>
      <c r="R82"/>
      <c r="S82"/>
      <c r="T82" s="121"/>
      <c r="U82" s="120"/>
      <c r="V82" s="121"/>
      <c r="W82" s="121"/>
      <c r="X82"/>
      <c r="Y82"/>
      <c r="Z82"/>
      <c r="AA82"/>
      <c r="AB82"/>
      <c r="AC82"/>
      <c r="AD82"/>
      <c r="AE82"/>
      <c r="AF82"/>
      <c r="AG82"/>
      <c r="AH82"/>
    </row>
    <row r="83" spans="2:34">
      <c r="B83"/>
      <c r="C83" s="22"/>
      <c r="D83" s="22"/>
      <c r="E83" s="22"/>
      <c r="F83" s="22"/>
      <c r="G83" s="22"/>
      <c r="H83"/>
      <c r="I83" s="124"/>
      <c r="J83" s="118"/>
      <c r="K83"/>
      <c r="L83"/>
      <c r="M83"/>
      <c r="N83"/>
      <c r="O83"/>
      <c r="P83"/>
      <c r="Q83"/>
      <c r="R83"/>
      <c r="S83"/>
      <c r="T83" s="121"/>
      <c r="U83" s="120"/>
      <c r="V83" s="121"/>
      <c r="W83" s="121"/>
      <c r="X83"/>
      <c r="Y83"/>
      <c r="Z83"/>
      <c r="AA83"/>
      <c r="AB83"/>
      <c r="AC83"/>
      <c r="AD83"/>
      <c r="AE83"/>
      <c r="AF83"/>
      <c r="AG83"/>
      <c r="AH83"/>
    </row>
    <row r="84" spans="2:34">
      <c r="B84"/>
      <c r="C84" s="22"/>
      <c r="D84" s="22"/>
      <c r="E84" s="22"/>
      <c r="F84" s="22"/>
      <c r="G84" s="22"/>
      <c r="H84" s="123"/>
      <c r="I84" s="124"/>
      <c r="J84" s="118"/>
      <c r="K84"/>
      <c r="L84"/>
      <c r="M84"/>
      <c r="N84"/>
      <c r="O84"/>
      <c r="P84"/>
      <c r="Q84"/>
      <c r="R84"/>
      <c r="S84"/>
      <c r="T84" s="121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2:34">
      <c r="B85"/>
      <c r="C85" s="22"/>
      <c r="D85" s="22"/>
      <c r="E85" s="22"/>
      <c r="F85" s="22"/>
      <c r="G85" s="22"/>
      <c r="H85" s="123"/>
      <c r="I85" s="124"/>
      <c r="J85" s="118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2:34">
      <c r="B86"/>
      <c r="C86" s="22"/>
      <c r="D86" s="22"/>
      <c r="E86" s="22"/>
      <c r="F86" s="22"/>
      <c r="G86" s="22"/>
      <c r="H86" s="123"/>
      <c r="I86" s="124"/>
      <c r="J86" s="118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2:34">
      <c r="B87"/>
      <c r="C87" s="22"/>
      <c r="D87" s="22"/>
      <c r="E87" s="22"/>
      <c r="F87" s="22"/>
      <c r="G87" s="22"/>
      <c r="H87" s="123"/>
      <c r="I87" s="124"/>
      <c r="J87" s="118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2:34">
      <c r="B88"/>
      <c r="C88" s="202"/>
      <c r="D88" s="202"/>
      <c r="E88" s="202"/>
      <c r="F88" s="202"/>
      <c r="G88" s="202"/>
      <c r="H88" s="123"/>
      <c r="I88" s="124"/>
      <c r="J88" s="11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 s="110"/>
      <c r="AA88" s="110"/>
      <c r="AB88" s="110"/>
      <c r="AC88"/>
      <c r="AD88"/>
      <c r="AE88"/>
      <c r="AF88"/>
      <c r="AG88"/>
      <c r="AH88"/>
    </row>
    <row r="89" spans="2:34">
      <c r="B89"/>
      <c r="C89"/>
      <c r="D89"/>
      <c r="E89"/>
      <c r="F89" s="22"/>
      <c r="G89" s="22"/>
      <c r="H89" s="123"/>
      <c r="I89" s="124"/>
      <c r="J89" s="118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2:34">
      <c r="B90"/>
      <c r="C90"/>
      <c r="D90"/>
      <c r="E90"/>
      <c r="F90" s="22"/>
      <c r="G90" s="22"/>
      <c r="H90" s="123"/>
      <c r="I90" s="124"/>
      <c r="J90" s="118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2:34">
      <c r="B91"/>
      <c r="C91"/>
      <c r="D91"/>
      <c r="E91"/>
      <c r="F91" s="22"/>
      <c r="G91" s="22"/>
      <c r="H91" s="123"/>
      <c r="I91" s="124"/>
      <c r="J91" s="118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2:34">
      <c r="B92"/>
      <c r="C92"/>
      <c r="D92"/>
      <c r="E92"/>
      <c r="F92"/>
      <c r="G92"/>
      <c r="H92" s="123"/>
      <c r="I92" s="124"/>
      <c r="J92" s="118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2:34">
      <c r="B93"/>
      <c r="C93"/>
      <c r="D93"/>
      <c r="E93"/>
      <c r="F93"/>
      <c r="G93"/>
      <c r="H93" s="119"/>
      <c r="I93" s="124"/>
      <c r="J93" s="118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2:34">
      <c r="B94"/>
      <c r="C94" s="22"/>
      <c r="D94" s="22"/>
      <c r="E94" s="22"/>
      <c r="F94" s="22"/>
      <c r="G94" s="22"/>
      <c r="H94" s="122"/>
      <c r="I94" s="124"/>
      <c r="J94" s="118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2:34">
      <c r="B95"/>
      <c r="C95" s="22"/>
      <c r="D95" s="22"/>
      <c r="E95" s="22"/>
      <c r="F95" s="22"/>
      <c r="G95" s="22"/>
      <c r="H95" s="123"/>
      <c r="I95" s="124"/>
      <c r="J95" s="118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2:34">
      <c r="B96"/>
      <c r="C96" s="22"/>
      <c r="D96" s="22"/>
      <c r="E96" s="22"/>
      <c r="F96" s="22"/>
      <c r="G96" s="22"/>
      <c r="H96" s="123"/>
      <c r="I96" s="124"/>
      <c r="J96" s="118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2:34">
      <c r="B97"/>
      <c r="C97" s="22"/>
      <c r="D97" s="22"/>
      <c r="E97" s="22"/>
      <c r="F97" s="22"/>
      <c r="G97" s="22"/>
      <c r="H97" s="123"/>
      <c r="I97" s="124"/>
      <c r="J97" s="118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2:34">
      <c r="B98"/>
      <c r="C98" s="22"/>
      <c r="D98" s="22"/>
      <c r="E98" s="22"/>
      <c r="F98" s="22"/>
      <c r="G98" s="22"/>
      <c r="H98" s="123"/>
      <c r="I98" s="124"/>
      <c r="J98" s="11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2:34">
      <c r="B99"/>
      <c r="C99" s="22"/>
      <c r="D99" s="22"/>
      <c r="E99" s="22"/>
      <c r="F99" s="122"/>
      <c r="G99" s="122"/>
      <c r="H99" s="123"/>
      <c r="I99" s="124"/>
      <c r="J99" s="118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2:34">
      <c r="B100"/>
      <c r="C100" s="22"/>
      <c r="D100" s="22"/>
      <c r="E100" s="22"/>
      <c r="F100" s="22"/>
      <c r="G100" s="22"/>
      <c r="H100" s="123"/>
      <c r="I100" s="124"/>
      <c r="J100" s="118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2:34">
      <c r="B101"/>
      <c r="C101" s="22"/>
      <c r="D101" s="22"/>
      <c r="E101" s="22"/>
      <c r="F101" s="22"/>
      <c r="G101" s="22"/>
      <c r="H101" s="123"/>
      <c r="I101" s="124"/>
      <c r="J101" s="118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2:34">
      <c r="B102"/>
      <c r="C102" s="22"/>
      <c r="D102" s="22"/>
      <c r="E102" s="22"/>
      <c r="F102" s="22"/>
      <c r="G102" s="22"/>
      <c r="H102" s="123"/>
      <c r="I102" s="124"/>
      <c r="J102" s="118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2:34">
      <c r="B103"/>
      <c r="C103" s="22"/>
      <c r="D103" s="22"/>
      <c r="E103" s="22"/>
      <c r="F103" s="22"/>
      <c r="G103" s="22"/>
      <c r="H103" s="123"/>
      <c r="I103" s="124"/>
      <c r="J103" s="118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2:34">
      <c r="B104"/>
      <c r="C104" s="22"/>
      <c r="D104" s="22"/>
      <c r="E104" s="22"/>
      <c r="F104" s="22"/>
      <c r="G104" s="22"/>
      <c r="H104" s="123"/>
      <c r="I104" s="124"/>
      <c r="J104" s="118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2:34">
      <c r="B105"/>
      <c r="C105" s="22"/>
      <c r="D105" s="22"/>
      <c r="E105" s="22"/>
      <c r="F105" s="22"/>
      <c r="G105" s="22"/>
      <c r="H105" s="123"/>
      <c r="I105" s="124"/>
      <c r="J105" s="118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2:34">
      <c r="B106"/>
      <c r="C106"/>
      <c r="D106"/>
      <c r="E106"/>
      <c r="F106" s="22"/>
      <c r="G106" s="22"/>
      <c r="H106" s="123"/>
      <c r="I106" s="124"/>
      <c r="J106" s="118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2:34"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2:34">
      <c r="Q108"/>
      <c r="AH108"/>
    </row>
    <row r="109" spans="2:34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AH109"/>
    </row>
    <row r="110" spans="2:34">
      <c r="B110"/>
      <c r="C110" s="203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AH110"/>
    </row>
    <row r="111" spans="2:34">
      <c r="B111" s="177"/>
      <c r="C111" s="203"/>
      <c r="D111" s="203"/>
      <c r="E111" s="118"/>
      <c r="F111" s="118"/>
      <c r="G111" s="118"/>
      <c r="H111" s="118"/>
      <c r="I111" s="118"/>
      <c r="J111"/>
      <c r="K111"/>
      <c r="L111"/>
      <c r="M111"/>
      <c r="N111"/>
      <c r="O111"/>
      <c r="P111"/>
      <c r="Q111"/>
      <c r="AH111"/>
    </row>
    <row r="112" spans="2:34">
      <c r="B112" s="177"/>
      <c r="C112" s="203"/>
      <c r="D112" s="203"/>
      <c r="E112" s="118"/>
      <c r="F112" s="118"/>
      <c r="G112" s="118"/>
      <c r="H112" s="118"/>
      <c r="I112" s="118"/>
      <c r="J112"/>
      <c r="K112"/>
      <c r="L112"/>
      <c r="M112"/>
      <c r="N112"/>
      <c r="O112"/>
      <c r="P112"/>
      <c r="Q112"/>
      <c r="AH112"/>
    </row>
    <row r="113" spans="2:34">
      <c r="B113" s="177"/>
      <c r="C113" s="203"/>
      <c r="D113" s="203"/>
      <c r="E113" s="118"/>
      <c r="F113" s="118"/>
      <c r="G113" s="118"/>
      <c r="H113" s="118"/>
      <c r="I113" s="118"/>
      <c r="J113"/>
      <c r="K113"/>
      <c r="L113"/>
      <c r="M113"/>
      <c r="N113"/>
      <c r="O113"/>
      <c r="P113"/>
      <c r="Q113"/>
      <c r="AH113"/>
    </row>
    <row r="114" spans="2:34">
      <c r="B114" s="177"/>
      <c r="C114" s="203"/>
      <c r="D114" s="203"/>
      <c r="E114" s="118"/>
      <c r="F114" s="118"/>
      <c r="G114" s="118"/>
      <c r="H114" s="118"/>
      <c r="I114" s="118"/>
      <c r="J114"/>
      <c r="K114"/>
      <c r="L114"/>
      <c r="M114"/>
      <c r="N114"/>
      <c r="O114"/>
      <c r="P114"/>
      <c r="Q114"/>
      <c r="AH114"/>
    </row>
    <row r="115" spans="2:34">
      <c r="B115" s="177"/>
      <c r="C115" s="203"/>
      <c r="D115" s="203"/>
      <c r="E115" s="118"/>
      <c r="F115" s="118"/>
      <c r="G115" s="118"/>
      <c r="H115" s="118"/>
      <c r="I115" s="118"/>
      <c r="J115"/>
      <c r="K115"/>
      <c r="L115"/>
      <c r="M115"/>
      <c r="N115"/>
      <c r="O115"/>
      <c r="P115"/>
      <c r="Q115"/>
      <c r="AH115"/>
    </row>
    <row r="116" spans="2:34">
      <c r="B116" s="177"/>
      <c r="C116" s="203"/>
      <c r="D116" s="203"/>
      <c r="E116" s="118"/>
      <c r="F116" s="118"/>
      <c r="G116" s="118"/>
      <c r="H116" s="118"/>
      <c r="I116" s="118"/>
      <c r="J116"/>
      <c r="K116"/>
      <c r="L116"/>
      <c r="M116"/>
      <c r="N116"/>
      <c r="O116"/>
      <c r="P116"/>
      <c r="Q116"/>
      <c r="AH116"/>
    </row>
    <row r="117" spans="2:34">
      <c r="B117" s="177"/>
      <c r="C117" s="203"/>
      <c r="D117" s="203"/>
      <c r="E117" s="118"/>
      <c r="F117" s="118"/>
      <c r="G117" s="118"/>
      <c r="H117" s="118"/>
      <c r="I117" s="118"/>
      <c r="J117"/>
      <c r="K117"/>
      <c r="L117"/>
      <c r="M117"/>
      <c r="N117"/>
      <c r="O117"/>
      <c r="P117"/>
      <c r="Q117"/>
      <c r="AH117"/>
    </row>
    <row r="118" spans="2:34">
      <c r="B118" s="177"/>
      <c r="C118" s="203"/>
      <c r="D118" s="203"/>
      <c r="E118" s="118"/>
      <c r="F118" s="118"/>
      <c r="G118" s="118"/>
      <c r="H118" s="118"/>
      <c r="I118" s="118"/>
      <c r="J118"/>
      <c r="K118"/>
      <c r="L118"/>
      <c r="M118"/>
      <c r="N118"/>
      <c r="O118"/>
      <c r="P118"/>
      <c r="Q118"/>
      <c r="AH118"/>
    </row>
    <row r="119" spans="2:34">
      <c r="B119" s="177"/>
      <c r="C119" s="203"/>
      <c r="D119" s="203"/>
      <c r="E119" s="118"/>
      <c r="F119" s="118"/>
      <c r="G119" s="118"/>
      <c r="H119" s="118"/>
      <c r="I119" s="118"/>
      <c r="J119"/>
      <c r="K119"/>
      <c r="L119"/>
      <c r="M119"/>
      <c r="N119"/>
      <c r="O119"/>
      <c r="P119"/>
      <c r="Q119"/>
      <c r="AH119"/>
    </row>
    <row r="120" spans="2:34">
      <c r="B120" s="177"/>
      <c r="C120" s="203"/>
      <c r="D120" s="203"/>
      <c r="E120" s="118"/>
      <c r="F120" s="118"/>
      <c r="G120" s="118"/>
      <c r="H120" s="118"/>
      <c r="I120" s="118"/>
      <c r="J120"/>
      <c r="K120"/>
      <c r="L120"/>
      <c r="M120"/>
      <c r="N120"/>
      <c r="O120"/>
      <c r="P120"/>
      <c r="Q120"/>
      <c r="AH120"/>
    </row>
    <row r="121" spans="2:34">
      <c r="B121" s="177"/>
      <c r="C121" s="203"/>
      <c r="D121" s="203"/>
      <c r="E121" s="118"/>
      <c r="F121" s="118"/>
      <c r="G121" s="118"/>
      <c r="H121" s="118"/>
      <c r="I121" s="118"/>
      <c r="J121"/>
      <c r="K121"/>
      <c r="L121"/>
      <c r="M121"/>
      <c r="N121"/>
      <c r="O121"/>
      <c r="P121"/>
      <c r="Q121"/>
      <c r="AH121"/>
    </row>
    <row r="122" spans="2:34">
      <c r="B122" s="177"/>
      <c r="C122" s="203"/>
      <c r="D122" s="203"/>
      <c r="E122" s="118"/>
      <c r="F122" s="118"/>
      <c r="G122" s="118"/>
      <c r="H122" s="118"/>
      <c r="I122" s="118"/>
      <c r="J122"/>
      <c r="K122"/>
      <c r="L122"/>
      <c r="M122"/>
      <c r="N122"/>
      <c r="O122"/>
      <c r="P122"/>
      <c r="Q122"/>
      <c r="AH122"/>
    </row>
    <row r="123" spans="2:34">
      <c r="B123" s="177"/>
      <c r="C123" s="203"/>
      <c r="D123" s="203"/>
      <c r="E123" s="118"/>
      <c r="F123" s="118"/>
      <c r="G123" s="118"/>
      <c r="H123" s="118"/>
      <c r="I123" s="118"/>
      <c r="J123"/>
      <c r="K123"/>
      <c r="L123"/>
      <c r="M123"/>
      <c r="N123"/>
      <c r="O123"/>
      <c r="P123"/>
      <c r="Q123"/>
      <c r="AH123"/>
    </row>
    <row r="124" spans="2:34">
      <c r="B124" s="177"/>
      <c r="C124" s="203"/>
      <c r="D124" s="203"/>
      <c r="E124" s="118"/>
      <c r="F124" s="118"/>
      <c r="G124" s="118"/>
      <c r="H124" s="118"/>
      <c r="I124" s="118"/>
      <c r="J124"/>
      <c r="K124"/>
      <c r="L124"/>
      <c r="M124"/>
      <c r="N124"/>
      <c r="O124"/>
      <c r="P124"/>
      <c r="Q124"/>
      <c r="AH124"/>
    </row>
    <row r="125" spans="2:34">
      <c r="B125" s="177"/>
      <c r="C125" s="203"/>
      <c r="D125" s="203"/>
      <c r="E125" s="118"/>
      <c r="F125" s="118"/>
      <c r="G125" s="118"/>
      <c r="H125" s="118"/>
      <c r="I125" s="118"/>
      <c r="J125"/>
      <c r="K125"/>
      <c r="L125"/>
      <c r="M125"/>
      <c r="N125"/>
      <c r="O125"/>
      <c r="P125"/>
      <c r="Q125"/>
      <c r="AH125"/>
    </row>
    <row r="126" spans="2:34">
      <c r="B126" s="177"/>
      <c r="C126" s="203"/>
      <c r="D126" s="203"/>
      <c r="E126" s="118"/>
      <c r="F126" s="118"/>
      <c r="G126" s="118"/>
      <c r="H126" s="118"/>
      <c r="I126" s="118"/>
      <c r="J126"/>
      <c r="K126"/>
      <c r="L126"/>
      <c r="M126"/>
      <c r="N126"/>
      <c r="O126"/>
      <c r="P126"/>
      <c r="Q126"/>
      <c r="AH126"/>
    </row>
    <row r="127" spans="2:34">
      <c r="B127" s="177"/>
      <c r="C127" s="203"/>
      <c r="D127" s="203"/>
      <c r="E127" s="118"/>
      <c r="F127" s="118"/>
      <c r="G127" s="118"/>
      <c r="H127" s="118"/>
      <c r="I127" s="118"/>
      <c r="J127"/>
      <c r="K127"/>
      <c r="L127"/>
      <c r="M127"/>
      <c r="N127"/>
      <c r="O127"/>
      <c r="P127"/>
      <c r="Q127"/>
      <c r="AH127"/>
    </row>
    <row r="128" spans="2:34">
      <c r="B128" s="177"/>
      <c r="C128" s="203"/>
      <c r="D128" s="203"/>
      <c r="E128" s="118"/>
      <c r="F128" s="118"/>
      <c r="G128" s="118"/>
      <c r="H128" s="118"/>
      <c r="I128" s="118"/>
      <c r="J128"/>
      <c r="K128"/>
      <c r="L128"/>
      <c r="M128"/>
      <c r="N128"/>
      <c r="O128"/>
      <c r="P128"/>
      <c r="Q128"/>
      <c r="AH128"/>
    </row>
    <row r="129" spans="2:34">
      <c r="B129" s="177"/>
      <c r="C129" s="203"/>
      <c r="D129" s="203"/>
      <c r="E129" s="118"/>
      <c r="F129" s="118"/>
      <c r="G129" s="118"/>
      <c r="H129" s="118"/>
      <c r="I129" s="118"/>
      <c r="J129"/>
      <c r="K129"/>
      <c r="L129"/>
      <c r="M129"/>
      <c r="N129"/>
      <c r="O129"/>
      <c r="P129"/>
      <c r="Q129"/>
      <c r="AH129"/>
    </row>
    <row r="130" spans="2:34">
      <c r="B130" s="177"/>
      <c r="C130" s="203"/>
      <c r="D130" s="203"/>
      <c r="E130" s="118"/>
      <c r="F130" s="118"/>
      <c r="G130" s="118"/>
      <c r="H130" s="118"/>
      <c r="I130" s="118"/>
      <c r="J130"/>
      <c r="K130"/>
      <c r="L130"/>
      <c r="M130"/>
      <c r="N130"/>
      <c r="O130"/>
      <c r="P130"/>
      <c r="Q130"/>
      <c r="AH130"/>
    </row>
    <row r="131" spans="2:34">
      <c r="B131" s="177"/>
      <c r="C131" s="203"/>
      <c r="D131" s="203"/>
      <c r="E131" s="118"/>
      <c r="F131" s="118"/>
      <c r="G131" s="118"/>
      <c r="H131" s="118"/>
      <c r="I131" s="118"/>
      <c r="J131"/>
      <c r="K131"/>
      <c r="L131"/>
      <c r="M131"/>
      <c r="N131"/>
      <c r="O131"/>
      <c r="P131"/>
      <c r="Q131"/>
      <c r="AH131"/>
    </row>
    <row r="132" spans="2:34">
      <c r="B132" s="177"/>
      <c r="C132" s="203"/>
      <c r="D132" s="203"/>
      <c r="E132" s="118"/>
      <c r="F132" s="118"/>
      <c r="G132" s="118"/>
      <c r="H132" s="118"/>
      <c r="I132" s="118"/>
      <c r="J132"/>
      <c r="K132"/>
      <c r="L132"/>
      <c r="M132"/>
      <c r="N132"/>
      <c r="O132"/>
      <c r="P132"/>
      <c r="Q132"/>
      <c r="AH132"/>
    </row>
    <row r="133" spans="2:34">
      <c r="B133" s="177"/>
      <c r="C133" s="203"/>
      <c r="D133" s="203"/>
      <c r="E133" s="118"/>
      <c r="F133" s="118"/>
      <c r="G133" s="118"/>
      <c r="H133" s="118"/>
      <c r="I133" s="118"/>
      <c r="J133"/>
      <c r="K133"/>
      <c r="L133"/>
      <c r="M133"/>
      <c r="N133"/>
      <c r="O133"/>
      <c r="P133"/>
      <c r="Q133"/>
      <c r="AH133"/>
    </row>
    <row r="134" spans="2:34">
      <c r="B134" s="177"/>
      <c r="C134" s="203"/>
      <c r="D134" s="203"/>
      <c r="E134" s="118"/>
      <c r="F134" s="118"/>
      <c r="G134" s="118"/>
      <c r="H134" s="118"/>
      <c r="I134" s="118"/>
      <c r="J134"/>
      <c r="K134"/>
      <c r="L134"/>
      <c r="M134"/>
      <c r="N134"/>
      <c r="O134"/>
      <c r="P134"/>
      <c r="Q134"/>
      <c r="AH134"/>
    </row>
    <row r="135" spans="2:34">
      <c r="B135" s="177"/>
      <c r="C135" s="203"/>
      <c r="D135" s="203"/>
      <c r="E135" s="118"/>
      <c r="F135" s="118"/>
      <c r="G135" s="118"/>
      <c r="H135" s="118"/>
      <c r="I135" s="118"/>
      <c r="J135"/>
      <c r="K135"/>
      <c r="L135"/>
      <c r="M135"/>
      <c r="N135"/>
      <c r="O135"/>
      <c r="P135"/>
      <c r="Q135"/>
      <c r="AH135"/>
    </row>
    <row r="136" spans="2:34">
      <c r="B136" s="177"/>
      <c r="C136" s="203"/>
      <c r="D136" s="203"/>
      <c r="E136" s="118"/>
      <c r="F136" s="118"/>
      <c r="G136" s="118"/>
      <c r="H136" s="118"/>
      <c r="I136" s="118"/>
      <c r="J136"/>
      <c r="K136"/>
      <c r="L136"/>
      <c r="M136"/>
      <c r="N136"/>
      <c r="O136"/>
      <c r="P136"/>
      <c r="Q136"/>
      <c r="AH136"/>
    </row>
    <row r="137" spans="2:34">
      <c r="B137" s="177"/>
      <c r="C137" s="203"/>
      <c r="D137" s="203"/>
      <c r="E137" s="118"/>
      <c r="F137" s="118"/>
      <c r="G137" s="118"/>
      <c r="H137" s="118"/>
      <c r="I137" s="118"/>
      <c r="J137"/>
      <c r="K137"/>
      <c r="L137"/>
      <c r="M137"/>
      <c r="N137"/>
      <c r="O137"/>
      <c r="P137"/>
      <c r="Q137"/>
      <c r="AH137"/>
    </row>
    <row r="138" spans="2:34">
      <c r="B138" s="177"/>
      <c r="C138" s="203"/>
      <c r="D138" s="203"/>
      <c r="E138" s="118"/>
      <c r="F138" s="118"/>
      <c r="G138" s="118"/>
      <c r="H138" s="118"/>
      <c r="I138" s="118"/>
      <c r="J138"/>
      <c r="K138"/>
      <c r="L138"/>
      <c r="M138"/>
      <c r="N138"/>
      <c r="O138"/>
      <c r="P138"/>
      <c r="Q138"/>
      <c r="AH138"/>
    </row>
    <row r="139" spans="2:34">
      <c r="B139" s="177"/>
      <c r="C139" s="203"/>
      <c r="D139" s="203"/>
      <c r="E139" s="118"/>
      <c r="F139" s="118"/>
      <c r="G139" s="118"/>
      <c r="H139" s="118"/>
      <c r="I139" s="118"/>
      <c r="J139"/>
      <c r="K139"/>
      <c r="L139"/>
      <c r="M139"/>
      <c r="N139"/>
      <c r="O139"/>
      <c r="P139"/>
      <c r="Q139"/>
      <c r="AH139"/>
    </row>
    <row r="140" spans="2:34">
      <c r="B140" s="177"/>
      <c r="C140" s="203"/>
      <c r="D140" s="203"/>
      <c r="E140" s="118"/>
      <c r="F140" s="118"/>
      <c r="G140" s="118"/>
      <c r="H140" s="118"/>
      <c r="I140" s="118"/>
      <c r="J140"/>
      <c r="K140"/>
      <c r="L140"/>
      <c r="M140"/>
      <c r="N140"/>
      <c r="O140"/>
      <c r="P140"/>
      <c r="Q140"/>
      <c r="AH140"/>
    </row>
    <row r="141" spans="2:34">
      <c r="B141" s="177"/>
      <c r="C141" s="203"/>
      <c r="D141" s="203"/>
      <c r="E141" s="118"/>
      <c r="F141" s="118"/>
      <c r="G141" s="118"/>
      <c r="H141" s="118"/>
      <c r="I141" s="118"/>
      <c r="J141"/>
      <c r="K141"/>
      <c r="L141"/>
      <c r="M141"/>
      <c r="N141"/>
      <c r="O141"/>
      <c r="P141"/>
      <c r="Q141"/>
      <c r="AH141"/>
    </row>
    <row r="142" spans="2:34">
      <c r="B142" s="177"/>
      <c r="C142" s="203"/>
      <c r="D142" s="203"/>
      <c r="E142" s="118"/>
      <c r="F142" s="118"/>
      <c r="G142" s="118"/>
      <c r="H142" s="118"/>
      <c r="I142" s="118"/>
      <c r="J142"/>
      <c r="K142"/>
      <c r="L142"/>
      <c r="M142"/>
      <c r="N142"/>
      <c r="O142"/>
      <c r="P142"/>
      <c r="Q142"/>
      <c r="AH142"/>
    </row>
    <row r="143" spans="2:34">
      <c r="B143" s="177"/>
      <c r="C143" s="203"/>
      <c r="D143" s="203"/>
      <c r="E143" s="118"/>
      <c r="F143" s="118"/>
      <c r="G143" s="118"/>
      <c r="H143" s="118"/>
      <c r="I143" s="118"/>
      <c r="J143"/>
      <c r="K143"/>
      <c r="L143"/>
      <c r="M143"/>
      <c r="N143"/>
      <c r="O143"/>
      <c r="P143"/>
      <c r="Q143"/>
      <c r="AH143"/>
    </row>
    <row r="144" spans="2:34">
      <c r="B144" s="177"/>
      <c r="C144" s="203"/>
      <c r="D144" s="203"/>
      <c r="E144" s="118"/>
      <c r="F144" s="118"/>
      <c r="G144" s="118"/>
      <c r="H144" s="118"/>
      <c r="I144" s="118"/>
      <c r="J144"/>
      <c r="K144"/>
      <c r="L144"/>
      <c r="M144"/>
      <c r="N144"/>
      <c r="O144"/>
      <c r="P144"/>
      <c r="Q144"/>
      <c r="AH144"/>
    </row>
    <row r="145" spans="2:34">
      <c r="B145" s="177"/>
      <c r="C145" s="203"/>
      <c r="D145" s="203"/>
      <c r="E145" s="118"/>
      <c r="F145" s="118"/>
      <c r="G145" s="118"/>
      <c r="H145" s="118"/>
      <c r="I145" s="118"/>
      <c r="J145"/>
      <c r="K145"/>
      <c r="L145"/>
      <c r="M145"/>
      <c r="N145"/>
      <c r="O145"/>
      <c r="P145"/>
      <c r="Q145"/>
      <c r="AH145"/>
    </row>
    <row r="146" spans="2:34">
      <c r="B146" s="177"/>
      <c r="C146" s="203"/>
      <c r="D146" s="203"/>
      <c r="E146" s="118"/>
      <c r="F146" s="118"/>
      <c r="G146" s="118"/>
      <c r="H146" s="118"/>
      <c r="I146" s="118"/>
      <c r="J146"/>
      <c r="K146"/>
      <c r="L146"/>
      <c r="M146"/>
      <c r="N146"/>
      <c r="O146"/>
      <c r="P146"/>
      <c r="Q146"/>
      <c r="AH146"/>
    </row>
    <row r="147" spans="2:34">
      <c r="B147" s="177"/>
      <c r="C147" s="203"/>
      <c r="D147" s="203"/>
      <c r="E147" s="118"/>
      <c r="F147" s="118"/>
      <c r="G147" s="118"/>
      <c r="H147" s="118"/>
      <c r="I147" s="118"/>
      <c r="J147"/>
      <c r="K147"/>
      <c r="L147"/>
      <c r="M147"/>
      <c r="N147"/>
      <c r="O147"/>
      <c r="P147"/>
      <c r="Q147"/>
      <c r="AH147"/>
    </row>
    <row r="148" spans="2:34">
      <c r="B148" s="177"/>
      <c r="C148" s="203"/>
      <c r="D148" s="203"/>
      <c r="E148" s="118"/>
      <c r="F148" s="118"/>
      <c r="G148" s="118"/>
      <c r="H148" s="118"/>
      <c r="I148" s="118"/>
      <c r="J148"/>
      <c r="K148"/>
      <c r="L148"/>
      <c r="M148"/>
      <c r="N148"/>
      <c r="O148"/>
      <c r="P148"/>
      <c r="Q148"/>
      <c r="AH148"/>
    </row>
    <row r="149" spans="2:34">
      <c r="B149" s="177"/>
      <c r="C149" s="203"/>
      <c r="D149" s="203"/>
      <c r="E149" s="118"/>
      <c r="F149" s="118"/>
      <c r="G149" s="118"/>
      <c r="H149" s="118"/>
      <c r="I149" s="118"/>
      <c r="J149"/>
      <c r="K149"/>
      <c r="L149"/>
      <c r="M149"/>
      <c r="N149"/>
      <c r="O149"/>
      <c r="P149"/>
      <c r="Q149"/>
      <c r="AH149"/>
    </row>
    <row r="150" spans="2:34">
      <c r="B150" s="177"/>
      <c r="C150" s="203"/>
      <c r="D150" s="203"/>
      <c r="E150" s="118"/>
      <c r="F150" s="118"/>
      <c r="G150" s="118"/>
      <c r="H150" s="118"/>
      <c r="I150" s="118"/>
      <c r="J150"/>
      <c r="K150"/>
      <c r="L150"/>
      <c r="M150"/>
      <c r="N150"/>
      <c r="O150"/>
      <c r="P150"/>
      <c r="Q150"/>
      <c r="AH150"/>
    </row>
    <row r="151" spans="2:34">
      <c r="B151" s="177"/>
      <c r="C151" s="203"/>
      <c r="D151" s="203"/>
      <c r="E151" s="118"/>
      <c r="F151" s="118"/>
      <c r="G151" s="118"/>
      <c r="H151" s="118"/>
      <c r="I151" s="118"/>
      <c r="J151"/>
      <c r="K151"/>
      <c r="L151"/>
      <c r="M151"/>
      <c r="N151"/>
      <c r="O151"/>
      <c r="P151"/>
      <c r="Q151"/>
      <c r="AH151"/>
    </row>
    <row r="152" spans="2:34">
      <c r="B152" s="177"/>
      <c r="C152" s="203"/>
      <c r="D152" s="203"/>
      <c r="E152" s="118"/>
      <c r="F152" s="118"/>
      <c r="G152" s="118"/>
      <c r="H152" s="118"/>
      <c r="I152" s="118"/>
      <c r="J152"/>
      <c r="K152"/>
      <c r="L152"/>
      <c r="M152"/>
      <c r="N152"/>
      <c r="O152"/>
      <c r="P152"/>
      <c r="Q152"/>
      <c r="AH152"/>
    </row>
    <row r="153" spans="2:34">
      <c r="B153" s="177"/>
      <c r="C153" s="203"/>
      <c r="D153" s="203"/>
      <c r="E153" s="118"/>
      <c r="F153" s="118"/>
      <c r="G153" s="118"/>
      <c r="H153" s="118"/>
      <c r="I153" s="118"/>
      <c r="J153"/>
      <c r="K153"/>
      <c r="L153"/>
      <c r="M153"/>
      <c r="N153"/>
      <c r="O153"/>
      <c r="P153"/>
      <c r="Q153"/>
      <c r="AH153"/>
    </row>
    <row r="154" spans="2:34">
      <c r="B154" s="177"/>
      <c r="C154" s="203"/>
      <c r="D154" s="203"/>
      <c r="E154" s="118"/>
      <c r="F154" s="118"/>
      <c r="G154" s="118"/>
      <c r="H154" s="118"/>
      <c r="I154" s="118"/>
      <c r="J154"/>
      <c r="K154"/>
      <c r="L154"/>
      <c r="M154"/>
      <c r="N154"/>
      <c r="O154"/>
      <c r="P154"/>
      <c r="Q154"/>
      <c r="AH154"/>
    </row>
    <row r="155" spans="2:34">
      <c r="B155" s="177"/>
      <c r="C155" s="203"/>
      <c r="D155" s="203"/>
      <c r="E155" s="118"/>
      <c r="F155" s="118"/>
      <c r="G155" s="118"/>
      <c r="H155" s="118"/>
      <c r="I155" s="118"/>
      <c r="J155"/>
      <c r="K155"/>
      <c r="L155"/>
      <c r="M155"/>
      <c r="N155"/>
      <c r="O155"/>
      <c r="P155"/>
      <c r="Q155"/>
      <c r="AH155"/>
    </row>
    <row r="156" spans="2:34">
      <c r="B156" s="177"/>
      <c r="C156" s="203"/>
      <c r="D156" s="203"/>
      <c r="E156" s="118"/>
      <c r="F156" s="118"/>
      <c r="G156" s="118"/>
      <c r="H156" s="118"/>
      <c r="I156" s="118"/>
      <c r="J156"/>
      <c r="K156"/>
      <c r="L156"/>
      <c r="M156"/>
      <c r="N156"/>
      <c r="O156"/>
      <c r="P156"/>
      <c r="Q156"/>
      <c r="AH156"/>
    </row>
    <row r="157" spans="2:34">
      <c r="B157" s="177"/>
      <c r="C157" s="203"/>
      <c r="D157" s="203"/>
      <c r="E157" s="118"/>
      <c r="F157" s="118"/>
      <c r="G157" s="118"/>
      <c r="H157" s="118"/>
      <c r="I157" s="118"/>
      <c r="J157"/>
      <c r="K157"/>
      <c r="L157"/>
      <c r="M157"/>
      <c r="N157"/>
      <c r="O157"/>
      <c r="P157"/>
      <c r="Q157"/>
      <c r="AH157"/>
    </row>
    <row r="158" spans="2:34">
      <c r="B158" s="177"/>
      <c r="C158" s="203"/>
      <c r="D158" s="203"/>
      <c r="E158" s="118"/>
      <c r="F158" s="118"/>
      <c r="G158" s="118"/>
      <c r="H158" s="118"/>
      <c r="I158" s="118"/>
      <c r="J158"/>
      <c r="K158"/>
      <c r="L158"/>
      <c r="M158"/>
      <c r="N158"/>
      <c r="O158"/>
      <c r="P158"/>
      <c r="Q158"/>
      <c r="AH158"/>
    </row>
    <row r="159" spans="2:34">
      <c r="B159" s="177"/>
      <c r="C159" s="203"/>
      <c r="D159" s="203"/>
      <c r="E159" s="118"/>
      <c r="F159" s="118"/>
      <c r="G159" s="118"/>
      <c r="H159" s="118"/>
      <c r="I159" s="118"/>
      <c r="J159"/>
      <c r="K159"/>
      <c r="L159"/>
      <c r="M159"/>
      <c r="N159"/>
      <c r="O159"/>
      <c r="P159"/>
      <c r="Q159"/>
      <c r="AH159"/>
    </row>
    <row r="160" spans="2:34">
      <c r="B160" s="177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AH160"/>
    </row>
    <row r="161" spans="2:34">
      <c r="B161" s="177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AH161"/>
    </row>
    <row r="162" spans="2:34">
      <c r="B162" s="177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AH162"/>
    </row>
    <row r="163" spans="2:34">
      <c r="B163" s="177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AH163"/>
    </row>
    <row r="164" spans="2:34">
      <c r="B164" s="177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AH164"/>
    </row>
    <row r="165" spans="2:34">
      <c r="B165" s="177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AH165"/>
    </row>
    <row r="166" spans="2:34">
      <c r="B166" s="177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AH166"/>
    </row>
    <row r="167" spans="2:34">
      <c r="B167" s="17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AH167"/>
    </row>
    <row r="168" spans="2:34">
      <c r="B168" s="177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AH168"/>
    </row>
    <row r="169" spans="2:34">
      <c r="B169" s="177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AH169"/>
    </row>
    <row r="170" spans="2:34">
      <c r="B170" s="177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AH170"/>
    </row>
    <row r="171" spans="2:34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AH171"/>
    </row>
    <row r="172" spans="2:34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AH172"/>
    </row>
    <row r="173" spans="2:34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AH173"/>
    </row>
  </sheetData>
  <pageMargins left="0.7" right="0.7" top="0.75" bottom="0.75" header="0.3" footer="0.3"/>
  <pageSetup paperSize="9" orientation="portrait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178"/>
  <sheetViews>
    <sheetView zoomScale="130" zoomScaleNormal="130" workbookViewId="0">
      <selection activeCell="I46" sqref="I46"/>
    </sheetView>
  </sheetViews>
  <sheetFormatPr defaultColWidth="9" defaultRowHeight="13.5"/>
  <cols>
    <col min="2" max="2" width="29.875" customWidth="1"/>
    <col min="3" max="3" width="11.625" customWidth="1"/>
    <col min="4" max="4" width="9.5" customWidth="1"/>
    <col min="5" max="5" width="8.875" customWidth="1"/>
    <col min="6" max="6" width="12.875"/>
    <col min="8" max="10" width="12.875"/>
    <col min="15" max="15" width="9.25" customWidth="1"/>
    <col min="17" max="17" width="9" customWidth="1"/>
  </cols>
  <sheetData>
    <row r="1" s="14" customFormat="1" ht="14.25" spans="2:17">
      <c r="B1" s="143" t="s">
        <v>132</v>
      </c>
      <c r="C1" s="143" t="s">
        <v>51</v>
      </c>
      <c r="D1" s="143" t="s">
        <v>52</v>
      </c>
      <c r="E1" s="143" t="s">
        <v>53</v>
      </c>
      <c r="F1" s="143" t="s">
        <v>54</v>
      </c>
      <c r="G1" s="143" t="s">
        <v>55</v>
      </c>
      <c r="H1" s="143" t="s">
        <v>56</v>
      </c>
      <c r="I1" s="143" t="s">
        <v>57</v>
      </c>
      <c r="J1" s="143" t="s">
        <v>58</v>
      </c>
      <c r="K1" s="143" t="s">
        <v>59</v>
      </c>
      <c r="L1" s="143" t="s">
        <v>60</v>
      </c>
      <c r="M1" s="143" t="s">
        <v>61</v>
      </c>
      <c r="N1" s="143" t="s">
        <v>62</v>
      </c>
      <c r="O1" s="143" t="s">
        <v>63</v>
      </c>
    </row>
    <row r="2" s="14" customFormat="1" ht="14.25" spans="2:17">
      <c r="B2" s="144">
        <v>2018</v>
      </c>
      <c r="C2" s="145">
        <v>3</v>
      </c>
      <c r="D2" s="145">
        <v>2.9</v>
      </c>
      <c r="E2" s="145">
        <v>5.6</v>
      </c>
      <c r="F2" s="145">
        <v>7.3</v>
      </c>
      <c r="G2" s="145">
        <v>9.2</v>
      </c>
      <c r="H2" s="145">
        <v>7.1398</v>
      </c>
      <c r="I2" s="145">
        <v>6.8299</v>
      </c>
      <c r="J2" s="145">
        <v>8.2511</v>
      </c>
      <c r="K2" s="145">
        <v>9.4785</v>
      </c>
      <c r="L2" s="145">
        <v>11.6492</v>
      </c>
      <c r="M2" s="145">
        <v>12.9522</v>
      </c>
      <c r="N2" s="145">
        <v>15.8255</v>
      </c>
      <c r="O2" s="146">
        <f t="shared" ref="O2:O7" si="0">SUM(C2:N2)</f>
        <v>100.1262</v>
      </c>
    </row>
    <row r="3" s="14" customFormat="1" ht="14.25" spans="2:17">
      <c r="B3" s="144">
        <v>2019</v>
      </c>
      <c r="C3" s="145">
        <v>9.588</v>
      </c>
      <c r="D3" s="145">
        <v>4.6505</v>
      </c>
      <c r="E3" s="145">
        <v>10.5502</v>
      </c>
      <c r="F3" s="145">
        <v>8.5536</v>
      </c>
      <c r="G3" s="145">
        <v>9.3704</v>
      </c>
      <c r="H3" s="145">
        <v>13.8421</v>
      </c>
      <c r="I3" s="145">
        <v>6.5457</v>
      </c>
      <c r="J3" s="145">
        <v>6.4552</v>
      </c>
      <c r="K3" s="145">
        <v>6.1818</v>
      </c>
      <c r="L3" s="145">
        <v>6.3028</v>
      </c>
      <c r="M3" s="145">
        <v>7.1223</v>
      </c>
      <c r="N3" s="145">
        <v>13.0679</v>
      </c>
      <c r="O3" s="146">
        <f t="shared" si="0"/>
        <v>102.2305</v>
      </c>
      <c r="Q3" s="147"/>
    </row>
    <row r="4" s="14" customFormat="1" ht="14.25" spans="2:17">
      <c r="B4" s="144">
        <v>2020</v>
      </c>
      <c r="C4" s="145">
        <v>4.0827</v>
      </c>
      <c r="D4" s="145">
        <v>1.4249</v>
      </c>
      <c r="E4" s="145">
        <v>5.4354</v>
      </c>
      <c r="F4" s="145">
        <v>5.5752</v>
      </c>
      <c r="G4" s="145">
        <v>6.6758</v>
      </c>
      <c r="H4" s="145">
        <v>8.3278</v>
      </c>
      <c r="I4" s="145">
        <v>8.2568</v>
      </c>
      <c r="J4" s="145">
        <v>9.3297</v>
      </c>
      <c r="K4" s="145">
        <v>11.0416</v>
      </c>
      <c r="L4" s="145">
        <v>13.3145</v>
      </c>
      <c r="M4" s="145">
        <v>17.0361</v>
      </c>
      <c r="N4" s="145">
        <v>20.787</v>
      </c>
      <c r="O4" s="146">
        <f t="shared" si="0"/>
        <v>111.2875</v>
      </c>
    </row>
    <row r="5" s="14" customFormat="1" ht="14.25" spans="2:17">
      <c r="B5" s="144">
        <v>2021</v>
      </c>
      <c r="C5" s="145">
        <v>15.5388</v>
      </c>
      <c r="D5" s="145">
        <v>9.7059</v>
      </c>
      <c r="E5" s="145">
        <v>18.5328</v>
      </c>
      <c r="F5" s="145">
        <v>16.1418</v>
      </c>
      <c r="G5" s="145">
        <v>18.7316</v>
      </c>
      <c r="H5" s="145">
        <v>22.9634</v>
      </c>
      <c r="I5" s="145">
        <v>22.2233</v>
      </c>
      <c r="J5" s="145">
        <v>24.9588</v>
      </c>
      <c r="K5" s="145">
        <v>33.3532</v>
      </c>
      <c r="L5" s="145">
        <v>31.7029</v>
      </c>
      <c r="M5" s="145">
        <v>37.8487</v>
      </c>
      <c r="N5" s="145">
        <v>47.4887</v>
      </c>
      <c r="O5" s="146">
        <f t="shared" si="0"/>
        <v>299.1899</v>
      </c>
    </row>
    <row r="6" s="14" customFormat="1" ht="14.25" spans="2:17">
      <c r="B6" s="144">
        <v>2022</v>
      </c>
      <c r="C6" s="145">
        <v>35.2</v>
      </c>
      <c r="D6" s="145">
        <v>27.3</v>
      </c>
      <c r="E6" s="145">
        <v>44.5</v>
      </c>
      <c r="F6" s="145">
        <v>28.2</v>
      </c>
      <c r="G6" s="145">
        <v>36</v>
      </c>
      <c r="H6" s="145">
        <v>53.1</v>
      </c>
      <c r="I6" s="145">
        <v>48.6</v>
      </c>
      <c r="J6" s="148">
        <v>53</v>
      </c>
      <c r="K6" s="148">
        <v>61.1</v>
      </c>
      <c r="L6" s="148">
        <v>55.5</v>
      </c>
      <c r="M6" s="145">
        <v>59.8</v>
      </c>
      <c r="N6" s="145">
        <v>64.1</v>
      </c>
      <c r="O6" s="146">
        <f t="shared" si="0"/>
        <v>566.4</v>
      </c>
    </row>
    <row r="7" s="14" customFormat="1" ht="14.25" spans="2:17">
      <c r="B7" s="144">
        <v>2023</v>
      </c>
      <c r="C7" s="149">
        <v>33.2</v>
      </c>
      <c r="D7" s="149">
        <v>43.9</v>
      </c>
      <c r="E7" s="149">
        <v>54.3</v>
      </c>
      <c r="F7" s="149">
        <v>52.7</v>
      </c>
      <c r="G7" s="149">
        <v>58</v>
      </c>
      <c r="H7" s="149">
        <v>66.5</v>
      </c>
      <c r="I7" s="149">
        <v>64.1</v>
      </c>
      <c r="J7" s="150">
        <v>71.6</v>
      </c>
      <c r="K7" s="150">
        <v>74.6</v>
      </c>
      <c r="L7" s="150">
        <v>77.2</v>
      </c>
      <c r="M7" s="150">
        <v>84</v>
      </c>
      <c r="N7" s="150">
        <v>94.7</v>
      </c>
      <c r="O7" s="146">
        <f t="shared" si="0"/>
        <v>774.8</v>
      </c>
      <c r="P7" s="150"/>
      <c r="Q7" s="150"/>
    </row>
    <row r="8" s="14" customFormat="1" ht="14.25" spans="2:17">
      <c r="B8" s="151" t="s">
        <v>69</v>
      </c>
      <c r="C8" s="152">
        <v>-0.063</v>
      </c>
      <c r="D8" s="152">
        <v>0.61</v>
      </c>
      <c r="E8" s="153">
        <v>0.219</v>
      </c>
      <c r="F8" s="153">
        <v>0.856</v>
      </c>
      <c r="G8" s="154">
        <v>0.609</v>
      </c>
      <c r="H8" s="154">
        <v>0.252</v>
      </c>
      <c r="I8" s="154">
        <v>0.319</v>
      </c>
      <c r="J8" s="154">
        <v>0.345</v>
      </c>
      <c r="K8" s="154">
        <v>0.221</v>
      </c>
      <c r="L8" s="154">
        <v>0.375</v>
      </c>
      <c r="M8" s="154">
        <v>0.398</v>
      </c>
      <c r="N8" s="154">
        <v>0.473</v>
      </c>
      <c r="O8" s="155"/>
    </row>
    <row r="9" s="14" customFormat="1" ht="14.25" spans="2:17">
      <c r="B9" s="151" t="s">
        <v>64</v>
      </c>
      <c r="C9" s="156">
        <v>-0.483</v>
      </c>
      <c r="D9" s="152">
        <v>0.328</v>
      </c>
      <c r="E9" s="157">
        <v>0.236</v>
      </c>
      <c r="F9" s="157">
        <v>-0.036</v>
      </c>
      <c r="G9" s="158">
        <v>0.105</v>
      </c>
      <c r="H9" s="158">
        <v>0.147</v>
      </c>
      <c r="I9" s="158">
        <v>-0.036</v>
      </c>
      <c r="J9" s="158">
        <v>0.118</v>
      </c>
      <c r="K9" s="158">
        <v>0.042</v>
      </c>
      <c r="L9" s="158">
        <v>0.027</v>
      </c>
      <c r="M9" s="158">
        <v>0.089</v>
      </c>
      <c r="N9" s="158">
        <v>0.1237</v>
      </c>
      <c r="O9" s="159"/>
    </row>
    <row r="10" s="14" customFormat="1" ht="14.25" spans="2:17">
      <c r="B10" s="160">
        <v>2024</v>
      </c>
      <c r="C10" s="161">
        <v>66.8</v>
      </c>
      <c r="D10" s="161">
        <v>38.8</v>
      </c>
      <c r="E10" s="161">
        <v>70.9</v>
      </c>
      <c r="F10" s="161">
        <v>67.4</v>
      </c>
      <c r="G10" s="161">
        <v>80.4</v>
      </c>
      <c r="H10" s="161">
        <v>85.6</v>
      </c>
      <c r="I10" s="161">
        <v>87.8</v>
      </c>
      <c r="J10" s="162">
        <v>102.7</v>
      </c>
      <c r="K10" s="161">
        <v>112.3</v>
      </c>
      <c r="L10" s="161">
        <v>119.6</v>
      </c>
      <c r="M10" s="161">
        <v>127</v>
      </c>
      <c r="N10" s="161">
        <v>130.3</v>
      </c>
      <c r="O10" s="146">
        <f>SUM(C10:N10)</f>
        <v>1089.6</v>
      </c>
    </row>
    <row r="11" s="14" customFormat="1" ht="14.25" spans="2:17">
      <c r="B11" s="151" t="s">
        <v>69</v>
      </c>
      <c r="C11" s="152">
        <v>1.018</v>
      </c>
      <c r="D11" s="152">
        <v>-0.116</v>
      </c>
      <c r="E11" s="153">
        <v>0.295</v>
      </c>
      <c r="F11" s="153">
        <v>0.283</v>
      </c>
      <c r="G11" s="163">
        <v>0.385</v>
      </c>
      <c r="H11" s="163">
        <v>0.286</v>
      </c>
      <c r="I11" s="163">
        <v>0.369</v>
      </c>
      <c r="J11" s="163">
        <v>0.431</v>
      </c>
      <c r="K11" s="163">
        <v>0.505</v>
      </c>
      <c r="L11" s="163">
        <v>0.549</v>
      </c>
      <c r="M11" s="163">
        <v>0.511</v>
      </c>
      <c r="N11" s="16">
        <v>0.375</v>
      </c>
    </row>
    <row r="12" s="14" customFormat="1" ht="14.25" spans="2:17">
      <c r="B12" s="151" t="s">
        <v>64</v>
      </c>
      <c r="C12" s="156">
        <v>-0.295</v>
      </c>
      <c r="D12" s="156">
        <v>-0.421</v>
      </c>
      <c r="E12" s="157">
        <v>0.825</v>
      </c>
      <c r="F12" s="153">
        <v>-0.057</v>
      </c>
      <c r="G12" s="163">
        <v>0.187</v>
      </c>
      <c r="H12" s="163">
        <v>0.064</v>
      </c>
      <c r="I12" s="163">
        <v>0.028</v>
      </c>
      <c r="J12" s="163">
        <v>0.17</v>
      </c>
      <c r="K12" s="163">
        <v>0.096</v>
      </c>
      <c r="L12" s="163">
        <v>0.064</v>
      </c>
      <c r="M12" s="163">
        <v>0.059</v>
      </c>
      <c r="N12" s="163">
        <f>N10/M10-1</f>
        <v>0.0259842519685041</v>
      </c>
    </row>
    <row r="13" s="14" customFormat="1" ht="14.25" spans="2:17">
      <c r="B13" s="160">
        <v>2025</v>
      </c>
      <c r="C13" s="161">
        <v>74.4</v>
      </c>
      <c r="D13" s="161">
        <v>68.6</v>
      </c>
      <c r="E13" s="161">
        <v>99.1</v>
      </c>
      <c r="F13" s="149">
        <v>90.5</v>
      </c>
      <c r="G13" s="161"/>
      <c r="H13" s="161"/>
      <c r="I13" s="161"/>
      <c r="J13" s="162"/>
      <c r="K13" s="161"/>
      <c r="L13" s="161"/>
      <c r="M13" s="161"/>
      <c r="N13" s="161"/>
      <c r="O13" s="146"/>
    </row>
    <row r="14" s="14" customFormat="1" ht="14.25" spans="2:17">
      <c r="B14" s="151" t="s">
        <v>69</v>
      </c>
      <c r="C14" s="152">
        <f>C13/C10-1</f>
        <v>0.11377245508982</v>
      </c>
      <c r="D14" s="152">
        <f>D13/D10-1</f>
        <v>0.768041237113402</v>
      </c>
      <c r="E14" s="152">
        <f>E13/E10-1</f>
        <v>0.397743300423131</v>
      </c>
      <c r="F14" s="152">
        <f>F13/F10-1</f>
        <v>0.342729970326409</v>
      </c>
      <c r="G14" s="163"/>
      <c r="H14" s="163"/>
      <c r="I14" s="163"/>
      <c r="J14" s="163"/>
      <c r="K14" s="163"/>
      <c r="L14" s="163"/>
      <c r="M14" s="163"/>
      <c r="N14" s="16"/>
    </row>
    <row r="15" s="14" customFormat="1" ht="14.25" spans="2:17">
      <c r="B15" s="151" t="s">
        <v>64</v>
      </c>
      <c r="C15" s="156">
        <f>C13/N10-1</f>
        <v>-0.429009976976209</v>
      </c>
      <c r="D15" s="156">
        <f>D13/C13-1</f>
        <v>-0.077956989247312</v>
      </c>
      <c r="E15" s="156">
        <f>E13/D13-1</f>
        <v>0.444606413994169</v>
      </c>
      <c r="F15" s="156">
        <f>F13/E13-1</f>
        <v>-0.0867810292633703</v>
      </c>
      <c r="G15" s="163"/>
      <c r="H15" s="163"/>
      <c r="I15" s="163"/>
      <c r="J15" s="163"/>
      <c r="K15" s="163"/>
      <c r="L15" s="163"/>
      <c r="M15" s="163"/>
      <c r="N15" s="163"/>
    </row>
    <row r="16" s="14" customFormat="1" ht="14.25" spans="2:17">
      <c r="F16" s="153"/>
    </row>
    <row r="17" s="14" customFormat="1" ht="14.25" spans="2:16">
      <c r="B17" s="164" t="s">
        <v>133</v>
      </c>
    </row>
    <row r="18" s="14" customFormat="1" ht="14.25" spans="2:16">
      <c r="B18" s="165"/>
      <c r="C18" s="166" t="s">
        <v>51</v>
      </c>
      <c r="D18" s="166" t="s">
        <v>52</v>
      </c>
      <c r="E18" s="166" t="s">
        <v>53</v>
      </c>
      <c r="F18" s="166" t="s">
        <v>54</v>
      </c>
      <c r="G18" s="166" t="s">
        <v>55</v>
      </c>
      <c r="H18" s="166" t="s">
        <v>56</v>
      </c>
      <c r="I18" s="166" t="s">
        <v>57</v>
      </c>
      <c r="J18" s="166" t="s">
        <v>58</v>
      </c>
      <c r="K18" s="166" t="s">
        <v>59</v>
      </c>
      <c r="L18" s="166" t="s">
        <v>60</v>
      </c>
      <c r="M18" s="166" t="s">
        <v>61</v>
      </c>
      <c r="N18" s="166" t="s">
        <v>62</v>
      </c>
      <c r="O18" s="166" t="s">
        <v>134</v>
      </c>
    </row>
    <row r="19" s="14" customFormat="1" ht="14.25" spans="2:16">
      <c r="B19" s="165">
        <v>2019</v>
      </c>
      <c r="C19" s="167">
        <v>8.9347</v>
      </c>
      <c r="D19" s="167">
        <v>5.0655</v>
      </c>
      <c r="E19" s="167">
        <v>11.1122</v>
      </c>
      <c r="F19" s="167">
        <v>9.1529</v>
      </c>
      <c r="G19" s="167">
        <v>9.6809</v>
      </c>
      <c r="H19" s="167">
        <v>13.2913</v>
      </c>
      <c r="I19" s="167">
        <v>6.6821</v>
      </c>
      <c r="J19" s="167">
        <v>7.1064</v>
      </c>
      <c r="K19" s="167">
        <v>6.5015</v>
      </c>
      <c r="L19" s="167">
        <v>6.5746</v>
      </c>
      <c r="M19" s="167">
        <v>7.9094</v>
      </c>
      <c r="N19" s="167">
        <v>13.8306</v>
      </c>
      <c r="O19" s="167">
        <f>SUM(C19:N19)</f>
        <v>105.8421</v>
      </c>
    </row>
    <row r="20" s="14" customFormat="1" ht="14.25" spans="2:16">
      <c r="B20" s="165">
        <v>2020</v>
      </c>
      <c r="C20" s="43">
        <v>4.3</v>
      </c>
      <c r="D20" s="167">
        <v>1.5323</v>
      </c>
      <c r="E20" s="167">
        <v>5.3795</v>
      </c>
      <c r="F20" s="167">
        <v>5.8768</v>
      </c>
      <c r="G20" s="167">
        <v>7.1259</v>
      </c>
      <c r="H20" s="167">
        <v>8.6024</v>
      </c>
      <c r="I20" s="167">
        <v>8.0727</v>
      </c>
      <c r="J20" s="167">
        <v>10.0416</v>
      </c>
      <c r="K20" s="167">
        <v>12.4713</v>
      </c>
      <c r="L20" s="167">
        <v>14.4443</v>
      </c>
      <c r="M20" s="167">
        <v>18.171</v>
      </c>
      <c r="N20" s="43">
        <v>21.1</v>
      </c>
      <c r="O20" s="167">
        <f>SUM(C20:N20)</f>
        <v>117.1178</v>
      </c>
    </row>
    <row r="21" s="14" customFormat="1" ht="14.25" spans="2:16">
      <c r="B21" s="165">
        <v>2021</v>
      </c>
      <c r="C21" s="43">
        <v>17.06</v>
      </c>
      <c r="D21" s="167">
        <v>9.9962</v>
      </c>
      <c r="E21" s="167">
        <v>20.2036</v>
      </c>
      <c r="F21" s="167">
        <v>18.4493</v>
      </c>
      <c r="G21" s="167">
        <v>19.8774</v>
      </c>
      <c r="H21" s="167">
        <v>23.3633</v>
      </c>
      <c r="I21" s="167">
        <v>24.5604</v>
      </c>
      <c r="J21" s="167">
        <v>31</v>
      </c>
      <c r="K21" s="167">
        <v>35.4718</v>
      </c>
      <c r="L21" s="167">
        <v>36.4797</v>
      </c>
      <c r="M21" s="167">
        <v>42.8661</v>
      </c>
      <c r="N21" s="43">
        <v>50.5</v>
      </c>
      <c r="O21" s="167">
        <f t="shared" ref="O21:O23" si="1">SUM(C21:N21)</f>
        <v>329.8278</v>
      </c>
    </row>
    <row r="22" s="14" customFormat="1" ht="14.25" spans="2:16">
      <c r="B22" s="165">
        <v>2022</v>
      </c>
      <c r="C22" s="43">
        <v>41.2</v>
      </c>
      <c r="D22" s="43">
        <v>31.7</v>
      </c>
      <c r="E22" s="44">
        <v>45.5</v>
      </c>
      <c r="F22" s="44">
        <v>28.1</v>
      </c>
      <c r="G22" s="44">
        <v>42.2</v>
      </c>
      <c r="H22" s="44">
        <v>57.1</v>
      </c>
      <c r="I22" s="44">
        <v>56.4</v>
      </c>
      <c r="J22" s="44">
        <v>63.2</v>
      </c>
      <c r="K22" s="44">
        <v>67.5</v>
      </c>
      <c r="L22" s="44">
        <v>67.6</v>
      </c>
      <c r="M22" s="44">
        <v>72.8</v>
      </c>
      <c r="N22" s="44">
        <v>75</v>
      </c>
      <c r="O22" s="167">
        <f t="shared" si="1"/>
        <v>648.3</v>
      </c>
    </row>
    <row r="23" s="14" customFormat="1" ht="14.25" spans="2:16">
      <c r="B23" s="165">
        <v>2023</v>
      </c>
      <c r="C23" s="43">
        <v>38.7</v>
      </c>
      <c r="D23" s="43">
        <v>49.6</v>
      </c>
      <c r="E23" s="44">
        <v>61.7</v>
      </c>
      <c r="F23" s="44">
        <v>60.7</v>
      </c>
      <c r="G23" s="44">
        <v>67.3</v>
      </c>
      <c r="H23" s="44">
        <v>76.1</v>
      </c>
      <c r="I23" s="44">
        <v>73.7</v>
      </c>
      <c r="J23" s="44">
        <v>79.6</v>
      </c>
      <c r="K23" s="44">
        <v>82.9</v>
      </c>
      <c r="L23" s="44">
        <v>88.3</v>
      </c>
      <c r="M23" s="44">
        <v>96.2</v>
      </c>
      <c r="N23" s="44">
        <v>111.5</v>
      </c>
      <c r="O23" s="167">
        <f t="shared" si="1"/>
        <v>886.3</v>
      </c>
      <c r="P23" s="14" t="s">
        <v>135</v>
      </c>
    </row>
    <row r="24" s="14" customFormat="1" ht="14.25" spans="2:16">
      <c r="B24" s="168" t="s">
        <v>69</v>
      </c>
      <c r="C24" s="169">
        <f>C23/C22-1</f>
        <v>-0.0606796116504854</v>
      </c>
      <c r="D24" s="169">
        <f>D23/D22-1</f>
        <v>0.564668769716088</v>
      </c>
      <c r="E24" s="169">
        <f t="shared" ref="E24:N24" si="2">E23/E22-1</f>
        <v>0.356043956043956</v>
      </c>
      <c r="F24" s="169">
        <f t="shared" si="2"/>
        <v>1.16014234875445</v>
      </c>
      <c r="G24" s="169">
        <f t="shared" si="2"/>
        <v>0.59478672985782</v>
      </c>
      <c r="H24" s="169">
        <f t="shared" si="2"/>
        <v>0.332749562171629</v>
      </c>
      <c r="I24" s="169">
        <f t="shared" si="2"/>
        <v>0.306737588652482</v>
      </c>
      <c r="J24" s="169">
        <f t="shared" si="2"/>
        <v>0.259493670886076</v>
      </c>
      <c r="K24" s="169">
        <f t="shared" si="2"/>
        <v>0.228148148148148</v>
      </c>
      <c r="L24" s="169">
        <f t="shared" si="2"/>
        <v>0.306213017751479</v>
      </c>
      <c r="M24" s="169">
        <f t="shared" si="2"/>
        <v>0.321428571428572</v>
      </c>
      <c r="N24" s="169">
        <f t="shared" si="2"/>
        <v>0.486666666666667</v>
      </c>
    </row>
    <row r="25" s="14" customFormat="1" ht="14.25" spans="2:16">
      <c r="B25" s="168" t="s">
        <v>64</v>
      </c>
      <c r="C25" s="169">
        <v>-0.482</v>
      </c>
      <c r="D25" s="169">
        <v>0.275</v>
      </c>
      <c r="E25" s="169">
        <v>0.245</v>
      </c>
      <c r="F25" s="169">
        <v>-0.017</v>
      </c>
      <c r="G25" s="169">
        <v>0.115</v>
      </c>
      <c r="H25" s="169">
        <v>0.121</v>
      </c>
      <c r="I25" s="169">
        <v>-0.031</v>
      </c>
      <c r="J25" s="169">
        <v>0.082</v>
      </c>
      <c r="K25" s="169">
        <v>0.042</v>
      </c>
      <c r="L25" s="169">
        <v>0.057</v>
      </c>
      <c r="M25" s="169">
        <v>0.082</v>
      </c>
      <c r="N25" s="169">
        <f>(N23-M23)/M23</f>
        <v>0.159043659043659</v>
      </c>
    </row>
    <row r="26" s="14" customFormat="1" ht="14.25" spans="2:16">
      <c r="B26" s="165">
        <v>2024</v>
      </c>
      <c r="C26" s="43">
        <v>68.2</v>
      </c>
      <c r="D26" s="43">
        <v>44.7</v>
      </c>
      <c r="E26" s="44">
        <v>81.5</v>
      </c>
      <c r="F26" s="44">
        <v>78.8</v>
      </c>
      <c r="G26" s="44">
        <v>89.7</v>
      </c>
      <c r="H26" s="44">
        <v>98.3</v>
      </c>
      <c r="I26" s="44">
        <v>94.5</v>
      </c>
      <c r="J26" s="44">
        <v>105</v>
      </c>
      <c r="K26" s="44">
        <v>123.1</v>
      </c>
      <c r="L26" s="44">
        <v>136.9</v>
      </c>
      <c r="M26" s="44">
        <v>144</v>
      </c>
      <c r="N26" s="44">
        <v>151.2</v>
      </c>
      <c r="O26" s="167">
        <f>SUM(C26:N26)</f>
        <v>1215.9</v>
      </c>
      <c r="P26" s="14" t="s">
        <v>136</v>
      </c>
    </row>
    <row r="27" s="14" customFormat="1" ht="14.25" spans="2:16">
      <c r="B27" s="168" t="s">
        <v>69</v>
      </c>
      <c r="C27" s="169">
        <f>C26/C23-1</f>
        <v>0.762273901808785</v>
      </c>
      <c r="D27" s="169">
        <v>-0.097</v>
      </c>
      <c r="E27" s="169">
        <v>0.311</v>
      </c>
      <c r="F27" s="169">
        <v>0.3</v>
      </c>
      <c r="G27" s="169">
        <v>0.321</v>
      </c>
      <c r="H27" s="169">
        <v>0.29</v>
      </c>
      <c r="I27" s="169">
        <v>0.276</v>
      </c>
      <c r="J27" s="169">
        <v>0.317</v>
      </c>
      <c r="K27" s="169">
        <v>0.481</v>
      </c>
      <c r="L27" s="169">
        <v>0.552</v>
      </c>
      <c r="M27" s="169">
        <v>0.498</v>
      </c>
      <c r="N27" s="169">
        <v>0.356</v>
      </c>
    </row>
    <row r="28" s="14" customFormat="1" ht="14.25" spans="2:16">
      <c r="B28" s="168" t="s">
        <v>64</v>
      </c>
      <c r="C28" s="169">
        <f>C26/N23-1</f>
        <v>-0.388340807174888</v>
      </c>
      <c r="D28" s="169">
        <f>-35%</f>
        <v>-0.35</v>
      </c>
      <c r="E28" s="169">
        <v>0.813</v>
      </c>
      <c r="F28" s="169">
        <f>-3.7%</f>
        <v>-0.037</v>
      </c>
      <c r="G28" s="169">
        <v>0.138</v>
      </c>
      <c r="H28" s="169">
        <v>0.095</v>
      </c>
      <c r="I28" s="169">
        <v>-0.036</v>
      </c>
      <c r="J28" s="169">
        <v>0.114</v>
      </c>
      <c r="K28" s="169">
        <v>0.172</v>
      </c>
      <c r="L28" s="169">
        <v>0.112</v>
      </c>
      <c r="M28" s="169">
        <v>0.049</v>
      </c>
      <c r="N28" s="169">
        <f>N26/M26-1</f>
        <v>0.0499999999999998</v>
      </c>
    </row>
    <row r="29" s="14" customFormat="1" ht="14.25" spans="2:16">
      <c r="B29" s="165">
        <v>2025</v>
      </c>
      <c r="C29" s="43">
        <v>88.9</v>
      </c>
      <c r="D29" s="43">
        <v>83</v>
      </c>
      <c r="E29" s="44">
        <v>112.8</v>
      </c>
      <c r="F29" s="44">
        <v>113.3</v>
      </c>
      <c r="G29" s="44"/>
      <c r="H29" s="44"/>
      <c r="I29" s="44"/>
      <c r="J29" s="44"/>
      <c r="K29" s="44"/>
      <c r="L29" s="44"/>
      <c r="M29" s="44"/>
      <c r="N29" s="44"/>
      <c r="O29" s="167"/>
    </row>
    <row r="30" s="14" customFormat="1" ht="14.25" spans="2:16">
      <c r="B30" s="168" t="s">
        <v>69</v>
      </c>
      <c r="C30" s="169">
        <f>C29/C26-1</f>
        <v>0.303519061583578</v>
      </c>
      <c r="D30" s="169">
        <f>D29/D26-1</f>
        <v>0.856823266219239</v>
      </c>
      <c r="E30" s="169">
        <f>E29/E26-1</f>
        <v>0.384049079754601</v>
      </c>
      <c r="F30" s="169">
        <f>F29/F26-1</f>
        <v>0.437817258883249</v>
      </c>
      <c r="G30" s="169"/>
      <c r="H30" s="169"/>
      <c r="I30" s="169"/>
      <c r="J30" s="169"/>
      <c r="K30" s="169"/>
      <c r="L30" s="169"/>
      <c r="M30" s="169"/>
      <c r="N30" s="169"/>
    </row>
    <row r="31" s="14" customFormat="1" ht="14.25" spans="2:16">
      <c r="B31" s="168" t="s">
        <v>64</v>
      </c>
      <c r="C31" s="169">
        <f>C29/N26-1</f>
        <v>-0.412037037037037</v>
      </c>
      <c r="D31" s="169">
        <f>D29/C29-1</f>
        <v>-0.0663667041619798</v>
      </c>
      <c r="E31" s="169">
        <f>E29/D29-1</f>
        <v>0.359036144578313</v>
      </c>
      <c r="F31" s="169">
        <f>F29/E29-1</f>
        <v>0.00443262411347511</v>
      </c>
      <c r="G31" s="169"/>
      <c r="H31" s="169"/>
      <c r="I31" s="169"/>
      <c r="J31" s="169"/>
      <c r="K31" s="169"/>
      <c r="L31" s="169"/>
      <c r="M31" s="169"/>
      <c r="N31" s="169"/>
    </row>
    <row r="32" s="14" customFormat="1" ht="14.25"/>
    <row r="33" s="14" customFormat="1" ht="14.25" spans="2:16">
      <c r="B33" s="164" t="s">
        <v>137</v>
      </c>
      <c r="O33" s="166"/>
    </row>
    <row r="34" s="14" customFormat="1" ht="14.25" spans="2:16">
      <c r="B34" s="165"/>
      <c r="C34" s="166" t="s">
        <v>51</v>
      </c>
      <c r="D34" s="166" t="s">
        <v>52</v>
      </c>
      <c r="E34" s="166" t="s">
        <v>53</v>
      </c>
      <c r="F34" s="166" t="s">
        <v>54</v>
      </c>
      <c r="G34" s="166" t="s">
        <v>55</v>
      </c>
      <c r="H34" s="166" t="s">
        <v>56</v>
      </c>
      <c r="I34" s="166" t="s">
        <v>57</v>
      </c>
      <c r="J34" s="166" t="s">
        <v>58</v>
      </c>
      <c r="K34" s="166" t="s">
        <v>59</v>
      </c>
      <c r="L34" s="166" t="s">
        <v>60</v>
      </c>
      <c r="M34" s="166" t="s">
        <v>61</v>
      </c>
      <c r="N34" s="166" t="s">
        <v>62</v>
      </c>
      <c r="O34" s="166" t="s">
        <v>134</v>
      </c>
    </row>
    <row r="35" s="14" customFormat="1" ht="14.25" spans="2:16">
      <c r="B35" s="165">
        <v>2021</v>
      </c>
      <c r="C35" s="43">
        <v>203.4</v>
      </c>
      <c r="D35" s="43">
        <v>114.7</v>
      </c>
      <c r="E35" s="43">
        <v>184.3</v>
      </c>
      <c r="F35" s="43">
        <v>166.1</v>
      </c>
      <c r="G35" s="43">
        <v>161.1</v>
      </c>
      <c r="H35" s="43">
        <v>153.9</v>
      </c>
      <c r="I35" s="43">
        <v>151.6</v>
      </c>
      <c r="J35" s="43">
        <v>151.7</v>
      </c>
      <c r="K35" s="43">
        <v>173.7</v>
      </c>
      <c r="L35" s="43">
        <v>197.4</v>
      </c>
      <c r="M35" s="43">
        <v>215</v>
      </c>
      <c r="N35" s="43">
        <v>236.7</v>
      </c>
      <c r="O35" s="167">
        <f>SUM(C35:N35)</f>
        <v>2109.6</v>
      </c>
    </row>
    <row r="36" s="14" customFormat="1" ht="14.25" spans="2:16">
      <c r="B36" s="165">
        <v>2022</v>
      </c>
      <c r="C36" s="43">
        <v>215.9</v>
      </c>
      <c r="D36" s="43">
        <v>146.8</v>
      </c>
      <c r="E36" s="44">
        <v>181.5</v>
      </c>
      <c r="F36" s="44">
        <v>95.1</v>
      </c>
      <c r="G36" s="44">
        <v>159.1</v>
      </c>
      <c r="H36" s="44">
        <v>218.9</v>
      </c>
      <c r="I36" s="44">
        <v>213.4</v>
      </c>
      <c r="J36" s="44">
        <v>210</v>
      </c>
      <c r="K36" s="44">
        <v>229.7</v>
      </c>
      <c r="L36" s="44">
        <v>219.3</v>
      </c>
      <c r="M36" s="44">
        <v>203.1</v>
      </c>
      <c r="N36" s="44">
        <v>222.2</v>
      </c>
      <c r="O36" s="167">
        <f>SUM(C36:N36)</f>
        <v>2315</v>
      </c>
    </row>
    <row r="37" s="14" customFormat="1" ht="14.25" spans="2:16">
      <c r="B37" s="165">
        <v>2023</v>
      </c>
      <c r="C37" s="43">
        <v>144.6</v>
      </c>
      <c r="D37" s="43">
        <v>161.8</v>
      </c>
      <c r="E37" s="44">
        <v>198.7</v>
      </c>
      <c r="F37" s="44">
        <v>177.7</v>
      </c>
      <c r="G37" s="44">
        <v>199.7</v>
      </c>
      <c r="H37" s="44">
        <v>223.6</v>
      </c>
      <c r="I37" s="44">
        <v>206.5</v>
      </c>
      <c r="J37" s="44">
        <v>223.7</v>
      </c>
      <c r="K37" s="44">
        <v>244.9</v>
      </c>
      <c r="L37" s="44">
        <v>244.5</v>
      </c>
      <c r="M37" s="44">
        <v>254.9</v>
      </c>
      <c r="N37" s="44">
        <v>273.7</v>
      </c>
      <c r="O37" s="167">
        <f>SUM(C37:N37)</f>
        <v>2554.3</v>
      </c>
      <c r="P37" s="14" t="s">
        <v>138</v>
      </c>
    </row>
    <row r="38" s="14" customFormat="1" ht="14.25" spans="2:16">
      <c r="B38" s="168" t="s">
        <v>69</v>
      </c>
      <c r="C38" s="169">
        <f>C37/C36-1</f>
        <v>-0.33024548402038</v>
      </c>
      <c r="D38" s="169">
        <f>D37/D36-1</f>
        <v>0.102179836512261</v>
      </c>
      <c r="E38" s="169">
        <f t="shared" ref="E38" si="3">E37/E36-1</f>
        <v>0.0947658402203857</v>
      </c>
      <c r="F38" s="169">
        <f t="shared" ref="F38" si="4">F37/F36-1</f>
        <v>0.868559411146162</v>
      </c>
      <c r="G38" s="169">
        <f t="shared" ref="G38" si="5">G37/G36-1</f>
        <v>0.255185417976116</v>
      </c>
      <c r="H38" s="169">
        <f t="shared" ref="H38" si="6">H37/H36-1</f>
        <v>0.0214709913202376</v>
      </c>
      <c r="I38" s="169">
        <f t="shared" ref="I38" si="7">I37/I36-1</f>
        <v>-0.0323336457357076</v>
      </c>
      <c r="J38" s="169">
        <f t="shared" ref="J38" si="8">J37/J36-1</f>
        <v>0.0652380952380951</v>
      </c>
      <c r="K38" s="169">
        <f t="shared" ref="K38" si="9">K37/K36-1</f>
        <v>0.066173269481933</v>
      </c>
      <c r="L38" s="169">
        <f t="shared" ref="L38:N38" si="10">L37/L36-1</f>
        <v>0.114911080711354</v>
      </c>
      <c r="M38" s="169">
        <f t="shared" si="10"/>
        <v>0.255046774987691</v>
      </c>
      <c r="N38" s="169">
        <f t="shared" si="10"/>
        <v>0.231773177317732</v>
      </c>
    </row>
    <row r="39" s="14" customFormat="1" ht="14.25" spans="2:16">
      <c r="B39" s="168" t="s">
        <v>64</v>
      </c>
      <c r="C39" s="169">
        <v>-0.349</v>
      </c>
      <c r="D39" s="169">
        <v>0.117</v>
      </c>
      <c r="E39" s="169">
        <v>0.229</v>
      </c>
      <c r="F39" s="169">
        <v>-0.1</v>
      </c>
      <c r="G39" s="169">
        <v>0.124</v>
      </c>
      <c r="H39" s="169">
        <v>0.117</v>
      </c>
      <c r="I39" s="169">
        <v>-0.076</v>
      </c>
      <c r="J39" s="169">
        <v>0.085</v>
      </c>
      <c r="K39" s="169">
        <v>0.095</v>
      </c>
      <c r="L39" s="169">
        <v>-0.003</v>
      </c>
      <c r="M39" s="169">
        <v>0.043</v>
      </c>
      <c r="N39" s="169">
        <v>0.043</v>
      </c>
    </row>
    <row r="40" s="14" customFormat="1" ht="14.25" spans="2:16">
      <c r="B40" s="165">
        <v>2024</v>
      </c>
      <c r="C40" s="43">
        <v>208.9</v>
      </c>
      <c r="D40" s="43">
        <v>130.3</v>
      </c>
      <c r="E40" s="44">
        <v>219.5</v>
      </c>
      <c r="F40" s="14">
        <v>195.2</v>
      </c>
      <c r="G40" s="44">
        <v>203.1</v>
      </c>
      <c r="H40" s="44">
        <v>216.9</v>
      </c>
      <c r="I40" s="44">
        <v>196.6</v>
      </c>
      <c r="J40" s="44">
        <v>215.6</v>
      </c>
      <c r="K40" s="44">
        <v>250.4</v>
      </c>
      <c r="L40" s="44">
        <v>273.2</v>
      </c>
      <c r="M40" s="44">
        <v>294.1</v>
      </c>
      <c r="N40" s="44">
        <v>307.3</v>
      </c>
      <c r="O40" s="44">
        <f>SUM(C40:N40)</f>
        <v>2711.1</v>
      </c>
    </row>
    <row r="41" s="14" customFormat="1" ht="14.25" spans="2:16">
      <c r="B41" s="168" t="s">
        <v>69</v>
      </c>
      <c r="C41" s="169">
        <f>44.4%</f>
        <v>0.444</v>
      </c>
      <c r="D41" s="169">
        <v>-0.199</v>
      </c>
      <c r="E41" s="169">
        <v>0.104</v>
      </c>
      <c r="F41" s="169">
        <f>F40/F37-1</f>
        <v>0.0984805852560495</v>
      </c>
      <c r="G41" s="169">
        <v>0.012</v>
      </c>
      <c r="H41" s="169">
        <v>-0.03</v>
      </c>
      <c r="I41" s="169">
        <v>-0.046</v>
      </c>
      <c r="J41" s="169">
        <v>-0.036</v>
      </c>
      <c r="K41" s="169">
        <v>0.021</v>
      </c>
      <c r="L41" s="169">
        <v>0.118</v>
      </c>
      <c r="M41" s="169">
        <v>0.155</v>
      </c>
      <c r="N41" s="169">
        <v>0.123</v>
      </c>
      <c r="O41" s="169"/>
      <c r="P41" s="44"/>
    </row>
    <row r="42" s="14" customFormat="1" ht="14.25" spans="2:16">
      <c r="B42" s="168" t="s">
        <v>64</v>
      </c>
      <c r="C42" s="169">
        <f>C40/N37-1</f>
        <v>-0.236755571793935</v>
      </c>
      <c r="D42" s="169">
        <v>-0.38</v>
      </c>
      <c r="E42" s="169">
        <v>0.68</v>
      </c>
      <c r="F42" s="169">
        <f>F40/E40-1</f>
        <v>-0.110706150341686</v>
      </c>
      <c r="G42" s="169">
        <v>0.039</v>
      </c>
      <c r="H42" s="169">
        <v>0.069</v>
      </c>
      <c r="I42" s="169">
        <v>-0.094</v>
      </c>
      <c r="J42" s="169">
        <v>0.096</v>
      </c>
      <c r="K42" s="169">
        <v>0.161</v>
      </c>
      <c r="L42" s="169">
        <v>0.092</v>
      </c>
      <c r="M42" s="169">
        <f>M40/L40-1</f>
        <v>0.0765007320644218</v>
      </c>
      <c r="N42" s="169">
        <f>N40/M40-1</f>
        <v>0.0448826929615775</v>
      </c>
      <c r="O42" s="169"/>
      <c r="P42" s="44"/>
    </row>
    <row r="43" s="14" customFormat="1" ht="14.25" spans="2:16">
      <c r="B43" s="165">
        <v>2025</v>
      </c>
      <c r="C43" s="43">
        <v>210.3</v>
      </c>
      <c r="D43" s="43">
        <v>176.7</v>
      </c>
      <c r="E43" s="44">
        <v>241.3</v>
      </c>
      <c r="F43" s="14">
        <v>219</v>
      </c>
      <c r="G43" s="44"/>
      <c r="H43" s="44"/>
      <c r="I43" s="44"/>
      <c r="J43" s="44"/>
      <c r="K43" s="44"/>
      <c r="L43" s="44"/>
      <c r="M43" s="44"/>
      <c r="N43" s="44"/>
      <c r="O43" s="44"/>
    </row>
    <row r="44" s="14" customFormat="1" ht="14.25" spans="2:16">
      <c r="B44" s="168" t="s">
        <v>69</v>
      </c>
      <c r="C44" s="169">
        <f>C43/C40-1</f>
        <v>0.00670177118238402</v>
      </c>
      <c r="D44" s="169">
        <f>D43/D40-1</f>
        <v>0.356101304681504</v>
      </c>
      <c r="E44" s="169">
        <f>E43/E40-1</f>
        <v>0.0993166287015945</v>
      </c>
      <c r="F44" s="169">
        <f>F43/F40-1</f>
        <v>0.121926229508197</v>
      </c>
      <c r="G44" s="169"/>
      <c r="H44" s="169"/>
      <c r="I44" s="169"/>
      <c r="J44" s="169"/>
      <c r="K44" s="169"/>
      <c r="L44" s="169"/>
      <c r="M44" s="169"/>
      <c r="N44" s="169"/>
      <c r="O44" s="169"/>
      <c r="P44" s="44"/>
    </row>
    <row r="45" s="14" customFormat="1" ht="14.25" spans="2:16">
      <c r="B45" s="168" t="s">
        <v>64</v>
      </c>
      <c r="C45" s="169">
        <f>C43/N40-1</f>
        <v>-0.315652456882525</v>
      </c>
      <c r="D45" s="169">
        <f>D43/C43-1</f>
        <v>-0.159771754636234</v>
      </c>
      <c r="E45" s="169">
        <f>E43/D43-1</f>
        <v>0.365591397849462</v>
      </c>
      <c r="F45" s="169">
        <f>F43/E43-1</f>
        <v>-0.0924160795690013</v>
      </c>
      <c r="G45" s="169"/>
      <c r="H45" s="169"/>
      <c r="I45" s="169"/>
      <c r="J45" s="169"/>
      <c r="K45" s="169"/>
      <c r="L45" s="169"/>
      <c r="M45" s="169"/>
      <c r="N45" s="169"/>
      <c r="O45" s="169"/>
      <c r="P45" s="44"/>
    </row>
    <row r="46" s="14" customFormat="1" ht="14.25" spans="2:16">
      <c r="B46" s="164"/>
      <c r="P46" s="44"/>
    </row>
    <row r="47" s="14" customFormat="1" ht="14.25" spans="2:16">
      <c r="B47" s="164" t="s">
        <v>139</v>
      </c>
      <c r="P47" s="44"/>
    </row>
    <row r="48" s="14" customFormat="1" ht="14.25" spans="2:16">
      <c r="B48" s="165"/>
      <c r="C48" s="166" t="s">
        <v>51</v>
      </c>
      <c r="D48" s="166" t="s">
        <v>52</v>
      </c>
      <c r="E48" s="166" t="s">
        <v>53</v>
      </c>
      <c r="F48" s="166" t="s">
        <v>54</v>
      </c>
      <c r="G48" s="166" t="s">
        <v>55</v>
      </c>
      <c r="H48" s="166" t="s">
        <v>56</v>
      </c>
      <c r="I48" s="166" t="s">
        <v>57</v>
      </c>
      <c r="J48" s="166" t="s">
        <v>58</v>
      </c>
      <c r="K48" s="166" t="s">
        <v>59</v>
      </c>
      <c r="L48" s="166" t="s">
        <v>60</v>
      </c>
      <c r="M48" s="166" t="s">
        <v>61</v>
      </c>
      <c r="N48" s="166" t="s">
        <v>62</v>
      </c>
      <c r="O48" s="166" t="s">
        <v>134</v>
      </c>
      <c r="P48" s="44"/>
    </row>
    <row r="49" s="14" customFormat="1" ht="14.25" spans="2:15">
      <c r="B49" s="165">
        <v>2021</v>
      </c>
      <c r="C49" s="170">
        <f t="shared" ref="C49:O49" si="11">C21/C35</f>
        <v>0.083874139626352</v>
      </c>
      <c r="D49" s="170">
        <f t="shared" si="11"/>
        <v>0.0871508282476024</v>
      </c>
      <c r="E49" s="170">
        <f t="shared" si="11"/>
        <v>0.109623440043407</v>
      </c>
      <c r="F49" s="170">
        <f t="shared" si="11"/>
        <v>0.111073449729079</v>
      </c>
      <c r="G49" s="170">
        <f t="shared" si="11"/>
        <v>0.123385474860335</v>
      </c>
      <c r="H49" s="170">
        <f t="shared" si="11"/>
        <v>0.151808317089019</v>
      </c>
      <c r="I49" s="170">
        <f t="shared" si="11"/>
        <v>0.162007915567282</v>
      </c>
      <c r="J49" s="170">
        <f t="shared" si="11"/>
        <v>0.20435069215557</v>
      </c>
      <c r="K49" s="170">
        <f t="shared" si="11"/>
        <v>0.2042130109384</v>
      </c>
      <c r="L49" s="170">
        <f t="shared" si="11"/>
        <v>0.184800911854103</v>
      </c>
      <c r="M49" s="170">
        <f t="shared" si="11"/>
        <v>0.199377209302326</v>
      </c>
      <c r="N49" s="170">
        <f t="shared" si="11"/>
        <v>0.213350232361639</v>
      </c>
      <c r="O49" s="170">
        <f t="shared" si="11"/>
        <v>0.156346131968146</v>
      </c>
    </row>
    <row r="50" s="14" customFormat="1" ht="14.25" spans="2:15">
      <c r="B50" s="165">
        <v>2022</v>
      </c>
      <c r="C50" s="170">
        <f>C22/C36</f>
        <v>0.190829087540528</v>
      </c>
      <c r="D50" s="170">
        <f>D22/D36</f>
        <v>0.215940054495913</v>
      </c>
      <c r="E50" s="170">
        <v>0.251</v>
      </c>
      <c r="F50" s="170">
        <v>0.296</v>
      </c>
      <c r="G50" s="170">
        <f t="shared" ref="G50:O50" si="12">G22/G36</f>
        <v>0.265241986172219</v>
      </c>
      <c r="H50" s="170">
        <f t="shared" si="12"/>
        <v>0.260849703060758</v>
      </c>
      <c r="I50" s="170">
        <f t="shared" si="12"/>
        <v>0.264292408622306</v>
      </c>
      <c r="J50" s="170">
        <f t="shared" si="12"/>
        <v>0.300952380952381</v>
      </c>
      <c r="K50" s="170">
        <f t="shared" si="12"/>
        <v>0.293861558554636</v>
      </c>
      <c r="L50" s="170">
        <f t="shared" si="12"/>
        <v>0.308253533971728</v>
      </c>
      <c r="M50" s="170">
        <f t="shared" si="12"/>
        <v>0.358444116198917</v>
      </c>
      <c r="N50" s="170">
        <f t="shared" si="12"/>
        <v>0.337533753375338</v>
      </c>
      <c r="O50" s="170">
        <f t="shared" si="12"/>
        <v>0.280043196544276</v>
      </c>
    </row>
    <row r="51" s="14" customFormat="1" ht="14.25" spans="2:15">
      <c r="B51" s="165">
        <v>2023</v>
      </c>
      <c r="C51" s="170">
        <f t="shared" ref="C51:I51" si="13">C23/C37</f>
        <v>0.267634854771784</v>
      </c>
      <c r="D51" s="170">
        <f t="shared" si="13"/>
        <v>0.30655129789864</v>
      </c>
      <c r="E51" s="170">
        <f t="shared" si="13"/>
        <v>0.310518369401107</v>
      </c>
      <c r="F51" s="170">
        <f t="shared" si="13"/>
        <v>0.341586944288126</v>
      </c>
      <c r="G51" s="170">
        <f t="shared" si="13"/>
        <v>0.337005508262394</v>
      </c>
      <c r="H51" s="170">
        <f t="shared" si="13"/>
        <v>0.340339892665474</v>
      </c>
      <c r="I51" s="170">
        <f t="shared" si="13"/>
        <v>0.356900726392252</v>
      </c>
      <c r="J51" s="170">
        <v>0.357</v>
      </c>
      <c r="K51" s="170">
        <v>0.339</v>
      </c>
      <c r="L51" s="170">
        <v>0.362</v>
      </c>
      <c r="M51" s="170">
        <v>0.377</v>
      </c>
      <c r="N51" s="170">
        <f>N23/N37</f>
        <v>0.407380343441725</v>
      </c>
      <c r="O51" s="170">
        <f>O23/O37</f>
        <v>0.346983517989273</v>
      </c>
    </row>
    <row r="52" s="14" customFormat="1" ht="14.25" spans="2:15">
      <c r="B52" s="165">
        <v>2024</v>
      </c>
      <c r="C52" s="170">
        <f t="shared" ref="C52:O52" si="14">C26/C40</f>
        <v>0.326471996170416</v>
      </c>
      <c r="D52" s="170">
        <f t="shared" si="14"/>
        <v>0.343054489639294</v>
      </c>
      <c r="E52" s="170">
        <f t="shared" si="14"/>
        <v>0.37129840546697</v>
      </c>
      <c r="F52" s="170">
        <f t="shared" si="14"/>
        <v>0.403688524590164</v>
      </c>
      <c r="G52" s="170">
        <f t="shared" si="14"/>
        <v>0.44165435745938</v>
      </c>
      <c r="H52" s="170">
        <f t="shared" si="14"/>
        <v>0.453204241585984</v>
      </c>
      <c r="I52" s="170">
        <f t="shared" si="14"/>
        <v>0.480671414038657</v>
      </c>
      <c r="J52" s="170">
        <f t="shared" si="14"/>
        <v>0.487012987012987</v>
      </c>
      <c r="K52" s="170">
        <f t="shared" si="14"/>
        <v>0.491613418530351</v>
      </c>
      <c r="L52" s="170">
        <f t="shared" si="14"/>
        <v>0.501098096632504</v>
      </c>
      <c r="M52" s="170">
        <f t="shared" si="14"/>
        <v>0.489629377762666</v>
      </c>
      <c r="N52" s="170">
        <f t="shared" si="14"/>
        <v>0.492027334851936</v>
      </c>
      <c r="O52" s="170">
        <f t="shared" si="14"/>
        <v>0.44848954298993</v>
      </c>
    </row>
    <row r="53" s="14" customFormat="1" ht="14.25" spans="2:15">
      <c r="B53" s="165">
        <v>2025</v>
      </c>
      <c r="C53" s="170">
        <f>C29/C43</f>
        <v>0.422729434141702</v>
      </c>
      <c r="D53" s="170">
        <f>D29/D43</f>
        <v>0.469722693831353</v>
      </c>
      <c r="E53" s="170">
        <f>E29/E43</f>
        <v>0.467467882304186</v>
      </c>
      <c r="F53" s="170">
        <f>F29/F43</f>
        <v>0.517351598173516</v>
      </c>
      <c r="G53" s="170"/>
      <c r="H53" s="170"/>
      <c r="I53" s="170"/>
      <c r="J53" s="170"/>
      <c r="K53" s="170"/>
      <c r="L53" s="170"/>
      <c r="M53" s="170"/>
      <c r="N53" s="170"/>
      <c r="O53" s="170"/>
    </row>
    <row r="54" s="14" customFormat="1" ht="14.25" spans="2:15">
      <c r="B54" s="164"/>
    </row>
    <row r="55" s="14" customFormat="1" ht="14.25" spans="2:15">
      <c r="B55" s="164" t="s">
        <v>140</v>
      </c>
    </row>
    <row r="56" s="14" customFormat="1" ht="14.25" spans="2:15">
      <c r="B56" s="165"/>
      <c r="C56" s="166" t="s">
        <v>51</v>
      </c>
      <c r="D56" s="166" t="s">
        <v>52</v>
      </c>
      <c r="E56" s="166" t="s">
        <v>53</v>
      </c>
      <c r="F56" s="166" t="s">
        <v>54</v>
      </c>
      <c r="G56" s="166" t="s">
        <v>55</v>
      </c>
      <c r="H56" s="166" t="s">
        <v>56</v>
      </c>
      <c r="I56" s="166" t="s">
        <v>57</v>
      </c>
      <c r="J56" s="166" t="s">
        <v>58</v>
      </c>
      <c r="K56" s="166" t="s">
        <v>59</v>
      </c>
      <c r="L56" s="166" t="s">
        <v>60</v>
      </c>
      <c r="M56" s="166" t="s">
        <v>61</v>
      </c>
      <c r="N56" s="166" t="s">
        <v>62</v>
      </c>
      <c r="O56" s="166" t="s">
        <v>134</v>
      </c>
    </row>
    <row r="57" s="14" customFormat="1" ht="14.25" spans="2:15">
      <c r="B57" s="165">
        <v>2019</v>
      </c>
      <c r="C57" s="145">
        <v>9.588</v>
      </c>
      <c r="D57" s="145">
        <v>4.6505</v>
      </c>
      <c r="E57" s="145">
        <v>10.5502</v>
      </c>
      <c r="F57" s="145">
        <v>8.5536</v>
      </c>
      <c r="G57" s="145">
        <v>9.3704</v>
      </c>
      <c r="H57" s="145">
        <v>13.8421</v>
      </c>
      <c r="I57" s="145">
        <v>6.5457</v>
      </c>
      <c r="J57" s="145">
        <v>6.4552</v>
      </c>
      <c r="K57" s="145">
        <v>6.1818</v>
      </c>
      <c r="L57" s="145">
        <v>6.3028</v>
      </c>
      <c r="M57" s="145">
        <v>7.1223</v>
      </c>
      <c r="N57" s="145">
        <v>13.0679</v>
      </c>
      <c r="O57" s="167">
        <f>SUM(C57:N57)</f>
        <v>102.2305</v>
      </c>
    </row>
    <row r="58" s="14" customFormat="1" ht="14.25" spans="2:15">
      <c r="B58" s="165">
        <v>2020</v>
      </c>
      <c r="C58" s="145">
        <v>4.0827</v>
      </c>
      <c r="D58" s="145">
        <v>1.4249</v>
      </c>
      <c r="E58" s="145">
        <v>5.4354</v>
      </c>
      <c r="F58" s="145">
        <v>5.5752</v>
      </c>
      <c r="G58" s="145">
        <v>6.6758</v>
      </c>
      <c r="H58" s="145">
        <v>8.3278</v>
      </c>
      <c r="I58" s="145">
        <v>8.2568</v>
      </c>
      <c r="J58" s="145">
        <v>9.3297</v>
      </c>
      <c r="K58" s="145">
        <v>11.0416</v>
      </c>
      <c r="L58" s="145">
        <v>13.3145</v>
      </c>
      <c r="M58" s="145">
        <v>17.0361</v>
      </c>
      <c r="N58" s="145">
        <v>20.787</v>
      </c>
      <c r="O58" s="167">
        <f>SUM(C58:N58)</f>
        <v>111.2875</v>
      </c>
    </row>
    <row r="59" s="14" customFormat="1" ht="14.25" spans="2:15">
      <c r="B59" s="165">
        <v>2021</v>
      </c>
      <c r="C59" s="145">
        <v>15.5388</v>
      </c>
      <c r="D59" s="145">
        <v>9.7059</v>
      </c>
      <c r="E59" s="145">
        <v>18.5328</v>
      </c>
      <c r="F59" s="145">
        <v>16.1418</v>
      </c>
      <c r="G59" s="145">
        <v>18.7316</v>
      </c>
      <c r="H59" s="145">
        <v>22.9634</v>
      </c>
      <c r="I59" s="145">
        <v>22.2233</v>
      </c>
      <c r="J59" s="145">
        <v>24.9588</v>
      </c>
      <c r="K59" s="145">
        <v>33.3532</v>
      </c>
      <c r="L59" s="145">
        <v>31.7029</v>
      </c>
      <c r="M59" s="145">
        <v>37.8487</v>
      </c>
      <c r="N59" s="145">
        <v>47.4887</v>
      </c>
      <c r="O59" s="167">
        <f t="shared" ref="O59:O61" si="15">SUM(C59:N59)</f>
        <v>299.1899</v>
      </c>
    </row>
    <row r="60" s="14" customFormat="1" ht="14.25" spans="2:15">
      <c r="B60" s="165">
        <v>2022</v>
      </c>
      <c r="C60" s="145">
        <v>35.2</v>
      </c>
      <c r="D60" s="145">
        <v>27.3</v>
      </c>
      <c r="E60" s="145">
        <v>44.5</v>
      </c>
      <c r="F60" s="145">
        <v>28.2</v>
      </c>
      <c r="G60" s="145">
        <v>36</v>
      </c>
      <c r="H60" s="145">
        <v>53.1</v>
      </c>
      <c r="I60" s="145">
        <v>48.6</v>
      </c>
      <c r="J60" s="148">
        <v>53</v>
      </c>
      <c r="K60" s="148">
        <v>61.1</v>
      </c>
      <c r="L60" s="148">
        <v>55.6</v>
      </c>
      <c r="M60" s="44">
        <v>59.8</v>
      </c>
      <c r="N60" s="44">
        <v>64</v>
      </c>
      <c r="O60" s="167">
        <f t="shared" si="15"/>
        <v>566.4</v>
      </c>
    </row>
    <row r="61" s="14" customFormat="1" ht="14.25" spans="2:15">
      <c r="B61" s="165">
        <v>2023</v>
      </c>
      <c r="C61" s="145">
        <v>33.2</v>
      </c>
      <c r="D61" s="145">
        <v>43.9</v>
      </c>
      <c r="E61" s="145">
        <v>54.3</v>
      </c>
      <c r="F61" s="145">
        <f>F7</f>
        <v>52.7</v>
      </c>
      <c r="G61" s="145">
        <v>58</v>
      </c>
      <c r="H61" s="145">
        <f>H7</f>
        <v>66.5</v>
      </c>
      <c r="I61" s="145">
        <v>64.1</v>
      </c>
      <c r="J61" s="148">
        <v>71.6</v>
      </c>
      <c r="K61" s="148">
        <v>74.6</v>
      </c>
      <c r="L61" s="148">
        <v>76.7</v>
      </c>
      <c r="M61" s="44">
        <v>84.1</v>
      </c>
      <c r="N61" s="44">
        <v>94.5</v>
      </c>
      <c r="O61" s="167">
        <f t="shared" si="15"/>
        <v>774.2</v>
      </c>
    </row>
    <row r="62" s="14" customFormat="1" ht="14.25" spans="2:15">
      <c r="B62" s="168" t="s">
        <v>69</v>
      </c>
      <c r="C62" s="169">
        <v>-0.063</v>
      </c>
      <c r="D62" s="169">
        <v>0.61</v>
      </c>
      <c r="E62" s="169">
        <v>0.219</v>
      </c>
      <c r="F62" s="169">
        <v>0.856</v>
      </c>
      <c r="G62" s="169">
        <v>0.609</v>
      </c>
      <c r="H62" s="169">
        <v>0.252</v>
      </c>
      <c r="I62" s="169">
        <v>0.319</v>
      </c>
      <c r="J62" s="169">
        <v>0.345</v>
      </c>
      <c r="K62" s="169">
        <v>0.221</v>
      </c>
      <c r="L62" s="169">
        <v>0.375</v>
      </c>
      <c r="M62" s="169">
        <v>0.398</v>
      </c>
      <c r="N62" s="169">
        <f>N61/N60-1</f>
        <v>0.4765625</v>
      </c>
    </row>
    <row r="63" s="14" customFormat="1" ht="14.25" spans="2:15">
      <c r="B63" s="168" t="s">
        <v>64</v>
      </c>
      <c r="C63" s="169">
        <v>-0.483</v>
      </c>
      <c r="D63" s="169">
        <v>0.328</v>
      </c>
      <c r="E63" s="169">
        <v>0.236</v>
      </c>
      <c r="F63" s="169">
        <v>-0.036</v>
      </c>
      <c r="G63" s="169">
        <v>0.105</v>
      </c>
      <c r="H63" s="169">
        <v>0.147</v>
      </c>
      <c r="I63" s="169">
        <v>-0.036</v>
      </c>
      <c r="J63" s="169">
        <v>0.118</v>
      </c>
      <c r="K63" s="169">
        <v>0.042</v>
      </c>
      <c r="L63" s="169">
        <v>0.027</v>
      </c>
      <c r="M63" s="169">
        <v>0.089</v>
      </c>
      <c r="N63" s="169">
        <f>(N61-M61)/M61</f>
        <v>0.123662306777646</v>
      </c>
    </row>
    <row r="64" s="14" customFormat="1" ht="14.25" spans="2:15">
      <c r="B64" s="165">
        <v>2024</v>
      </c>
      <c r="C64" s="145">
        <v>66.8</v>
      </c>
      <c r="D64" s="145">
        <v>38.8</v>
      </c>
      <c r="E64" s="145">
        <v>70.9</v>
      </c>
      <c r="F64" s="145">
        <v>67.4</v>
      </c>
      <c r="G64" s="145">
        <v>80.4</v>
      </c>
      <c r="H64" s="145">
        <v>85.7</v>
      </c>
      <c r="I64" s="145">
        <v>87.8</v>
      </c>
      <c r="J64" s="148">
        <v>102.5</v>
      </c>
      <c r="K64" s="148">
        <v>112.3</v>
      </c>
      <c r="L64" s="148">
        <v>119.6</v>
      </c>
      <c r="M64" s="145">
        <v>127</v>
      </c>
      <c r="N64" s="44">
        <v>130.3</v>
      </c>
      <c r="O64" s="167">
        <f>SUM(C64:N64)</f>
        <v>1089.5</v>
      </c>
    </row>
    <row r="65" s="14" customFormat="1" ht="14.25" spans="2:16">
      <c r="B65" s="168" t="s">
        <v>69</v>
      </c>
      <c r="C65" s="169">
        <v>1.018</v>
      </c>
      <c r="D65" s="169">
        <v>-0.116</v>
      </c>
      <c r="E65" s="169">
        <v>0.295</v>
      </c>
      <c r="F65" s="169">
        <v>0.283</v>
      </c>
      <c r="G65" s="169">
        <v>0.385</v>
      </c>
      <c r="H65" s="169">
        <v>0.286</v>
      </c>
      <c r="I65" s="169">
        <v>0.369</v>
      </c>
      <c r="J65" s="169">
        <v>0.432</v>
      </c>
      <c r="K65" s="169">
        <v>0.509</v>
      </c>
      <c r="L65" s="169">
        <v>0.567</v>
      </c>
      <c r="M65" s="169">
        <v>0.507</v>
      </c>
      <c r="N65" s="169">
        <v>0.375</v>
      </c>
    </row>
    <row r="66" s="14" customFormat="1" ht="14.25" spans="2:16">
      <c r="B66" s="168" t="s">
        <v>64</v>
      </c>
      <c r="C66" s="169">
        <v>-0.295</v>
      </c>
      <c r="D66" s="169">
        <v>-0.421</v>
      </c>
      <c r="E66" s="169">
        <v>0.825</v>
      </c>
      <c r="F66" s="169">
        <v>-0.057</v>
      </c>
      <c r="G66" s="169">
        <v>0.187</v>
      </c>
      <c r="H66" s="169">
        <v>0.064</v>
      </c>
      <c r="I66" s="169">
        <v>0.028</v>
      </c>
      <c r="J66" s="169">
        <v>0.17</v>
      </c>
      <c r="K66" s="169">
        <v>0.096</v>
      </c>
      <c r="L66" s="169">
        <v>0.064</v>
      </c>
      <c r="M66" s="169">
        <v>0.059</v>
      </c>
      <c r="N66" s="169">
        <f>N64/M64-1</f>
        <v>0.0259842519685041</v>
      </c>
    </row>
    <row r="67" s="14" customFormat="1" ht="14.25" spans="2:16">
      <c r="B67" s="165">
        <v>2025</v>
      </c>
      <c r="C67" s="145">
        <v>74.4</v>
      </c>
      <c r="D67" s="145">
        <v>68.6</v>
      </c>
      <c r="E67" s="145">
        <v>99.1</v>
      </c>
      <c r="F67" s="145">
        <v>90.5</v>
      </c>
      <c r="G67" s="145"/>
      <c r="H67" s="145"/>
      <c r="I67" s="145"/>
      <c r="J67" s="148"/>
      <c r="K67" s="148"/>
      <c r="L67" s="148"/>
      <c r="M67" s="145"/>
      <c r="N67" s="44"/>
      <c r="O67" s="167"/>
    </row>
    <row r="68" s="14" customFormat="1" ht="14.25" spans="2:16">
      <c r="B68" s="168" t="s">
        <v>69</v>
      </c>
      <c r="C68" s="169">
        <f>C67/C64-1</f>
        <v>0.11377245508982</v>
      </c>
      <c r="D68" s="169">
        <f>D67/D64-1</f>
        <v>0.768041237113402</v>
      </c>
      <c r="E68" s="169">
        <f>E67/E64-1</f>
        <v>0.397743300423131</v>
      </c>
      <c r="F68" s="169">
        <f>F67/F64-1</f>
        <v>0.342729970326409</v>
      </c>
      <c r="G68" s="169"/>
      <c r="H68" s="169"/>
      <c r="I68" s="169"/>
      <c r="J68" s="169"/>
      <c r="K68" s="169"/>
      <c r="L68" s="169"/>
      <c r="M68" s="169"/>
      <c r="N68" s="169"/>
    </row>
    <row r="69" s="14" customFormat="1" ht="14.25" spans="2:16">
      <c r="B69" s="168" t="s">
        <v>64</v>
      </c>
      <c r="C69" s="169">
        <f>C67/N64-1</f>
        <v>-0.429009976976209</v>
      </c>
      <c r="D69" s="169">
        <f>D67/C67-1</f>
        <v>-0.077956989247312</v>
      </c>
      <c r="E69" s="169">
        <f>E67/D67-1</f>
        <v>0.444606413994169</v>
      </c>
      <c r="F69" s="169">
        <f>F67/E67-1</f>
        <v>-0.0867810292633703</v>
      </c>
      <c r="G69" s="169"/>
      <c r="H69" s="169"/>
      <c r="I69" s="169"/>
      <c r="J69" s="169"/>
      <c r="K69" s="169"/>
      <c r="L69" s="169"/>
      <c r="M69" s="169"/>
      <c r="N69" s="169"/>
    </row>
    <row r="70" s="14" customFormat="1" ht="14.25" spans="2:16">
      <c r="B70" s="164"/>
    </row>
    <row r="71" s="14" customFormat="1" ht="14.25" spans="2:16">
      <c r="B71" s="164" t="s">
        <v>141</v>
      </c>
    </row>
    <row r="72" s="14" customFormat="1" ht="14.25" spans="2:16">
      <c r="B72" s="165"/>
      <c r="C72" s="166" t="s">
        <v>51</v>
      </c>
      <c r="D72" s="166" t="s">
        <v>52</v>
      </c>
      <c r="E72" s="166" t="s">
        <v>53</v>
      </c>
      <c r="F72" s="166" t="s">
        <v>54</v>
      </c>
      <c r="G72" s="166" t="s">
        <v>55</v>
      </c>
      <c r="H72" s="166" t="s">
        <v>56</v>
      </c>
      <c r="I72" s="166" t="s">
        <v>57</v>
      </c>
      <c r="J72" s="166" t="s">
        <v>58</v>
      </c>
      <c r="K72" s="166" t="s">
        <v>59</v>
      </c>
      <c r="L72" s="166" t="s">
        <v>60</v>
      </c>
      <c r="M72" s="166" t="s">
        <v>61</v>
      </c>
      <c r="N72" s="166" t="s">
        <v>62</v>
      </c>
      <c r="O72" s="166" t="s">
        <v>134</v>
      </c>
    </row>
    <row r="73" s="14" customFormat="1" ht="14.25" spans="2:16">
      <c r="B73" s="165">
        <v>2021</v>
      </c>
      <c r="C73" s="43">
        <v>218.7</v>
      </c>
      <c r="D73" s="43">
        <v>119.6</v>
      </c>
      <c r="E73" s="43">
        <v>176.4</v>
      </c>
      <c r="F73" s="43">
        <v>161.6</v>
      </c>
      <c r="G73" s="43">
        <v>162.9</v>
      </c>
      <c r="H73" s="43">
        <v>158.4</v>
      </c>
      <c r="I73" s="43">
        <v>151</v>
      </c>
      <c r="J73" s="43">
        <v>145.2</v>
      </c>
      <c r="K73" s="43">
        <v>158.2</v>
      </c>
      <c r="L73" s="43">
        <v>171.4</v>
      </c>
      <c r="M73" s="43">
        <v>181.6</v>
      </c>
      <c r="N73" s="43">
        <v>210.5</v>
      </c>
      <c r="O73" s="167">
        <f t="shared" ref="O73:O75" si="16">SUM(C73:N73)</f>
        <v>2015.5</v>
      </c>
    </row>
    <row r="74" s="14" customFormat="1" ht="14.25" spans="2:16">
      <c r="B74" s="165">
        <v>2022</v>
      </c>
      <c r="C74" s="43">
        <v>207.9</v>
      </c>
      <c r="D74" s="43">
        <v>125.8</v>
      </c>
      <c r="E74" s="44">
        <v>158</v>
      </c>
      <c r="F74" s="44">
        <v>104.7</v>
      </c>
      <c r="G74" s="44">
        <v>135.5</v>
      </c>
      <c r="H74" s="44">
        <v>194.4</v>
      </c>
      <c r="I74" s="44">
        <v>181.8</v>
      </c>
      <c r="J74" s="44">
        <v>187.4</v>
      </c>
      <c r="K74" s="44">
        <v>192.3</v>
      </c>
      <c r="L74" s="44">
        <v>184.3</v>
      </c>
      <c r="M74" s="44">
        <v>165</v>
      </c>
      <c r="N74" s="44">
        <v>216.9</v>
      </c>
      <c r="O74" s="167">
        <f t="shared" si="16"/>
        <v>2054</v>
      </c>
    </row>
    <row r="75" s="14" customFormat="1" ht="14.25" spans="2:16">
      <c r="B75" s="165">
        <v>2023</v>
      </c>
      <c r="C75" s="43">
        <v>129.3</v>
      </c>
      <c r="D75" s="43">
        <v>139</v>
      </c>
      <c r="E75" s="44">
        <v>158.7</v>
      </c>
      <c r="F75" s="44">
        <v>163</v>
      </c>
      <c r="G75" s="44">
        <v>174.2</v>
      </c>
      <c r="H75" s="44">
        <v>189.4</v>
      </c>
      <c r="I75" s="44">
        <v>177.5</v>
      </c>
      <c r="J75" s="44">
        <v>192.3</v>
      </c>
      <c r="K75" s="44">
        <v>201.8</v>
      </c>
      <c r="L75" s="44">
        <v>203.3</v>
      </c>
      <c r="M75" s="44">
        <v>208</v>
      </c>
      <c r="N75" s="44">
        <v>236.4</v>
      </c>
      <c r="O75" s="167">
        <f t="shared" si="16"/>
        <v>2172.9</v>
      </c>
      <c r="P75" s="14" t="s">
        <v>142</v>
      </c>
    </row>
    <row r="76" s="14" customFormat="1" ht="14.25" spans="2:16">
      <c r="B76" s="168" t="s">
        <v>69</v>
      </c>
      <c r="C76" s="169">
        <v>-0.379</v>
      </c>
      <c r="D76" s="169">
        <v>0.104</v>
      </c>
      <c r="E76" s="169">
        <v>0.003</v>
      </c>
      <c r="F76" s="169">
        <f>(F75-F74)/F74</f>
        <v>0.556829035339064</v>
      </c>
      <c r="G76" s="169">
        <v>0.286</v>
      </c>
      <c r="H76" s="169">
        <v>-0.026</v>
      </c>
      <c r="I76" s="169">
        <v>-0.023</v>
      </c>
      <c r="J76" s="169">
        <v>0.025</v>
      </c>
      <c r="K76" s="169">
        <v>0.05</v>
      </c>
      <c r="L76" s="169">
        <v>0.102</v>
      </c>
      <c r="M76" s="169">
        <v>0.26</v>
      </c>
      <c r="N76" s="169">
        <f>N75/N74-1</f>
        <v>0.0899031811894881</v>
      </c>
      <c r="O76" s="167"/>
    </row>
    <row r="77" s="14" customFormat="1" ht="14.25" spans="2:16">
      <c r="B77" s="168" t="s">
        <v>64</v>
      </c>
      <c r="C77" s="169">
        <v>-0.404</v>
      </c>
      <c r="D77" s="169">
        <v>0.075</v>
      </c>
      <c r="E77" s="169">
        <v>0.143</v>
      </c>
      <c r="F77" s="169">
        <f>(F75-E75)/E75</f>
        <v>0.0270951480781349</v>
      </c>
      <c r="G77" s="169">
        <v>0.073</v>
      </c>
      <c r="H77" s="169">
        <v>0.087</v>
      </c>
      <c r="I77" s="169">
        <v>-0.063</v>
      </c>
      <c r="J77" s="169">
        <v>0.086</v>
      </c>
      <c r="K77" s="169">
        <v>0.05</v>
      </c>
      <c r="L77" s="169">
        <v>0.007</v>
      </c>
      <c r="M77" s="169">
        <v>0.024</v>
      </c>
      <c r="N77" s="169">
        <f>(N75-M75)/M75</f>
        <v>0.136538461538462</v>
      </c>
      <c r="O77" s="167"/>
    </row>
    <row r="78" s="14" customFormat="1" ht="14.25" spans="2:16">
      <c r="B78" s="165">
        <v>2024</v>
      </c>
      <c r="C78" s="43">
        <v>203.5</v>
      </c>
      <c r="D78" s="43">
        <v>109.5</v>
      </c>
      <c r="E78" s="44">
        <v>169</v>
      </c>
      <c r="F78" s="44">
        <v>153.2</v>
      </c>
      <c r="G78" s="44">
        <v>171</v>
      </c>
      <c r="H78" s="44">
        <v>176.7</v>
      </c>
      <c r="I78" s="44">
        <v>172</v>
      </c>
      <c r="J78" s="44">
        <v>190.5</v>
      </c>
      <c r="K78" s="44">
        <v>210.7</v>
      </c>
      <c r="L78" s="44">
        <v>226.1</v>
      </c>
      <c r="M78" s="44">
        <v>242.4</v>
      </c>
      <c r="N78" s="44">
        <v>263.4</v>
      </c>
      <c r="O78" s="167">
        <f>SUM(C78:N78)</f>
        <v>2288</v>
      </c>
    </row>
    <row r="79" s="14" customFormat="1" ht="14.25" spans="2:16">
      <c r="B79" s="168" t="s">
        <v>69</v>
      </c>
      <c r="C79" s="169">
        <f>C78/C75-1</f>
        <v>0.573859242072699</v>
      </c>
      <c r="D79" s="169">
        <v>-0.21</v>
      </c>
      <c r="E79" s="169">
        <v>0.06</v>
      </c>
      <c r="F79" s="169">
        <v>-0.057</v>
      </c>
      <c r="G79" s="169">
        <v>-0.019</v>
      </c>
      <c r="H79" s="169">
        <v>-0.067</v>
      </c>
      <c r="I79" s="169">
        <v>-0.028</v>
      </c>
      <c r="J79" s="169">
        <v>-0.01</v>
      </c>
      <c r="K79" s="169">
        <v>0.045</v>
      </c>
      <c r="L79" s="169">
        <v>0.113</v>
      </c>
      <c r="M79" s="169">
        <v>0.166</v>
      </c>
      <c r="N79" s="169">
        <v>0.114</v>
      </c>
      <c r="O79" s="167"/>
    </row>
    <row r="80" s="14" customFormat="1" ht="14.25" spans="2:16">
      <c r="B80" s="168" t="s">
        <v>64</v>
      </c>
      <c r="C80" s="169">
        <f>C78/N75-1</f>
        <v>-0.13917089678511</v>
      </c>
      <c r="D80" s="169">
        <v>-0.462</v>
      </c>
      <c r="E80" s="169">
        <v>0.528</v>
      </c>
      <c r="F80" s="169">
        <v>-0.094</v>
      </c>
      <c r="G80" s="169">
        <v>0.114</v>
      </c>
      <c r="H80" s="169">
        <v>0.032</v>
      </c>
      <c r="I80" s="169">
        <v>-0.026</v>
      </c>
      <c r="J80" s="169">
        <v>0.108</v>
      </c>
      <c r="K80" s="169">
        <v>0.106</v>
      </c>
      <c r="L80" s="169">
        <v>0.073</v>
      </c>
      <c r="M80" s="169">
        <v>0.071</v>
      </c>
      <c r="N80" s="169">
        <f>N78/M78-1</f>
        <v>0.0866336633663365</v>
      </c>
      <c r="O80" s="167"/>
    </row>
    <row r="81" s="14" customFormat="1" ht="14.25" spans="2:15">
      <c r="B81" s="165">
        <v>2025</v>
      </c>
      <c r="C81" s="43">
        <v>179.4</v>
      </c>
      <c r="D81" s="43">
        <v>138.6</v>
      </c>
      <c r="E81" s="44">
        <v>241</v>
      </c>
      <c r="F81" s="145">
        <v>175.5</v>
      </c>
      <c r="G81" s="44"/>
      <c r="H81" s="44"/>
      <c r="I81" s="44"/>
      <c r="J81" s="44"/>
      <c r="K81" s="44"/>
      <c r="L81" s="44"/>
      <c r="M81" s="44"/>
      <c r="N81" s="44"/>
      <c r="O81" s="167"/>
    </row>
    <row r="82" s="14" customFormat="1" ht="14.25" spans="2:15">
      <c r="B82" s="168" t="s">
        <v>69</v>
      </c>
      <c r="C82" s="169">
        <f>C81/C78-1</f>
        <v>-0.118427518427518</v>
      </c>
      <c r="D82" s="169">
        <f>D81/D78-1</f>
        <v>0.265753424657534</v>
      </c>
      <c r="E82" s="169">
        <f>E81/E78-1</f>
        <v>0.42603550295858</v>
      </c>
      <c r="F82" s="171">
        <f>F81/F78-1</f>
        <v>0.14556135770235</v>
      </c>
      <c r="G82" s="169"/>
      <c r="H82" s="169"/>
      <c r="I82" s="169"/>
      <c r="J82" s="169"/>
      <c r="K82" s="169"/>
      <c r="L82" s="169"/>
      <c r="M82" s="169"/>
      <c r="N82" s="169"/>
      <c r="O82" s="167"/>
    </row>
    <row r="83" s="14" customFormat="1" ht="14.25" spans="2:15">
      <c r="B83" s="168" t="s">
        <v>64</v>
      </c>
      <c r="C83" s="169">
        <f>C81/N78-1</f>
        <v>-0.318906605922551</v>
      </c>
      <c r="D83" s="169">
        <f>D81/C81-1</f>
        <v>-0.22742474916388</v>
      </c>
      <c r="E83" s="169">
        <f>E81/D81-1</f>
        <v>0.738816738816739</v>
      </c>
      <c r="F83" s="171">
        <f>F81/E81-1</f>
        <v>-0.271784232365145</v>
      </c>
      <c r="G83" s="169"/>
      <c r="H83" s="169"/>
      <c r="I83" s="169"/>
      <c r="J83" s="169"/>
      <c r="K83" s="169"/>
      <c r="L83" s="169"/>
      <c r="M83" s="169"/>
      <c r="N83" s="169"/>
      <c r="O83" s="167"/>
    </row>
    <row r="84" s="14" customFormat="1" ht="14.25" spans="2:15">
      <c r="B84" s="164"/>
      <c r="F84" s="144"/>
    </row>
    <row r="85" s="14" customFormat="1" ht="14.25" spans="2:15">
      <c r="B85" s="164" t="s">
        <v>143</v>
      </c>
    </row>
    <row r="86" s="14" customFormat="1" ht="14.25" spans="2:15">
      <c r="B86" s="165"/>
      <c r="C86" s="166" t="s">
        <v>51</v>
      </c>
      <c r="D86" s="166" t="s">
        <v>52</v>
      </c>
      <c r="E86" s="166" t="s">
        <v>53</v>
      </c>
      <c r="F86" s="166" t="s">
        <v>54</v>
      </c>
      <c r="G86" s="166" t="s">
        <v>55</v>
      </c>
      <c r="H86" s="166" t="s">
        <v>56</v>
      </c>
      <c r="I86" s="166" t="s">
        <v>57</v>
      </c>
      <c r="J86" s="166" t="s">
        <v>58</v>
      </c>
      <c r="K86" s="166" t="s">
        <v>59</v>
      </c>
      <c r="L86" s="166" t="s">
        <v>60</v>
      </c>
      <c r="M86" s="166" t="s">
        <v>61</v>
      </c>
      <c r="N86" s="166" t="s">
        <v>62</v>
      </c>
      <c r="O86" s="166" t="s">
        <v>134</v>
      </c>
    </row>
    <row r="87" s="14" customFormat="1" ht="14.25" spans="2:15">
      <c r="B87" s="165">
        <v>2021</v>
      </c>
      <c r="C87" s="170">
        <f t="shared" ref="C87:O87" si="17">C59/C73</f>
        <v>0.0710507544581619</v>
      </c>
      <c r="D87" s="170">
        <f t="shared" si="17"/>
        <v>0.0811530100334448</v>
      </c>
      <c r="E87" s="170">
        <f t="shared" si="17"/>
        <v>0.105061224489796</v>
      </c>
      <c r="F87" s="170">
        <f t="shared" si="17"/>
        <v>0.0998873762376238</v>
      </c>
      <c r="G87" s="170">
        <f t="shared" si="17"/>
        <v>0.114988336402701</v>
      </c>
      <c r="H87" s="170">
        <f t="shared" si="17"/>
        <v>0.14497095959596</v>
      </c>
      <c r="I87" s="170">
        <f t="shared" si="17"/>
        <v>0.14717417218543</v>
      </c>
      <c r="J87" s="170">
        <f t="shared" si="17"/>
        <v>0.171892561983471</v>
      </c>
      <c r="K87" s="170">
        <f t="shared" si="17"/>
        <v>0.210829329962073</v>
      </c>
      <c r="L87" s="170">
        <f t="shared" si="17"/>
        <v>0.184964410735123</v>
      </c>
      <c r="M87" s="170">
        <f t="shared" si="17"/>
        <v>0.20841795154185</v>
      </c>
      <c r="N87" s="170">
        <f t="shared" si="17"/>
        <v>0.225599524940618</v>
      </c>
      <c r="O87" s="170">
        <f t="shared" si="17"/>
        <v>0.148444505085587</v>
      </c>
    </row>
    <row r="88" s="14" customFormat="1" ht="14.25" spans="2:15">
      <c r="B88" s="165">
        <v>2022</v>
      </c>
      <c r="C88" s="170">
        <f t="shared" ref="C88:O88" si="18">C60/C74</f>
        <v>0.169312169312169</v>
      </c>
      <c r="D88" s="170">
        <f t="shared" si="18"/>
        <v>0.217011128775835</v>
      </c>
      <c r="E88" s="170">
        <f t="shared" si="18"/>
        <v>0.281645569620253</v>
      </c>
      <c r="F88" s="170">
        <f t="shared" si="18"/>
        <v>0.269340974212034</v>
      </c>
      <c r="G88" s="170">
        <f t="shared" si="18"/>
        <v>0.265682656826568</v>
      </c>
      <c r="H88" s="170">
        <f t="shared" si="18"/>
        <v>0.273148148148148</v>
      </c>
      <c r="I88" s="170">
        <f t="shared" si="18"/>
        <v>0.267326732673267</v>
      </c>
      <c r="J88" s="170">
        <f t="shared" si="18"/>
        <v>0.28281750266809</v>
      </c>
      <c r="K88" s="170">
        <f t="shared" si="18"/>
        <v>0.317732709308372</v>
      </c>
      <c r="L88" s="170">
        <f t="shared" si="18"/>
        <v>0.301682040151926</v>
      </c>
      <c r="M88" s="170">
        <f t="shared" si="18"/>
        <v>0.362424242424242</v>
      </c>
      <c r="N88" s="170">
        <f t="shared" si="18"/>
        <v>0.295066851083449</v>
      </c>
      <c r="O88" s="170">
        <f t="shared" si="18"/>
        <v>0.275754625121714</v>
      </c>
    </row>
    <row r="89" s="14" customFormat="1" ht="14.25" spans="2:15">
      <c r="B89" s="144">
        <v>2023</v>
      </c>
      <c r="C89" s="172">
        <f t="shared" ref="C89:I89" si="19">C61/C75</f>
        <v>0.25676720804331</v>
      </c>
      <c r="D89" s="172">
        <f t="shared" si="19"/>
        <v>0.315827338129496</v>
      </c>
      <c r="E89" s="163">
        <f t="shared" si="19"/>
        <v>0.342155009451796</v>
      </c>
      <c r="F89" s="172">
        <f t="shared" si="19"/>
        <v>0.323312883435583</v>
      </c>
      <c r="G89" s="172">
        <f t="shared" si="19"/>
        <v>0.332950631458094</v>
      </c>
      <c r="H89" s="172">
        <f t="shared" si="19"/>
        <v>0.351108764519535</v>
      </c>
      <c r="I89" s="172">
        <f t="shared" si="19"/>
        <v>0.36112676056338</v>
      </c>
      <c r="J89" s="172">
        <v>0.373</v>
      </c>
      <c r="K89" s="172">
        <v>0.369</v>
      </c>
      <c r="L89" s="172">
        <v>0.378</v>
      </c>
      <c r="M89" s="172">
        <v>0.404</v>
      </c>
      <c r="N89" s="172">
        <f>N61/N75</f>
        <v>0.399746192893401</v>
      </c>
      <c r="O89" s="170">
        <f>O61/O75</f>
        <v>0.356298034884256</v>
      </c>
    </row>
    <row r="90" s="14" customFormat="1" ht="14.25" spans="2:15">
      <c r="B90" s="144">
        <v>2024</v>
      </c>
      <c r="C90" s="172">
        <f>C64/C78</f>
        <v>0.328255528255528</v>
      </c>
      <c r="D90" s="172">
        <f t="shared" ref="D90:O90" si="20">D64/D78</f>
        <v>0.354337899543379</v>
      </c>
      <c r="E90" s="172">
        <f t="shared" si="20"/>
        <v>0.419526627218935</v>
      </c>
      <c r="F90" s="172">
        <f t="shared" si="20"/>
        <v>0.439947780678851</v>
      </c>
      <c r="G90" s="172">
        <f t="shared" si="20"/>
        <v>0.470175438596491</v>
      </c>
      <c r="H90" s="172">
        <f t="shared" si="20"/>
        <v>0.485002829654782</v>
      </c>
      <c r="I90" s="172">
        <f t="shared" si="20"/>
        <v>0.51046511627907</v>
      </c>
      <c r="J90" s="172">
        <f t="shared" si="20"/>
        <v>0.538057742782152</v>
      </c>
      <c r="K90" s="172">
        <f t="shared" si="20"/>
        <v>0.532985287138111</v>
      </c>
      <c r="L90" s="172">
        <f t="shared" si="20"/>
        <v>0.528969482529854</v>
      </c>
      <c r="M90" s="172">
        <f t="shared" si="20"/>
        <v>0.523927392739274</v>
      </c>
      <c r="N90" s="172">
        <f t="shared" si="20"/>
        <v>0.494684889901291</v>
      </c>
      <c r="O90" s="172">
        <f t="shared" si="20"/>
        <v>0.47618006993007</v>
      </c>
    </row>
    <row r="91" s="14" customFormat="1" ht="14.25" spans="2:15">
      <c r="B91" s="144">
        <v>2025</v>
      </c>
      <c r="C91" s="172">
        <f>C67/C81</f>
        <v>0.414715719063545</v>
      </c>
      <c r="D91" s="172">
        <f>D67/D81</f>
        <v>0.494949494949495</v>
      </c>
      <c r="E91" s="172">
        <f>E67/E81</f>
        <v>0.411203319502075</v>
      </c>
      <c r="F91" s="172">
        <f>F67/F81</f>
        <v>0.515669515669516</v>
      </c>
      <c r="G91" s="172"/>
      <c r="H91" s="172"/>
      <c r="I91" s="172"/>
      <c r="J91" s="172"/>
      <c r="K91" s="172"/>
      <c r="L91" s="172"/>
      <c r="M91" s="172"/>
      <c r="N91" s="172"/>
      <c r="O91" s="172"/>
    </row>
    <row r="92" s="14" customFormat="1" ht="14.25"/>
    <row r="93" s="14" customFormat="1" ht="14.25" spans="2:15">
      <c r="B93" s="164" t="s">
        <v>144</v>
      </c>
    </row>
    <row r="94" s="14" customFormat="1" ht="14.25" spans="2:15">
      <c r="B94" s="165"/>
      <c r="C94" s="166" t="s">
        <v>51</v>
      </c>
      <c r="D94" s="166" t="s">
        <v>52</v>
      </c>
      <c r="E94" s="166" t="s">
        <v>53</v>
      </c>
      <c r="F94" s="166" t="s">
        <v>54</v>
      </c>
      <c r="G94" s="166" t="s">
        <v>55</v>
      </c>
      <c r="H94" s="166" t="s">
        <v>56</v>
      </c>
      <c r="I94" s="166" t="s">
        <v>57</v>
      </c>
      <c r="J94" s="166" t="s">
        <v>58</v>
      </c>
      <c r="K94" s="166" t="s">
        <v>59</v>
      </c>
      <c r="L94" s="166" t="s">
        <v>60</v>
      </c>
      <c r="M94" s="166" t="s">
        <v>61</v>
      </c>
      <c r="N94" s="166" t="s">
        <v>62</v>
      </c>
      <c r="O94" s="166" t="s">
        <v>134</v>
      </c>
    </row>
    <row r="95" s="14" customFormat="1" ht="14.25" spans="2:15">
      <c r="B95" s="165">
        <v>2021</v>
      </c>
      <c r="C95" s="173">
        <v>8.2</v>
      </c>
      <c r="D95" s="173">
        <v>7.3</v>
      </c>
      <c r="E95" s="173">
        <v>9.2</v>
      </c>
      <c r="F95" s="173">
        <v>10.7</v>
      </c>
      <c r="G95" s="173">
        <v>10.7</v>
      </c>
      <c r="H95" s="173">
        <v>11.2</v>
      </c>
      <c r="I95" s="173">
        <v>12.8</v>
      </c>
      <c r="J95" s="173">
        <v>14</v>
      </c>
      <c r="K95" s="173">
        <v>12.8</v>
      </c>
      <c r="L95" s="173">
        <v>18.8</v>
      </c>
      <c r="M95" s="173">
        <v>17</v>
      </c>
      <c r="N95" s="173">
        <v>17</v>
      </c>
      <c r="O95" s="167">
        <f>SUM(C95:N95)</f>
        <v>149.7</v>
      </c>
    </row>
    <row r="96" s="14" customFormat="1" ht="14.25" spans="2:15">
      <c r="B96" s="165">
        <v>2022</v>
      </c>
      <c r="C96" s="173">
        <v>16.9</v>
      </c>
      <c r="D96" s="173">
        <v>13.3</v>
      </c>
      <c r="E96" s="173">
        <v>10.7</v>
      </c>
      <c r="F96" s="173">
        <v>9.1</v>
      </c>
      <c r="G96" s="173">
        <v>18.4</v>
      </c>
      <c r="H96" s="173">
        <v>18.7</v>
      </c>
      <c r="I96" s="173">
        <v>22.5</v>
      </c>
      <c r="J96" s="173">
        <v>25.2</v>
      </c>
      <c r="K96" s="173">
        <v>25</v>
      </c>
      <c r="L96" s="173">
        <v>27</v>
      </c>
      <c r="M96" s="173">
        <v>37</v>
      </c>
      <c r="N96" s="173">
        <v>26</v>
      </c>
      <c r="O96" s="167">
        <f>SUM(C96:N96)</f>
        <v>249.8</v>
      </c>
    </row>
    <row r="97" s="14" customFormat="1" ht="14.25" spans="2:16">
      <c r="B97" s="165">
        <v>2023</v>
      </c>
      <c r="C97" s="173">
        <v>23</v>
      </c>
      <c r="D97" s="173">
        <v>25</v>
      </c>
      <c r="E97" s="173">
        <v>29</v>
      </c>
      <c r="F97" s="173">
        <v>30</v>
      </c>
      <c r="G97" s="173">
        <v>30.2</v>
      </c>
      <c r="H97" s="173">
        <v>29</v>
      </c>
      <c r="I97" s="173">
        <v>31</v>
      </c>
      <c r="J97" s="173">
        <v>33</v>
      </c>
      <c r="K97" s="173">
        <v>35.7</v>
      </c>
      <c r="L97" s="173">
        <v>39.1</v>
      </c>
      <c r="M97" s="173">
        <v>37.8</v>
      </c>
      <c r="N97" s="173">
        <f>O97-SUM(C97:M97)</f>
        <v>40.2</v>
      </c>
      <c r="O97" s="167">
        <v>383</v>
      </c>
    </row>
    <row r="98" s="14" customFormat="1" ht="14.25" spans="2:16">
      <c r="B98" s="165">
        <v>2024</v>
      </c>
      <c r="C98" s="44">
        <v>35.5</v>
      </c>
      <c r="D98" s="44">
        <v>29.8</v>
      </c>
      <c r="E98" s="44">
        <v>40.6</v>
      </c>
      <c r="F98" s="44">
        <v>55.6</v>
      </c>
      <c r="G98" s="44">
        <v>56.9</v>
      </c>
      <c r="H98" s="44">
        <v>37.8</v>
      </c>
      <c r="I98" s="44">
        <v>37.6</v>
      </c>
      <c r="J98" s="44">
        <v>41.3</v>
      </c>
      <c r="K98" s="44">
        <v>43.5</v>
      </c>
      <c r="L98" s="44">
        <v>39.2</v>
      </c>
      <c r="M98" s="44">
        <v>39.6</v>
      </c>
      <c r="N98" s="44">
        <v>40.4</v>
      </c>
      <c r="O98" s="44">
        <f>SUM(C98:N98)</f>
        <v>497.8</v>
      </c>
      <c r="P98" s="14" t="s">
        <v>145</v>
      </c>
    </row>
    <row r="99" s="14" customFormat="1" ht="14.25" spans="2:16">
      <c r="B99" s="165">
        <v>2025</v>
      </c>
      <c r="C99" s="44">
        <v>38</v>
      </c>
      <c r="D99" s="44">
        <v>34.9</v>
      </c>
      <c r="E99" s="44">
        <v>39.1</v>
      </c>
      <c r="F99" s="44">
        <v>42.3</v>
      </c>
      <c r="G99" s="44"/>
      <c r="H99" s="44"/>
      <c r="I99" s="44"/>
      <c r="J99" s="44"/>
      <c r="K99" s="44"/>
      <c r="L99" s="44"/>
      <c r="M99" s="44"/>
      <c r="N99" s="44"/>
      <c r="O99" s="44"/>
    </row>
    <row r="100" s="14" customFormat="1" ht="14.25" spans="2:16">
      <c r="B100" s="165"/>
      <c r="C100" s="169"/>
      <c r="D100" s="169"/>
      <c r="E100" s="44"/>
      <c r="F100" s="44"/>
      <c r="G100" s="44"/>
      <c r="H100" s="44"/>
      <c r="I100" s="44"/>
      <c r="J100" s="44"/>
      <c r="K100" s="44"/>
      <c r="L100" s="44"/>
      <c r="M100" s="44"/>
      <c r="N100" s="44"/>
    </row>
    <row r="101" s="14" customFormat="1" ht="14.25" spans="2:16">
      <c r="B101" s="164" t="s">
        <v>146</v>
      </c>
    </row>
    <row r="102" s="14" customFormat="1" ht="16.5" customHeight="1" spans="2:16">
      <c r="B102" s="165"/>
      <c r="C102" s="166" t="s">
        <v>51</v>
      </c>
      <c r="D102" s="166" t="s">
        <v>52</v>
      </c>
      <c r="E102" s="166" t="s">
        <v>53</v>
      </c>
      <c r="F102" s="166" t="s">
        <v>54</v>
      </c>
      <c r="G102" s="166" t="s">
        <v>55</v>
      </c>
      <c r="H102" s="166" t="s">
        <v>56</v>
      </c>
      <c r="I102" s="166" t="s">
        <v>57</v>
      </c>
      <c r="J102" s="166" t="s">
        <v>58</v>
      </c>
      <c r="K102" s="166" t="s">
        <v>59</v>
      </c>
      <c r="L102" s="166" t="s">
        <v>60</v>
      </c>
      <c r="M102" s="166" t="s">
        <v>61</v>
      </c>
      <c r="N102" s="166" t="s">
        <v>62</v>
      </c>
      <c r="O102" s="166" t="s">
        <v>134</v>
      </c>
    </row>
    <row r="103" s="14" customFormat="1" ht="14.25" spans="2:16">
      <c r="B103" s="165">
        <v>2021</v>
      </c>
      <c r="C103" s="174"/>
      <c r="D103" s="174"/>
      <c r="E103" s="174"/>
      <c r="F103" s="174"/>
      <c r="G103" s="174"/>
      <c r="H103" s="174"/>
      <c r="I103" s="174"/>
      <c r="J103" s="174"/>
      <c r="K103" s="174">
        <v>1.48</v>
      </c>
      <c r="L103" s="174"/>
      <c r="M103" s="174"/>
      <c r="N103" s="174">
        <v>2.6</v>
      </c>
      <c r="O103" s="167">
        <f>SUM(C103:N103)</f>
        <v>4.08</v>
      </c>
    </row>
    <row r="104" s="14" customFormat="1" ht="14.25" spans="2:16">
      <c r="B104" s="165">
        <v>2022</v>
      </c>
      <c r="C104" s="174">
        <v>5.2</v>
      </c>
      <c r="D104" s="174">
        <v>4.53</v>
      </c>
      <c r="E104" s="175">
        <v>1.1</v>
      </c>
      <c r="F104" s="175">
        <v>0.76</v>
      </c>
      <c r="G104" s="175">
        <v>3.9</v>
      </c>
      <c r="H104" s="175">
        <v>3.1</v>
      </c>
      <c r="I104" s="175">
        <v>4.9</v>
      </c>
      <c r="J104" s="175">
        <v>7.7</v>
      </c>
      <c r="K104" s="175">
        <v>4.4</v>
      </c>
      <c r="L104" s="175">
        <v>10.3</v>
      </c>
      <c r="M104" s="175">
        <v>8.2</v>
      </c>
      <c r="N104" s="175">
        <v>7.4</v>
      </c>
      <c r="O104" s="167">
        <f>SUM(C104:N104)</f>
        <v>61.49</v>
      </c>
    </row>
    <row r="105" ht="14.25" spans="2:16">
      <c r="B105" s="165">
        <v>2023</v>
      </c>
      <c r="C105" s="174">
        <v>7.4</v>
      </c>
      <c r="D105" s="174">
        <v>7.9</v>
      </c>
      <c r="E105" s="175">
        <v>7</v>
      </c>
      <c r="F105" s="175">
        <v>9.1</v>
      </c>
      <c r="G105" s="175">
        <v>9.2</v>
      </c>
      <c r="H105" s="175">
        <v>7</v>
      </c>
      <c r="I105" s="175">
        <v>8.8</v>
      </c>
      <c r="J105" s="175">
        <v>7.8</v>
      </c>
      <c r="K105" s="175">
        <v>9.1</v>
      </c>
      <c r="L105" s="175">
        <v>11.2</v>
      </c>
      <c r="M105" s="175">
        <v>8.9</v>
      </c>
      <c r="N105" s="175">
        <v>10.2</v>
      </c>
      <c r="O105" s="167">
        <f>SUM(C105:N105)</f>
        <v>103.6</v>
      </c>
    </row>
    <row r="106" s="14" customFormat="1" ht="14.25" spans="2:16">
      <c r="B106" s="168" t="s">
        <v>69</v>
      </c>
      <c r="C106" s="169">
        <f>C105/C104-1</f>
        <v>0.423076923076923</v>
      </c>
      <c r="D106" s="169">
        <f>D105/D104-1</f>
        <v>0.7439293598234</v>
      </c>
      <c r="E106" s="169">
        <f t="shared" ref="E106" si="21">E105/E104-1</f>
        <v>5.36363636363636</v>
      </c>
      <c r="F106" s="169">
        <f t="shared" ref="F106" si="22">F105/F104-1</f>
        <v>10.9736842105263</v>
      </c>
      <c r="G106" s="169">
        <f t="shared" ref="G106" si="23">G105/G104-1</f>
        <v>1.35897435897436</v>
      </c>
      <c r="H106" s="169">
        <f t="shared" ref="H106" si="24">H105/H104-1</f>
        <v>1.25806451612903</v>
      </c>
      <c r="I106" s="169">
        <f t="shared" ref="I106" si="25">I105/I104-1</f>
        <v>0.795918367346939</v>
      </c>
      <c r="J106" s="169">
        <f t="shared" ref="J106" si="26">J105/J104-1</f>
        <v>0.0129870129870129</v>
      </c>
      <c r="K106" s="169">
        <f t="shared" ref="K106" si="27">K105/K104-1</f>
        <v>1.06818181818182</v>
      </c>
      <c r="L106" s="169">
        <f t="shared" ref="L106:N106" si="28">L105/L104-1</f>
        <v>0.087378640776699</v>
      </c>
      <c r="M106" s="169">
        <f t="shared" si="28"/>
        <v>0.0853658536585367</v>
      </c>
      <c r="N106" s="169">
        <f t="shared" si="28"/>
        <v>0.378378378378378</v>
      </c>
      <c r="O106" s="176"/>
    </row>
    <row r="107" s="14" customFormat="1" ht="14.25" spans="2:16">
      <c r="B107" s="168" t="s">
        <v>64</v>
      </c>
      <c r="C107" s="169">
        <f>C105/N104-1</f>
        <v>0</v>
      </c>
      <c r="D107" s="169">
        <f>D105/C105-1</f>
        <v>0.0675675675675675</v>
      </c>
      <c r="E107" s="169">
        <f t="shared" ref="E107:N107" si="29">E105/D105-1</f>
        <v>-0.113924050632911</v>
      </c>
      <c r="F107" s="169">
        <f t="shared" si="29"/>
        <v>0.3</v>
      </c>
      <c r="G107" s="169">
        <f t="shared" si="29"/>
        <v>0.0109890109890109</v>
      </c>
      <c r="H107" s="169">
        <f t="shared" si="29"/>
        <v>-0.239130434782609</v>
      </c>
      <c r="I107" s="169">
        <f t="shared" si="29"/>
        <v>0.257142857142857</v>
      </c>
      <c r="J107" s="169">
        <f t="shared" si="29"/>
        <v>-0.113636363636364</v>
      </c>
      <c r="K107" s="169">
        <f t="shared" si="29"/>
        <v>0.166666666666667</v>
      </c>
      <c r="L107" s="169">
        <f t="shared" si="29"/>
        <v>0.230769230769231</v>
      </c>
      <c r="M107" s="169">
        <f t="shared" si="29"/>
        <v>-0.205357142857143</v>
      </c>
      <c r="N107" s="169">
        <f t="shared" si="29"/>
        <v>0.146067415730337</v>
      </c>
      <c r="O107" s="176"/>
    </row>
    <row r="108" ht="14.25" spans="2:16">
      <c r="B108" s="165">
        <v>2024</v>
      </c>
      <c r="C108" s="174">
        <v>9.5</v>
      </c>
      <c r="D108" s="174">
        <f>D98*0.264</f>
        <v>7.8672</v>
      </c>
      <c r="E108" s="174">
        <f>E98*29.3%</f>
        <v>11.8958</v>
      </c>
      <c r="F108" s="174">
        <v>11.5</v>
      </c>
      <c r="G108" s="174">
        <v>9.4</v>
      </c>
      <c r="H108" s="174">
        <v>8</v>
      </c>
      <c r="I108" s="174">
        <v>9.2</v>
      </c>
      <c r="J108" s="174">
        <v>9.9</v>
      </c>
      <c r="K108" s="174">
        <v>10.5</v>
      </c>
      <c r="L108" s="174">
        <v>12</v>
      </c>
      <c r="M108" s="174">
        <v>8</v>
      </c>
      <c r="N108" s="174">
        <v>12.2</v>
      </c>
      <c r="O108" s="174">
        <f>SUM(C108:N108)</f>
        <v>119.963</v>
      </c>
    </row>
    <row r="109" ht="14.25" spans="2:16">
      <c r="B109" s="168" t="s">
        <v>69</v>
      </c>
      <c r="C109" s="169">
        <f>0.271</f>
        <v>0.271</v>
      </c>
      <c r="D109" s="169">
        <f>-4.6%</f>
        <v>-0.046</v>
      </c>
      <c r="E109" s="169">
        <v>0.054</v>
      </c>
      <c r="F109" s="169">
        <v>0.268</v>
      </c>
      <c r="G109" s="169">
        <v>-0.04</v>
      </c>
      <c r="H109" s="169">
        <v>0.123</v>
      </c>
      <c r="I109" s="169">
        <v>0.013</v>
      </c>
      <c r="J109" s="169">
        <v>0.237</v>
      </c>
      <c r="K109" s="169">
        <v>0.193</v>
      </c>
      <c r="L109" s="169">
        <v>0.104</v>
      </c>
      <c r="M109" s="169">
        <v>-0.063</v>
      </c>
      <c r="N109" s="169">
        <v>0.215</v>
      </c>
    </row>
    <row r="110" ht="14.25" spans="2:16">
      <c r="B110" s="168" t="s">
        <v>64</v>
      </c>
      <c r="C110" s="169">
        <f>C108/N105-1</f>
        <v>-0.0686274509803921</v>
      </c>
      <c r="D110" s="169">
        <f>D108/C108-1</f>
        <v>-0.171873684210526</v>
      </c>
      <c r="E110" s="169">
        <f>E108/D108-1</f>
        <v>0.512075452511694</v>
      </c>
      <c r="F110" s="169">
        <v>-0.041</v>
      </c>
      <c r="G110" s="169">
        <v>-0.188</v>
      </c>
      <c r="H110" s="169">
        <v>-0.152</v>
      </c>
      <c r="I110" s="169">
        <v>0.182</v>
      </c>
      <c r="J110" s="169">
        <v>0.076</v>
      </c>
      <c r="K110" s="169">
        <v>0.06</v>
      </c>
      <c r="L110" s="169">
        <v>0.137</v>
      </c>
      <c r="M110" s="169">
        <v>-0.333</v>
      </c>
      <c r="N110" s="169">
        <v>0.529</v>
      </c>
    </row>
    <row r="111" ht="14.25" spans="2:16">
      <c r="B111" s="165">
        <v>2025</v>
      </c>
      <c r="C111" s="174">
        <v>13.9</v>
      </c>
      <c r="D111" s="174">
        <v>11.8</v>
      </c>
      <c r="E111" s="174">
        <v>14.3</v>
      </c>
      <c r="F111" s="174">
        <v>18.9</v>
      </c>
      <c r="G111" s="174"/>
      <c r="H111" s="174"/>
      <c r="I111" s="174"/>
      <c r="J111" s="174"/>
      <c r="K111" s="174"/>
      <c r="L111" s="174"/>
      <c r="M111" s="174"/>
      <c r="N111" s="174"/>
      <c r="O111" s="174"/>
    </row>
    <row r="112" ht="14.25" spans="2:16">
      <c r="B112" s="168" t="s">
        <v>69</v>
      </c>
      <c r="C112" s="169">
        <f>C111/C108-1</f>
        <v>0.463157894736842</v>
      </c>
      <c r="D112" s="169">
        <f>D111/D108-1</f>
        <v>0.499898311978849</v>
      </c>
      <c r="E112" s="169">
        <f>E111/E108-1</f>
        <v>0.202104944602297</v>
      </c>
      <c r="F112" s="169">
        <f>F111/F108-1</f>
        <v>0.643478260869565</v>
      </c>
      <c r="G112" s="169"/>
      <c r="H112" s="169"/>
      <c r="I112" s="169"/>
      <c r="J112" s="169"/>
      <c r="K112" s="169"/>
      <c r="L112" s="169"/>
      <c r="M112" s="169"/>
      <c r="N112" s="169"/>
    </row>
    <row r="113" ht="14.25" spans="2:14">
      <c r="B113" s="168" t="s">
        <v>64</v>
      </c>
      <c r="C113" s="169">
        <f>C111/N108-1</f>
        <v>0.139344262295082</v>
      </c>
      <c r="D113" s="169">
        <f>D111/C111-1</f>
        <v>-0.151079136690647</v>
      </c>
      <c r="E113" s="169">
        <f>E111/D111-1</f>
        <v>0.211864406779661</v>
      </c>
      <c r="F113" s="169">
        <f>F111/E111-1</f>
        <v>0.321678321678321</v>
      </c>
      <c r="G113" s="169"/>
      <c r="H113" s="169"/>
      <c r="I113" s="169"/>
      <c r="J113" s="169"/>
      <c r="K113" s="169"/>
      <c r="L113" s="169"/>
      <c r="M113" s="169"/>
      <c r="N113" s="169"/>
    </row>
    <row r="115" spans="2:14">
      <c r="B115" s="177"/>
      <c r="C115" s="178"/>
      <c r="D115" s="178"/>
      <c r="E115" s="118"/>
      <c r="F115" s="118"/>
      <c r="G115" s="118"/>
      <c r="H115" s="118"/>
      <c r="I115" s="118"/>
    </row>
    <row r="116" spans="2:14">
      <c r="B116" s="177"/>
      <c r="C116" s="178"/>
      <c r="D116" s="178"/>
      <c r="E116" s="118"/>
      <c r="F116" s="118"/>
      <c r="G116" s="118"/>
      <c r="H116" s="118"/>
      <c r="I116" s="118"/>
    </row>
    <row r="117" spans="2:14">
      <c r="B117" s="177"/>
      <c r="C117" s="178"/>
      <c r="D117" s="178"/>
      <c r="E117" s="118"/>
      <c r="F117" s="118"/>
      <c r="G117" s="118"/>
      <c r="H117" s="118"/>
      <c r="I117" s="118"/>
    </row>
    <row r="118" spans="2:14">
      <c r="B118" s="177"/>
      <c r="C118" s="178"/>
      <c r="D118" s="178"/>
      <c r="E118" s="118"/>
      <c r="F118" s="118"/>
      <c r="G118" s="118"/>
      <c r="H118" s="118"/>
      <c r="I118" s="118"/>
    </row>
    <row r="119" spans="2:14">
      <c r="B119" s="177"/>
      <c r="C119" s="178"/>
      <c r="D119" s="178"/>
      <c r="E119" s="118"/>
      <c r="F119" s="118"/>
      <c r="G119" s="118"/>
      <c r="H119" s="118"/>
      <c r="I119" s="118"/>
    </row>
    <row r="120" spans="2:14">
      <c r="B120" s="177"/>
      <c r="C120" s="178"/>
      <c r="D120" s="178"/>
      <c r="E120" s="118"/>
      <c r="F120" s="118"/>
      <c r="G120" s="118"/>
      <c r="H120" s="118"/>
      <c r="I120" s="118"/>
    </row>
    <row r="121" spans="2:14">
      <c r="B121" s="177"/>
      <c r="C121" s="178"/>
      <c r="D121" s="178"/>
      <c r="E121" s="118"/>
      <c r="F121" s="118"/>
      <c r="G121" s="118"/>
      <c r="H121" s="118"/>
      <c r="I121" s="118"/>
    </row>
    <row r="122" spans="2:14">
      <c r="B122" s="177"/>
      <c r="C122" s="178"/>
      <c r="D122" s="178"/>
      <c r="E122" s="118"/>
      <c r="F122" s="118"/>
      <c r="G122" s="118"/>
      <c r="H122" s="118"/>
      <c r="I122" s="118"/>
    </row>
    <row r="123" spans="2:14">
      <c r="B123" s="177"/>
      <c r="C123" s="178"/>
      <c r="D123" s="178"/>
      <c r="E123" s="118"/>
      <c r="F123" s="118"/>
      <c r="G123" s="118"/>
      <c r="H123" s="118"/>
      <c r="I123" s="118"/>
    </row>
    <row r="124" spans="2:14">
      <c r="B124" s="177"/>
      <c r="C124" s="178"/>
      <c r="D124" s="178"/>
      <c r="E124" s="118"/>
      <c r="F124" s="118"/>
      <c r="G124" s="118"/>
      <c r="H124" s="118"/>
      <c r="I124" s="118"/>
    </row>
    <row r="125" spans="2:14">
      <c r="B125" s="177"/>
      <c r="C125" s="178"/>
      <c r="D125" s="178"/>
      <c r="E125" s="118"/>
      <c r="F125" s="118"/>
      <c r="G125" s="118"/>
      <c r="H125" s="118"/>
      <c r="I125" s="118"/>
    </row>
    <row r="126" spans="2:14">
      <c r="B126" s="177"/>
      <c r="C126" s="178"/>
      <c r="D126" s="178"/>
      <c r="E126" s="118"/>
      <c r="F126" s="118"/>
      <c r="G126" s="118"/>
      <c r="H126" s="118"/>
      <c r="I126" s="118"/>
    </row>
    <row r="127" spans="2:14">
      <c r="B127" s="177"/>
      <c r="C127" s="178"/>
      <c r="D127" s="178"/>
      <c r="E127" s="118"/>
      <c r="F127" s="118"/>
      <c r="G127" s="118"/>
      <c r="H127" s="118"/>
      <c r="I127" s="118"/>
    </row>
    <row r="128" spans="2:14">
      <c r="B128" s="177"/>
      <c r="C128" s="178"/>
      <c r="D128" s="178"/>
      <c r="E128" s="118"/>
      <c r="F128" s="118"/>
      <c r="G128" s="118"/>
      <c r="H128" s="118"/>
      <c r="I128" s="118"/>
    </row>
    <row r="129" spans="2:9">
      <c r="B129" s="177"/>
      <c r="C129" s="178"/>
      <c r="D129" s="178"/>
      <c r="E129" s="118"/>
      <c r="F129" s="118"/>
      <c r="G129" s="118"/>
      <c r="H129" s="118"/>
      <c r="I129" s="118"/>
    </row>
    <row r="130" spans="2:9">
      <c r="B130" s="177"/>
      <c r="C130" s="178"/>
      <c r="D130" s="178"/>
      <c r="E130" s="118"/>
      <c r="F130" s="118"/>
      <c r="G130" s="118"/>
      <c r="H130" s="118"/>
      <c r="I130" s="118"/>
    </row>
    <row r="131" spans="2:9">
      <c r="B131" s="177"/>
      <c r="C131" s="178"/>
      <c r="D131" s="178"/>
      <c r="E131" s="118"/>
      <c r="F131" s="118"/>
      <c r="G131" s="118"/>
      <c r="H131" s="118"/>
      <c r="I131" s="118"/>
    </row>
    <row r="132" spans="2:9">
      <c r="B132" s="177"/>
      <c r="C132" s="178"/>
      <c r="D132" s="178"/>
      <c r="E132" s="118"/>
      <c r="F132" s="118"/>
      <c r="G132" s="118"/>
      <c r="H132" s="118"/>
      <c r="I132" s="118"/>
    </row>
    <row r="133" spans="2:9">
      <c r="B133" s="177"/>
      <c r="C133" s="178"/>
      <c r="D133" s="178"/>
      <c r="E133" s="118"/>
      <c r="F133" s="118"/>
      <c r="G133" s="118"/>
      <c r="H133" s="118"/>
      <c r="I133" s="118"/>
    </row>
    <row r="134" spans="2:9">
      <c r="B134" s="177"/>
      <c r="C134" s="178"/>
      <c r="D134" s="178"/>
      <c r="E134" s="118"/>
      <c r="F134" s="118"/>
      <c r="G134" s="118"/>
      <c r="H134" s="118"/>
      <c r="I134" s="118"/>
    </row>
    <row r="135" spans="2:9">
      <c r="B135" s="177"/>
      <c r="C135" s="178"/>
      <c r="D135" s="178"/>
      <c r="E135" s="118"/>
      <c r="F135" s="118"/>
      <c r="G135" s="118"/>
      <c r="H135" s="118"/>
      <c r="I135" s="118"/>
    </row>
    <row r="136" spans="2:9">
      <c r="B136" s="177"/>
      <c r="C136" s="178"/>
      <c r="D136" s="178"/>
      <c r="E136" s="118"/>
      <c r="F136" s="118"/>
      <c r="G136" s="118"/>
      <c r="H136" s="118"/>
      <c r="I136" s="118"/>
    </row>
    <row r="137" spans="2:9">
      <c r="B137" s="177"/>
      <c r="C137" s="178"/>
      <c r="D137" s="178"/>
      <c r="E137" s="118"/>
      <c r="F137" s="118"/>
      <c r="G137" s="118"/>
      <c r="H137" s="118"/>
      <c r="I137" s="118"/>
    </row>
    <row r="138" spans="2:9">
      <c r="B138" s="177"/>
      <c r="C138" s="178"/>
      <c r="D138" s="178"/>
      <c r="E138" s="118"/>
      <c r="F138" s="118"/>
      <c r="G138" s="118"/>
      <c r="H138" s="118"/>
      <c r="I138" s="118"/>
    </row>
    <row r="139" spans="2:9">
      <c r="B139" s="177"/>
      <c r="C139" s="178"/>
      <c r="D139" s="178"/>
      <c r="E139" s="118"/>
      <c r="F139" s="118"/>
      <c r="G139" s="118"/>
      <c r="H139" s="118"/>
      <c r="I139" s="118"/>
    </row>
    <row r="140" spans="2:9">
      <c r="B140" s="177"/>
      <c r="C140" s="178"/>
      <c r="D140" s="178"/>
      <c r="E140" s="118"/>
      <c r="F140" s="118"/>
      <c r="G140" s="118"/>
      <c r="H140" s="118"/>
      <c r="I140" s="118"/>
    </row>
    <row r="141" spans="2:9">
      <c r="B141" s="177"/>
      <c r="C141" s="178"/>
      <c r="D141" s="178"/>
      <c r="E141" s="118"/>
      <c r="F141" s="118"/>
      <c r="G141" s="118"/>
      <c r="H141" s="118"/>
      <c r="I141" s="118"/>
    </row>
    <row r="142" spans="2:9">
      <c r="B142" s="177"/>
      <c r="C142" s="178"/>
      <c r="D142" s="178"/>
      <c r="E142" s="118"/>
      <c r="F142" s="118"/>
      <c r="G142" s="118"/>
      <c r="H142" s="118"/>
      <c r="I142" s="118"/>
    </row>
    <row r="143" spans="2:9">
      <c r="B143" s="177"/>
      <c r="C143" s="178"/>
      <c r="D143" s="178"/>
      <c r="E143" s="118"/>
      <c r="F143" s="118"/>
      <c r="G143" s="118"/>
      <c r="H143" s="118"/>
      <c r="I143" s="118"/>
    </row>
    <row r="144" spans="2:9">
      <c r="B144" s="177"/>
      <c r="C144" s="178"/>
      <c r="D144" s="178"/>
      <c r="E144" s="118"/>
      <c r="F144" s="118"/>
      <c r="G144" s="118"/>
      <c r="H144" s="118"/>
      <c r="I144" s="118"/>
    </row>
    <row r="145" spans="2:9">
      <c r="B145" s="177"/>
      <c r="C145" s="178"/>
      <c r="D145" s="178"/>
      <c r="E145" s="118"/>
      <c r="F145" s="118"/>
      <c r="G145" s="118"/>
      <c r="H145" s="118"/>
      <c r="I145" s="118"/>
    </row>
    <row r="146" spans="2:9">
      <c r="B146" s="177"/>
      <c r="C146" s="178"/>
      <c r="D146" s="178"/>
      <c r="E146" s="118"/>
      <c r="F146" s="118"/>
      <c r="G146" s="118"/>
      <c r="H146" s="118"/>
      <c r="I146" s="118"/>
    </row>
    <row r="147" spans="2:9">
      <c r="B147" s="177"/>
      <c r="C147" s="178"/>
      <c r="D147" s="178"/>
      <c r="E147" s="118"/>
      <c r="F147" s="118"/>
      <c r="G147" s="118"/>
      <c r="H147" s="118"/>
      <c r="I147" s="118"/>
    </row>
    <row r="148" spans="2:9">
      <c r="B148" s="177"/>
      <c r="C148" s="178"/>
      <c r="D148" s="178"/>
      <c r="E148" s="118"/>
      <c r="F148" s="118"/>
      <c r="G148" s="118"/>
      <c r="H148" s="118"/>
      <c r="I148" s="118"/>
    </row>
    <row r="149" spans="2:9">
      <c r="B149" s="177"/>
      <c r="C149" s="178"/>
      <c r="D149" s="178"/>
      <c r="E149" s="118"/>
      <c r="F149" s="118"/>
      <c r="G149" s="118"/>
      <c r="H149" s="118"/>
      <c r="I149" s="118"/>
    </row>
    <row r="150" spans="2:9">
      <c r="B150" s="177"/>
      <c r="C150" s="178"/>
      <c r="D150" s="178"/>
      <c r="E150" s="118"/>
      <c r="F150" s="118"/>
      <c r="G150" s="118"/>
      <c r="H150" s="118"/>
      <c r="I150" s="118"/>
    </row>
    <row r="151" spans="2:9">
      <c r="B151" s="177"/>
      <c r="C151" s="178"/>
      <c r="D151" s="178"/>
      <c r="E151" s="118"/>
      <c r="F151" s="118"/>
      <c r="G151" s="118"/>
      <c r="H151" s="118"/>
      <c r="I151" s="118"/>
    </row>
    <row r="152" spans="2:9">
      <c r="B152" s="177"/>
      <c r="C152" s="178"/>
      <c r="D152" s="178"/>
      <c r="E152" s="118"/>
      <c r="F152" s="118"/>
      <c r="G152" s="118"/>
      <c r="H152" s="118"/>
      <c r="I152" s="118"/>
    </row>
    <row r="153" spans="2:9">
      <c r="B153" s="177"/>
      <c r="C153" s="178"/>
      <c r="D153" s="178"/>
      <c r="E153" s="118"/>
      <c r="F153" s="118"/>
      <c r="G153" s="118"/>
      <c r="H153" s="118"/>
      <c r="I153" s="118"/>
    </row>
    <row r="154" spans="2:9">
      <c r="B154" s="177"/>
      <c r="C154" s="178"/>
      <c r="D154" s="178"/>
      <c r="E154" s="118"/>
      <c r="F154" s="118"/>
      <c r="G154" s="118"/>
      <c r="H154" s="118"/>
      <c r="I154" s="118"/>
    </row>
    <row r="155" spans="2:9">
      <c r="B155" s="177"/>
      <c r="C155" s="178"/>
      <c r="D155" s="178"/>
      <c r="E155" s="118"/>
      <c r="F155" s="118"/>
      <c r="G155" s="118"/>
      <c r="H155" s="118"/>
      <c r="I155" s="118"/>
    </row>
    <row r="156" spans="2:9">
      <c r="B156" s="177"/>
      <c r="C156" s="178"/>
      <c r="D156" s="178"/>
      <c r="E156" s="118"/>
      <c r="F156" s="118"/>
      <c r="G156" s="118"/>
      <c r="H156" s="118"/>
      <c r="I156" s="118"/>
    </row>
    <row r="157" spans="2:9">
      <c r="B157" s="177"/>
      <c r="C157" s="178"/>
      <c r="D157" s="178"/>
      <c r="E157" s="118"/>
      <c r="F157" s="118"/>
      <c r="G157" s="118"/>
      <c r="H157" s="118"/>
      <c r="I157" s="118"/>
    </row>
    <row r="158" spans="2:9">
      <c r="B158" s="177"/>
      <c r="C158" s="178"/>
      <c r="D158" s="178"/>
      <c r="E158" s="118"/>
      <c r="F158" s="118"/>
      <c r="G158" s="118"/>
      <c r="H158" s="118"/>
      <c r="I158" s="118"/>
    </row>
    <row r="159" spans="2:9">
      <c r="B159" s="177"/>
      <c r="C159" s="178"/>
      <c r="D159" s="178"/>
      <c r="E159" s="118"/>
      <c r="F159" s="118"/>
      <c r="G159" s="118"/>
      <c r="H159" s="118"/>
      <c r="I159" s="118"/>
    </row>
    <row r="160" spans="2:9">
      <c r="B160" s="177"/>
      <c r="C160" s="178"/>
      <c r="D160" s="178"/>
      <c r="E160" s="118"/>
      <c r="F160" s="118"/>
      <c r="G160" s="118"/>
      <c r="H160" s="118"/>
      <c r="I160" s="118"/>
    </row>
    <row r="161" spans="2:9">
      <c r="B161" s="177"/>
      <c r="C161" s="178"/>
      <c r="D161" s="178"/>
      <c r="E161" s="118"/>
      <c r="F161" s="118"/>
      <c r="G161" s="118"/>
      <c r="H161" s="118"/>
      <c r="I161" s="118"/>
    </row>
    <row r="162" spans="2:9">
      <c r="B162" s="177"/>
      <c r="C162" s="178"/>
      <c r="D162" s="178"/>
      <c r="E162" s="118"/>
      <c r="F162" s="118"/>
      <c r="G162" s="118"/>
      <c r="H162" s="118"/>
      <c r="I162" s="118"/>
    </row>
    <row r="163" spans="2:9">
      <c r="B163" s="177"/>
      <c r="C163" s="178"/>
      <c r="D163" s="178"/>
      <c r="E163" s="118"/>
      <c r="F163" s="118"/>
      <c r="G163" s="118"/>
      <c r="H163" s="118"/>
      <c r="I163" s="118"/>
    </row>
    <row r="164" spans="2:9">
      <c r="B164" s="177"/>
    </row>
    <row r="165" spans="2:9">
      <c r="B165" s="177"/>
    </row>
    <row r="166" spans="2:9">
      <c r="B166" s="177"/>
    </row>
    <row r="167" spans="2:9">
      <c r="B167" s="177"/>
    </row>
    <row r="168" spans="2:9">
      <c r="B168" s="177"/>
    </row>
    <row r="169" spans="2:9">
      <c r="B169" s="177"/>
    </row>
    <row r="170" spans="2:9">
      <c r="B170" s="177"/>
    </row>
    <row r="171" spans="2:9">
      <c r="B171" s="177"/>
    </row>
    <row r="172" spans="2:9">
      <c r="B172" s="177"/>
    </row>
    <row r="173" spans="2:9">
      <c r="B173" s="177"/>
    </row>
    <row r="174" spans="2:9">
      <c r="B174" s="177"/>
    </row>
    <row r="178" ht="14.25" spans="2:17"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</row>
  </sheetData>
  <pageMargins left="0.7" right="0.7" top="0.75" bottom="0.75" header="0.3" footer="0.3"/>
  <headerFooter/>
  <ignoredErrors>
    <ignoredError sqref="N97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2"/>
  <sheetViews>
    <sheetView workbookViewId="0">
      <selection activeCell="D134" sqref="D134"/>
    </sheetView>
  </sheetViews>
  <sheetFormatPr defaultColWidth="9" defaultRowHeight="13.5"/>
  <cols>
    <col min="1" max="1" width="10.625" customWidth="1"/>
    <col min="2" max="2" width="12.5" customWidth="1"/>
    <col min="3" max="3" width="14.375" customWidth="1"/>
    <col min="4" max="6" width="12.5" customWidth="1"/>
    <col min="7" max="7" width="16.625" customWidth="1"/>
    <col min="8" max="18" width="10.625" customWidth="1"/>
    <col min="19" max="19" width="13.75" customWidth="1"/>
    <col min="20" max="20" width="23.5" customWidth="1"/>
    <col min="21" max="21" width="12.125" customWidth="1"/>
    <col min="22" max="22" width="15" customWidth="1"/>
    <col min="23" max="24" width="17.125" customWidth="1"/>
    <col min="25" max="26" width="10.625" customWidth="1"/>
  </cols>
  <sheetData>
    <row r="1" spans="1:27">
      <c r="A1" t="s">
        <v>147</v>
      </c>
      <c r="D1" t="s">
        <v>19</v>
      </c>
      <c r="R1" t="s">
        <v>148</v>
      </c>
      <c r="S1" t="s">
        <v>29</v>
      </c>
      <c r="T1" t="s">
        <v>149</v>
      </c>
      <c r="U1" t="s">
        <v>29</v>
      </c>
      <c r="V1" t="s">
        <v>150</v>
      </c>
    </row>
    <row r="2" spans="1:27">
      <c r="B2">
        <v>2018</v>
      </c>
      <c r="C2">
        <v>2019</v>
      </c>
      <c r="D2">
        <v>2020</v>
      </c>
      <c r="E2">
        <v>2021</v>
      </c>
      <c r="F2">
        <v>2022</v>
      </c>
      <c r="G2">
        <v>2023</v>
      </c>
      <c r="H2">
        <v>2024</v>
      </c>
      <c r="I2" s="119">
        <v>2025</v>
      </c>
      <c r="Q2">
        <v>2014</v>
      </c>
      <c r="R2">
        <v>2349.19</v>
      </c>
      <c r="T2" s="120">
        <v>7.4763</v>
      </c>
      <c r="U2" s="121">
        <v>3.16666666666667</v>
      </c>
      <c r="V2" s="121">
        <v>0.00318250120254215</v>
      </c>
    </row>
    <row r="3" spans="1:27">
      <c r="A3" t="s">
        <v>51</v>
      </c>
      <c r="B3" s="22">
        <v>3.847</v>
      </c>
      <c r="C3" s="22">
        <v>9.5696</v>
      </c>
      <c r="D3" s="22">
        <v>4.6373</v>
      </c>
      <c r="E3" s="22">
        <v>17.9176</v>
      </c>
      <c r="F3" s="22">
        <v>43.14</v>
      </c>
      <c r="G3" s="22">
        <v>40.8</v>
      </c>
      <c r="H3" s="22">
        <v>72.9</v>
      </c>
      <c r="I3" s="22">
        <v>94.4</v>
      </c>
      <c r="Q3">
        <v>2015</v>
      </c>
      <c r="R3">
        <v>2459.76</v>
      </c>
      <c r="S3" s="121">
        <f>R3/R2-1</f>
        <v>0.0470672870223354</v>
      </c>
      <c r="T3" s="120">
        <v>33.1092</v>
      </c>
      <c r="U3" s="121">
        <v>3.41333333333333</v>
      </c>
      <c r="V3" s="121">
        <v>0.0134603375939116</v>
      </c>
    </row>
    <row r="4" spans="1:27">
      <c r="A4" t="s">
        <v>52</v>
      </c>
      <c r="B4" s="22">
        <v>3.442</v>
      </c>
      <c r="C4" s="22">
        <v>5.2867</v>
      </c>
      <c r="D4" s="22">
        <v>1.2908</v>
      </c>
      <c r="E4" s="22">
        <v>10.9634</v>
      </c>
      <c r="F4" s="22">
        <v>33.37</v>
      </c>
      <c r="G4" s="22">
        <v>52.5</v>
      </c>
      <c r="H4" s="22">
        <v>47.7</v>
      </c>
      <c r="I4" s="22">
        <v>89.2</v>
      </c>
      <c r="Q4">
        <v>2016</v>
      </c>
      <c r="R4">
        <v>2802.82</v>
      </c>
      <c r="S4" s="121">
        <f t="shared" ref="S4:S12" si="0">R4/R3-1</f>
        <v>0.139468891273945</v>
      </c>
      <c r="T4" s="120">
        <v>50.7</v>
      </c>
      <c r="U4" s="121">
        <v>0.531722054380665</v>
      </c>
      <c r="V4" s="121">
        <v>0.0180889247258119</v>
      </c>
    </row>
    <row r="5" spans="1:27">
      <c r="A5" t="s">
        <v>53</v>
      </c>
      <c r="B5" s="22">
        <v>6.8</v>
      </c>
      <c r="C5" s="22">
        <v>12.5631</v>
      </c>
      <c r="D5" s="22">
        <v>5.2873</v>
      </c>
      <c r="E5" s="22">
        <v>22.5801</v>
      </c>
      <c r="F5" s="22">
        <v>48.4</v>
      </c>
      <c r="G5" s="22">
        <v>65.3</v>
      </c>
      <c r="H5" s="22">
        <v>88.3</v>
      </c>
      <c r="I5">
        <v>123.7</v>
      </c>
      <c r="Q5">
        <v>2017</v>
      </c>
      <c r="R5">
        <v>2887.89</v>
      </c>
      <c r="S5" s="121">
        <f t="shared" si="0"/>
        <v>0.0303515744856964</v>
      </c>
      <c r="T5" s="120">
        <v>77.7</v>
      </c>
      <c r="U5" s="121">
        <v>0.532544378698225</v>
      </c>
      <c r="V5" s="121">
        <v>0.0269054569252984</v>
      </c>
    </row>
    <row r="6" spans="1:27">
      <c r="A6" t="s">
        <v>54</v>
      </c>
      <c r="B6" s="22">
        <v>8.2</v>
      </c>
      <c r="C6" s="22">
        <v>9.6771</v>
      </c>
      <c r="D6" s="22">
        <v>7.195</v>
      </c>
      <c r="E6" s="22">
        <v>20.6206</v>
      </c>
      <c r="F6" s="22">
        <v>29.89</v>
      </c>
      <c r="G6" s="22">
        <v>63.6</v>
      </c>
      <c r="H6" s="22">
        <v>85</v>
      </c>
      <c r="I6">
        <v>122.6</v>
      </c>
      <c r="Q6">
        <v>2018</v>
      </c>
      <c r="R6">
        <v>2808.06</v>
      </c>
      <c r="S6" s="121">
        <f t="shared" si="0"/>
        <v>-0.0276430196441</v>
      </c>
      <c r="T6" s="120">
        <v>125.6195</v>
      </c>
      <c r="U6" s="121">
        <v>0.616473616473616</v>
      </c>
      <c r="V6" s="121">
        <v>0.0447353332905992</v>
      </c>
    </row>
    <row r="7" spans="1:27">
      <c r="A7" t="s">
        <v>55</v>
      </c>
      <c r="B7" s="22">
        <v>10.2</v>
      </c>
      <c r="C7" s="22">
        <v>10.4422</v>
      </c>
      <c r="D7" s="22">
        <v>8.1665</v>
      </c>
      <c r="E7" s="22">
        <v>21.7386</v>
      </c>
      <c r="F7" s="22">
        <v>44.7174</v>
      </c>
      <c r="G7" s="22">
        <v>71.7</v>
      </c>
      <c r="H7" s="22">
        <v>95.5</v>
      </c>
      <c r="I7" s="118"/>
      <c r="Q7">
        <v>2019</v>
      </c>
      <c r="R7">
        <v>2576.9</v>
      </c>
      <c r="S7" s="121">
        <f t="shared" si="0"/>
        <v>-0.0823201783437675</v>
      </c>
      <c r="T7" s="120">
        <v>120.5961</v>
      </c>
      <c r="U7" s="121">
        <v>-0.0398089171974522</v>
      </c>
      <c r="V7" s="121">
        <v>0.0467989056618417</v>
      </c>
    </row>
    <row r="8" spans="1:27">
      <c r="A8" t="s">
        <v>56</v>
      </c>
      <c r="B8" s="22">
        <v>8.4</v>
      </c>
      <c r="C8" s="22">
        <v>15.2062</v>
      </c>
      <c r="D8" s="22">
        <v>10.3565</v>
      </c>
      <c r="E8" s="122">
        <v>25.5747</v>
      </c>
      <c r="F8" s="22">
        <v>59.6439</v>
      </c>
      <c r="G8" s="22">
        <v>80.6</v>
      </c>
      <c r="H8" s="22">
        <v>104.9</v>
      </c>
      <c r="I8" s="118"/>
      <c r="Q8">
        <v>2020</v>
      </c>
      <c r="R8">
        <v>2531.1</v>
      </c>
      <c r="S8" s="121">
        <f t="shared" si="0"/>
        <v>-0.0177732934921806</v>
      </c>
      <c r="T8" s="120">
        <v>136.7315</v>
      </c>
      <c r="U8" s="121">
        <v>0.133499170812604</v>
      </c>
      <c r="V8" s="121">
        <v>0.0540205839358382</v>
      </c>
    </row>
    <row r="9" spans="1:27">
      <c r="A9" t="s">
        <v>57</v>
      </c>
      <c r="B9" s="22">
        <v>8.4</v>
      </c>
      <c r="C9" s="22">
        <v>7.9784</v>
      </c>
      <c r="D9" s="22">
        <v>9.7854</v>
      </c>
      <c r="E9" s="22">
        <v>27.0576</v>
      </c>
      <c r="F9" s="22">
        <v>59.2887</v>
      </c>
      <c r="G9" s="22">
        <v>78</v>
      </c>
      <c r="H9" s="22">
        <v>99.1</v>
      </c>
      <c r="I9" s="118"/>
      <c r="Q9">
        <v>2021</v>
      </c>
      <c r="R9">
        <v>2627.5</v>
      </c>
      <c r="S9" s="121">
        <f t="shared" si="0"/>
        <v>0.0380862075777331</v>
      </c>
      <c r="T9" s="120">
        <v>352.0545</v>
      </c>
      <c r="U9" s="121">
        <v>1.575</v>
      </c>
      <c r="V9" s="121">
        <v>0.134005708848716</v>
      </c>
    </row>
    <row r="10" spans="1:27">
      <c r="A10" t="s">
        <v>58</v>
      </c>
      <c r="B10" s="22">
        <v>10.1</v>
      </c>
      <c r="C10" s="22">
        <v>8.5255</v>
      </c>
      <c r="D10" s="22">
        <v>10.9318</v>
      </c>
      <c r="E10" s="22">
        <v>32.0974</v>
      </c>
      <c r="F10" s="22">
        <v>66.6191</v>
      </c>
      <c r="G10" s="22">
        <v>84.6</v>
      </c>
      <c r="H10" s="22">
        <v>110</v>
      </c>
      <c r="I10" s="118"/>
      <c r="Q10">
        <v>2022</v>
      </c>
      <c r="R10">
        <v>2686.4</v>
      </c>
      <c r="S10" s="121">
        <f t="shared" si="0"/>
        <v>0.0224167459562321</v>
      </c>
      <c r="T10" s="120">
        <v>688.6647</v>
      </c>
      <c r="U10" s="121">
        <f>T10/T9-1</f>
        <v>0.956130939953899</v>
      </c>
      <c r="V10" s="121">
        <f>T10/R10</f>
        <v>0.256352255807028</v>
      </c>
    </row>
    <row r="11" spans="1:27">
      <c r="A11" t="s">
        <v>59</v>
      </c>
      <c r="B11" s="22">
        <v>12.1224</v>
      </c>
      <c r="C11" s="22">
        <v>7.9755</v>
      </c>
      <c r="D11" s="22">
        <v>13.7941</v>
      </c>
      <c r="E11" s="22">
        <v>35.7474</v>
      </c>
      <c r="F11" s="22">
        <v>70.7529</v>
      </c>
      <c r="G11" s="22">
        <v>90.4</v>
      </c>
      <c r="H11" s="22">
        <v>128.7</v>
      </c>
      <c r="I11" s="118"/>
      <c r="Q11">
        <v>2023</v>
      </c>
      <c r="R11">
        <v>3009</v>
      </c>
      <c r="S11" s="121">
        <f t="shared" si="0"/>
        <v>0.120086360929125</v>
      </c>
      <c r="T11">
        <v>949.5</v>
      </c>
      <c r="U11" s="121">
        <f>T11/T10-1</f>
        <v>0.378755147461457</v>
      </c>
      <c r="V11" s="121">
        <f>T11/R11</f>
        <v>0.31555333998006</v>
      </c>
    </row>
    <row r="12" spans="1:27">
      <c r="A12" t="s">
        <v>60</v>
      </c>
      <c r="B12" s="22">
        <v>13.7863</v>
      </c>
      <c r="C12" s="22">
        <v>7.5058</v>
      </c>
      <c r="D12" s="22">
        <v>16.0185</v>
      </c>
      <c r="E12" s="22">
        <v>38.3418</v>
      </c>
      <c r="F12" s="22">
        <v>71.3601</v>
      </c>
      <c r="G12" s="123">
        <v>95.6</v>
      </c>
      <c r="H12" s="22">
        <v>143</v>
      </c>
      <c r="I12" s="118"/>
      <c r="Q12">
        <v>2024</v>
      </c>
      <c r="R12">
        <v>3143.6</v>
      </c>
      <c r="S12" s="121">
        <f t="shared" si="0"/>
        <v>0.04473246925889</v>
      </c>
      <c r="T12">
        <v>1286.6</v>
      </c>
      <c r="U12" s="121">
        <f>T12/T11-1</f>
        <v>0.355028962611901</v>
      </c>
      <c r="V12" s="121">
        <f>T12/R12</f>
        <v>0.409275989311617</v>
      </c>
    </row>
    <row r="13" spans="1:27">
      <c r="A13" t="s">
        <v>61</v>
      </c>
      <c r="B13" s="22">
        <v>16.9343</v>
      </c>
      <c r="C13" s="22">
        <v>9.5375</v>
      </c>
      <c r="D13" s="22">
        <v>20.0143</v>
      </c>
      <c r="E13" s="22">
        <v>44.9858</v>
      </c>
      <c r="F13" s="22">
        <v>78.6285</v>
      </c>
      <c r="G13" s="122">
        <v>102.6</v>
      </c>
      <c r="H13" s="22">
        <v>151.2</v>
      </c>
      <c r="I13" s="118"/>
    </row>
    <row r="14" spans="1:27">
      <c r="A14" t="s">
        <v>62</v>
      </c>
      <c r="B14" s="22">
        <v>22.5</v>
      </c>
      <c r="C14" s="22">
        <v>16.3448</v>
      </c>
      <c r="D14" s="22">
        <v>24.8171</v>
      </c>
      <c r="E14" s="22">
        <v>53.1</v>
      </c>
      <c r="F14" s="22">
        <v>81.3842</v>
      </c>
      <c r="G14" s="123">
        <v>119.1</v>
      </c>
      <c r="H14" s="22">
        <v>159.6</v>
      </c>
      <c r="I14" s="118"/>
    </row>
    <row r="15" spans="1:27">
      <c r="B15">
        <f t="shared" ref="B15:H15" si="1">SUM(B3:B14)</f>
        <v>124.732</v>
      </c>
      <c r="C15">
        <f t="shared" si="1"/>
        <v>120.6124</v>
      </c>
      <c r="D15" s="110">
        <f t="shared" si="1"/>
        <v>132.2946</v>
      </c>
      <c r="E15" s="110">
        <f t="shared" si="1"/>
        <v>350.725</v>
      </c>
      <c r="F15" s="110">
        <f t="shared" si="1"/>
        <v>687.1948</v>
      </c>
      <c r="G15" s="110">
        <f t="shared" si="1"/>
        <v>944.8</v>
      </c>
      <c r="H15" s="110">
        <f t="shared" si="1"/>
        <v>1285.9</v>
      </c>
      <c r="I15" s="118"/>
      <c r="Y15" s="110"/>
      <c r="Z15" s="110"/>
      <c r="AA15" s="110"/>
    </row>
    <row r="16" spans="1:27">
      <c r="D16">
        <v>1367315</v>
      </c>
      <c r="E16" s="22">
        <v>352.1</v>
      </c>
      <c r="F16" s="22"/>
      <c r="G16" s="123"/>
      <c r="H16" s="124">
        <v>1286.6</v>
      </c>
      <c r="I16" s="118"/>
    </row>
    <row r="17" spans="1:9">
      <c r="E17" s="22"/>
      <c r="F17" s="22"/>
      <c r="G17" s="123"/>
      <c r="H17" s="124"/>
      <c r="I17" s="118"/>
    </row>
    <row r="18" spans="1:9">
      <c r="E18" s="22"/>
      <c r="F18" s="22"/>
      <c r="G18" s="123"/>
      <c r="H18" s="124"/>
      <c r="I18" s="118"/>
    </row>
    <row r="19" spans="1:9">
      <c r="A19" t="s">
        <v>151</v>
      </c>
      <c r="D19" t="s">
        <v>19</v>
      </c>
      <c r="G19" s="123"/>
      <c r="H19" s="124"/>
      <c r="I19" s="118"/>
    </row>
    <row r="20" spans="1:9">
      <c r="B20">
        <v>2018</v>
      </c>
      <c r="C20">
        <v>2019</v>
      </c>
      <c r="D20">
        <v>2020</v>
      </c>
      <c r="E20">
        <v>2021</v>
      </c>
      <c r="F20">
        <v>2022</v>
      </c>
      <c r="G20" s="119">
        <v>2023</v>
      </c>
      <c r="H20" s="119">
        <v>2024</v>
      </c>
      <c r="I20" s="119">
        <v>2025</v>
      </c>
    </row>
    <row r="21" spans="1:9">
      <c r="A21" t="s">
        <v>51</v>
      </c>
      <c r="B21" s="22"/>
      <c r="C21" s="22"/>
      <c r="D21" s="22"/>
      <c r="E21" s="22"/>
      <c r="F21" s="22">
        <v>5.6</v>
      </c>
      <c r="G21" s="122">
        <v>8.3</v>
      </c>
      <c r="H21" s="22">
        <v>10.1</v>
      </c>
      <c r="I21" s="22">
        <v>15</v>
      </c>
    </row>
    <row r="22" spans="1:9">
      <c r="A22" t="s">
        <v>52</v>
      </c>
      <c r="B22" s="22"/>
      <c r="C22" s="22"/>
      <c r="D22" s="22"/>
      <c r="E22" s="22"/>
      <c r="F22" s="22">
        <v>4.8</v>
      </c>
      <c r="G22" s="122">
        <v>8.7</v>
      </c>
      <c r="H22" s="22">
        <v>8.2</v>
      </c>
      <c r="I22" s="22">
        <v>13.1</v>
      </c>
    </row>
    <row r="23" spans="1:9">
      <c r="A23" t="s">
        <v>53</v>
      </c>
      <c r="B23" s="22"/>
      <c r="C23" s="22"/>
      <c r="D23" s="22"/>
      <c r="E23" s="22">
        <v>0.9</v>
      </c>
      <c r="F23" s="22">
        <v>1.6</v>
      </c>
      <c r="G23" s="122">
        <v>7.8</v>
      </c>
      <c r="H23" s="22">
        <v>12.4</v>
      </c>
      <c r="I23">
        <v>15.8</v>
      </c>
    </row>
    <row r="24" spans="1:9">
      <c r="A24" t="s">
        <v>54</v>
      </c>
      <c r="B24" s="22"/>
      <c r="C24" s="22"/>
      <c r="D24" s="22"/>
      <c r="E24" s="22">
        <v>2.3</v>
      </c>
      <c r="F24" s="22">
        <v>1.1</v>
      </c>
      <c r="G24" s="122">
        <v>10</v>
      </c>
      <c r="H24" s="22">
        <v>11.4</v>
      </c>
      <c r="I24" s="18">
        <v>20</v>
      </c>
    </row>
    <row r="25" spans="1:9">
      <c r="A25" t="s">
        <v>55</v>
      </c>
      <c r="B25" s="22"/>
      <c r="C25" s="22"/>
      <c r="D25" s="22"/>
      <c r="E25" s="22">
        <v>1.9</v>
      </c>
      <c r="F25" s="22">
        <v>4.3</v>
      </c>
      <c r="G25" s="122">
        <v>10.8</v>
      </c>
      <c r="H25" s="22">
        <v>9.9</v>
      </c>
      <c r="I25" s="118"/>
    </row>
    <row r="26" spans="1:9">
      <c r="A26" t="s">
        <v>56</v>
      </c>
      <c r="B26" s="22"/>
      <c r="C26" s="22"/>
      <c r="D26" s="22"/>
      <c r="E26" s="122">
        <v>1.5</v>
      </c>
      <c r="F26" s="122">
        <v>2.8</v>
      </c>
      <c r="G26" s="22">
        <v>7.8</v>
      </c>
      <c r="H26" s="22">
        <v>8.6</v>
      </c>
      <c r="I26" s="118"/>
    </row>
    <row r="27" spans="1:9">
      <c r="A27" t="s">
        <v>57</v>
      </c>
      <c r="B27" s="22"/>
      <c r="C27" s="22"/>
      <c r="D27" s="22"/>
      <c r="E27" s="22">
        <v>3.9</v>
      </c>
      <c r="F27" s="22">
        <v>5.4</v>
      </c>
      <c r="G27" s="123">
        <v>10.1</v>
      </c>
      <c r="H27" s="22">
        <v>10.3</v>
      </c>
      <c r="I27" s="118"/>
    </row>
    <row r="28" spans="1:9">
      <c r="A28" t="s">
        <v>58</v>
      </c>
      <c r="B28" s="22"/>
      <c r="C28" s="22"/>
      <c r="D28" s="22"/>
      <c r="E28" s="22">
        <v>4.6</v>
      </c>
      <c r="F28" s="22">
        <v>8.3</v>
      </c>
      <c r="G28" s="123">
        <v>9</v>
      </c>
      <c r="H28" s="22">
        <v>11</v>
      </c>
      <c r="I28" s="118"/>
    </row>
    <row r="29" spans="1:9">
      <c r="A29" t="s">
        <v>59</v>
      </c>
      <c r="B29" s="22"/>
      <c r="C29" s="22"/>
      <c r="D29" s="22"/>
      <c r="E29" s="22">
        <v>2.2</v>
      </c>
      <c r="F29" s="22">
        <v>5</v>
      </c>
      <c r="G29" s="123">
        <v>9.6</v>
      </c>
      <c r="H29" s="22">
        <v>11.1</v>
      </c>
      <c r="I29" s="118"/>
    </row>
    <row r="30" spans="1:9">
      <c r="A30" t="s">
        <v>60</v>
      </c>
      <c r="B30" s="22"/>
      <c r="C30" s="22"/>
      <c r="D30" s="22"/>
      <c r="E30" s="22">
        <v>6</v>
      </c>
      <c r="F30" s="22">
        <v>10.9</v>
      </c>
      <c r="G30" s="123">
        <v>12.4</v>
      </c>
      <c r="H30" s="22">
        <v>12.8</v>
      </c>
      <c r="I30" s="118"/>
    </row>
    <row r="31" spans="1:9">
      <c r="A31" t="s">
        <v>61</v>
      </c>
      <c r="B31" s="22"/>
      <c r="C31" s="22"/>
      <c r="D31" s="22"/>
      <c r="E31" s="22">
        <v>3.7</v>
      </c>
      <c r="F31" s="22">
        <v>9.5</v>
      </c>
      <c r="G31" s="123">
        <v>9.7</v>
      </c>
      <c r="H31" s="22">
        <v>8.3</v>
      </c>
      <c r="I31" s="118"/>
    </row>
    <row r="32" spans="1:9">
      <c r="A32" t="s">
        <v>62</v>
      </c>
      <c r="B32" s="22"/>
      <c r="C32" s="22"/>
      <c r="D32" s="22"/>
      <c r="E32" s="22">
        <v>1.8</v>
      </c>
      <c r="F32" s="22">
        <v>8.2</v>
      </c>
      <c r="G32" s="123">
        <v>11.1</v>
      </c>
      <c r="H32" s="22">
        <v>13.4</v>
      </c>
      <c r="I32" s="118"/>
    </row>
    <row r="33" spans="1:9">
      <c r="A33" t="s">
        <v>152</v>
      </c>
      <c r="E33" s="22"/>
      <c r="F33" s="22"/>
      <c r="G33" s="125">
        <f>SUM(G21:G32)</f>
        <v>115.3</v>
      </c>
      <c r="H33" s="125">
        <f>SUM(H21:H32)</f>
        <v>127.5</v>
      </c>
      <c r="I33" s="118"/>
    </row>
    <row r="35" spans="1:9">
      <c r="A35" t="s">
        <v>153</v>
      </c>
      <c r="D35" t="s">
        <v>154</v>
      </c>
    </row>
    <row r="36" spans="1:9">
      <c r="B36">
        <v>2018</v>
      </c>
      <c r="C36">
        <v>2019</v>
      </c>
      <c r="D36">
        <v>2020</v>
      </c>
      <c r="E36">
        <v>2021</v>
      </c>
      <c r="F36">
        <v>2022</v>
      </c>
      <c r="G36">
        <v>2023</v>
      </c>
    </row>
    <row r="37" spans="1:9">
      <c r="A37" t="s">
        <v>51</v>
      </c>
      <c r="B37" s="22">
        <v>2.58</v>
      </c>
      <c r="C37" s="22">
        <v>3.34</v>
      </c>
      <c r="D37" s="22">
        <v>7.47</v>
      </c>
      <c r="E37" s="22">
        <v>11.26</v>
      </c>
      <c r="F37" s="22">
        <v>15.6236</v>
      </c>
    </row>
    <row r="38" spans="1:9">
      <c r="A38" t="s">
        <v>52</v>
      </c>
      <c r="B38" s="22">
        <v>2.24</v>
      </c>
      <c r="C38" s="22">
        <v>3.27</v>
      </c>
      <c r="D38" s="22">
        <v>6.95</v>
      </c>
      <c r="E38" s="22">
        <v>11.58</v>
      </c>
      <c r="F38" s="22">
        <v>15.965</v>
      </c>
    </row>
    <row r="39" spans="1:9">
      <c r="A39" t="s">
        <v>53</v>
      </c>
      <c r="B39" s="22">
        <v>4.09</v>
      </c>
      <c r="C39" s="22">
        <v>5.97</v>
      </c>
      <c r="D39" s="22">
        <v>8.43</v>
      </c>
      <c r="E39" s="22">
        <v>22.8</v>
      </c>
      <c r="F39" s="22">
        <v>25.0601</v>
      </c>
    </row>
    <row r="40" spans="1:9">
      <c r="A40" t="s">
        <v>54</v>
      </c>
      <c r="B40" s="22">
        <v>2.8</v>
      </c>
      <c r="C40" s="22">
        <v>3.71</v>
      </c>
      <c r="D40" s="22">
        <v>3.15</v>
      </c>
      <c r="E40" s="22">
        <v>15.99</v>
      </c>
      <c r="F40" s="22">
        <v>15.86</v>
      </c>
    </row>
    <row r="41" spans="1:9">
      <c r="A41" t="s">
        <v>55</v>
      </c>
      <c r="B41" s="22">
        <v>2.88</v>
      </c>
      <c r="C41" s="22">
        <v>3.74</v>
      </c>
      <c r="D41" s="22">
        <v>4.68</v>
      </c>
      <c r="E41" s="22">
        <v>17.83</v>
      </c>
      <c r="F41" s="22">
        <v>18.3914</v>
      </c>
    </row>
    <row r="42" spans="1:9">
      <c r="A42" t="s">
        <v>56</v>
      </c>
      <c r="B42" s="22">
        <v>3.81</v>
      </c>
      <c r="C42" s="22">
        <v>4.74</v>
      </c>
      <c r="D42" s="22">
        <v>9.29</v>
      </c>
      <c r="E42" s="22">
        <v>23.7944</v>
      </c>
      <c r="F42" s="22">
        <v>21.9889</v>
      </c>
    </row>
    <row r="43" spans="1:9">
      <c r="A43" t="s">
        <v>57</v>
      </c>
      <c r="B43" s="22">
        <v>2.72</v>
      </c>
      <c r="C43" s="22">
        <v>3.58</v>
      </c>
      <c r="D43" s="22">
        <v>11.37</v>
      </c>
      <c r="E43" s="22">
        <v>16.0646</v>
      </c>
      <c r="F43" s="22">
        <v>15.7694</v>
      </c>
    </row>
    <row r="44" spans="1:9">
      <c r="A44" t="s">
        <v>58</v>
      </c>
      <c r="B44" s="22">
        <v>2.99</v>
      </c>
      <c r="C44" s="22">
        <v>3.53</v>
      </c>
      <c r="D44" s="22">
        <v>9.75</v>
      </c>
      <c r="E44" s="22">
        <v>15.57</v>
      </c>
      <c r="F44" s="22">
        <v>15.972</v>
      </c>
    </row>
    <row r="45" spans="1:9">
      <c r="A45" t="s">
        <v>59</v>
      </c>
      <c r="B45" s="22">
        <v>3.27</v>
      </c>
      <c r="C45" s="22">
        <v>5.87</v>
      </c>
      <c r="D45" s="22">
        <v>16.01</v>
      </c>
      <c r="E45" s="22">
        <v>22.72</v>
      </c>
      <c r="F45" s="22">
        <v>24.9721</v>
      </c>
    </row>
    <row r="46" spans="1:9">
      <c r="A46" t="s">
        <v>60</v>
      </c>
      <c r="B46" s="22">
        <v>3.23</v>
      </c>
      <c r="C46" s="22">
        <v>4.82</v>
      </c>
      <c r="D46" s="22">
        <v>14.66</v>
      </c>
      <c r="E46" s="22">
        <v>18.4797</v>
      </c>
      <c r="F46" s="22">
        <v>21.0966</v>
      </c>
    </row>
    <row r="47" spans="1:9">
      <c r="A47" t="s">
        <v>61</v>
      </c>
      <c r="B47" s="22">
        <v>3.76</v>
      </c>
      <c r="C47" s="22">
        <v>5.5</v>
      </c>
      <c r="D47" s="22">
        <v>16.63</v>
      </c>
      <c r="E47" s="22">
        <v>22.1828</v>
      </c>
      <c r="F47" s="22">
        <v>28.1505</v>
      </c>
    </row>
    <row r="48" spans="1:9">
      <c r="A48" t="s">
        <v>62</v>
      </c>
      <c r="B48" s="22">
        <v>4.06</v>
      </c>
      <c r="C48" s="22">
        <v>7.72</v>
      </c>
      <c r="D48" s="22">
        <v>28.12</v>
      </c>
      <c r="E48" s="22">
        <v>28.02</v>
      </c>
      <c r="F48" s="22">
        <v>41.3483</v>
      </c>
    </row>
    <row r="49" spans="1:24">
      <c r="B49">
        <f>SUM(B37:B48)</f>
        <v>38.43</v>
      </c>
      <c r="C49">
        <f>SUM(C37:C48)</f>
        <v>55.79</v>
      </c>
      <c r="D49">
        <v>1367138</v>
      </c>
      <c r="E49">
        <v>2272666</v>
      </c>
      <c r="F49" s="22">
        <f>SUM(F37:F48)</f>
        <v>260.1979</v>
      </c>
    </row>
    <row r="52" spans="1:24">
      <c r="B52" s="126"/>
      <c r="C52" s="126"/>
      <c r="D52" s="126"/>
      <c r="E52" s="127"/>
      <c r="F52" s="127"/>
      <c r="G52" s="128"/>
      <c r="H52" s="126"/>
      <c r="I52" s="126"/>
      <c r="J52" s="126"/>
      <c r="K52" s="127"/>
      <c r="L52" s="127"/>
      <c r="M52" s="129"/>
      <c r="N52" s="128"/>
      <c r="O52" s="129"/>
      <c r="P52" s="118"/>
      <c r="Q52" s="118"/>
      <c r="R52" s="118"/>
      <c r="S52" s="130"/>
      <c r="T52" s="131"/>
      <c r="U52" s="132"/>
      <c r="V52" s="133"/>
      <c r="W52" s="133"/>
      <c r="X52" s="133"/>
    </row>
    <row r="53" spans="1:24">
      <c r="B53" s="126"/>
      <c r="C53" s="126"/>
      <c r="D53" s="126"/>
      <c r="E53" s="127"/>
      <c r="F53" s="127"/>
      <c r="G53" s="128"/>
      <c r="H53" s="126"/>
      <c r="I53" s="126"/>
      <c r="J53" s="126"/>
      <c r="K53" s="127"/>
      <c r="L53" s="127"/>
      <c r="M53" s="129"/>
      <c r="N53" s="128"/>
      <c r="O53" s="129"/>
      <c r="P53" s="118"/>
      <c r="Q53" s="118"/>
      <c r="R53" s="118"/>
      <c r="S53" s="130"/>
      <c r="T53" s="131"/>
      <c r="U53" s="132"/>
      <c r="V53" s="133"/>
      <c r="W53" s="133"/>
      <c r="X53" s="133"/>
    </row>
    <row r="55" spans="1:24">
      <c r="A55" s="124" t="s">
        <v>155</v>
      </c>
      <c r="B55" s="124"/>
      <c r="C55" s="124"/>
      <c r="D55" s="124" t="s">
        <v>19</v>
      </c>
      <c r="E55" s="124"/>
      <c r="F55" s="124"/>
      <c r="G55" s="124"/>
      <c r="H55" s="124"/>
      <c r="Q55" s="134" t="s">
        <v>156</v>
      </c>
      <c r="R55" s="134"/>
      <c r="S55" s="134"/>
      <c r="T55" s="134" t="s">
        <v>20</v>
      </c>
      <c r="U55" s="134" t="s">
        <v>157</v>
      </c>
    </row>
    <row r="56" spans="1:24">
      <c r="A56" s="124"/>
      <c r="B56" s="135" t="s">
        <v>123</v>
      </c>
      <c r="C56" s="124" t="s">
        <v>118</v>
      </c>
      <c r="D56" s="124" t="s">
        <v>124</v>
      </c>
      <c r="E56" s="124" t="s">
        <v>158</v>
      </c>
      <c r="F56" s="124" t="s">
        <v>159</v>
      </c>
      <c r="G56" s="124" t="s">
        <v>160</v>
      </c>
      <c r="H56" s="124" t="s">
        <v>161</v>
      </c>
      <c r="Q56" s="134"/>
      <c r="R56" s="134" t="s">
        <v>122</v>
      </c>
      <c r="S56" s="134" t="s">
        <v>162</v>
      </c>
      <c r="T56" s="134" t="s">
        <v>124</v>
      </c>
      <c r="U56" s="134" t="s">
        <v>163</v>
      </c>
      <c r="V56" s="134" t="s">
        <v>164</v>
      </c>
      <c r="W56" s="134" t="s">
        <v>165</v>
      </c>
      <c r="X56" s="134" t="s">
        <v>166</v>
      </c>
    </row>
    <row r="57" spans="1:24">
      <c r="A57" s="6">
        <v>43496</v>
      </c>
      <c r="B57" s="136">
        <v>236.7278</v>
      </c>
      <c r="C57" s="136">
        <v>9.5696</v>
      </c>
      <c r="D57" s="137">
        <f>C57/B57</f>
        <v>0.0404244875337835</v>
      </c>
      <c r="E57" s="137"/>
      <c r="F57" s="137"/>
      <c r="G57" s="137"/>
      <c r="H57" s="137"/>
      <c r="Q57" s="113">
        <v>43496</v>
      </c>
      <c r="R57" s="138">
        <v>216.3529</v>
      </c>
      <c r="S57" s="138">
        <v>9.588</v>
      </c>
      <c r="T57" s="133">
        <f>S57/R57</f>
        <v>0.0443164847801901</v>
      </c>
      <c r="U57" s="133"/>
      <c r="V57" s="133"/>
      <c r="W57" s="133"/>
      <c r="X57" s="133"/>
    </row>
    <row r="58" spans="1:24">
      <c r="A58" s="6">
        <v>43524</v>
      </c>
      <c r="B58" s="139">
        <v>148.1602</v>
      </c>
      <c r="C58" s="139">
        <v>5.2867</v>
      </c>
      <c r="D58" s="137">
        <f t="shared" ref="D58:D121" si="2">C58/B58</f>
        <v>0.0356823222430855</v>
      </c>
      <c r="E58" s="137"/>
      <c r="F58" s="137">
        <f>B58/B57-1</f>
        <v>-0.374132653621586</v>
      </c>
      <c r="G58" s="137"/>
      <c r="H58" s="137">
        <f>C58/C57-1</f>
        <v>-0.447552666778131</v>
      </c>
      <c r="Q58" s="113">
        <v>43524</v>
      </c>
      <c r="R58" s="138">
        <v>117.4394</v>
      </c>
      <c r="S58" s="138">
        <v>4.6505</v>
      </c>
      <c r="T58" s="133">
        <f t="shared" ref="T58:T107" si="3">S58/R58</f>
        <v>0.0395991464534049</v>
      </c>
      <c r="U58" s="133"/>
      <c r="V58" s="133">
        <f t="shared" ref="V58:V89" si="4">R58/R57-1</f>
        <v>-0.45718592170477</v>
      </c>
      <c r="W58" s="133"/>
      <c r="X58" s="133">
        <f t="shared" ref="X58:X107" si="5">S58/S57-1</f>
        <v>-0.514966624947852</v>
      </c>
    </row>
    <row r="59" spans="1:24">
      <c r="A59" s="6">
        <v>43555</v>
      </c>
      <c r="B59" s="139">
        <v>252.0013</v>
      </c>
      <c r="C59" s="139">
        <v>12.5631</v>
      </c>
      <c r="D59" s="137">
        <f t="shared" si="2"/>
        <v>0.0498533142487757</v>
      </c>
      <c r="E59" s="137"/>
      <c r="F59" s="137">
        <f t="shared" ref="F59:F113" si="6">B59/B58-1</f>
        <v>0.700870409192212</v>
      </c>
      <c r="G59" s="137"/>
      <c r="H59" s="137">
        <f t="shared" ref="H59:H122" si="7">C59/C58-1</f>
        <v>1.37635954376076</v>
      </c>
      <c r="Q59" s="113">
        <v>43555</v>
      </c>
      <c r="R59" s="138">
        <v>175.4083</v>
      </c>
      <c r="S59" s="138">
        <v>10.5502</v>
      </c>
      <c r="T59" s="133">
        <f t="shared" si="3"/>
        <v>0.0601465267036965</v>
      </c>
      <c r="U59" s="133"/>
      <c r="V59" s="133">
        <f t="shared" si="4"/>
        <v>0.493606915566667</v>
      </c>
      <c r="W59" s="133"/>
      <c r="X59" s="133">
        <f t="shared" si="5"/>
        <v>1.26861627781959</v>
      </c>
    </row>
    <row r="60" spans="1:24">
      <c r="A60" s="6">
        <v>43585</v>
      </c>
      <c r="B60" s="139">
        <v>198.0497</v>
      </c>
      <c r="C60" s="139">
        <v>9.6771</v>
      </c>
      <c r="D60" s="137">
        <f t="shared" si="2"/>
        <v>0.0488619775743159</v>
      </c>
      <c r="E60" s="137"/>
      <c r="F60" s="137">
        <f t="shared" si="6"/>
        <v>-0.214092546347975</v>
      </c>
      <c r="G60" s="137"/>
      <c r="H60" s="137">
        <f t="shared" si="7"/>
        <v>-0.229720371564343</v>
      </c>
      <c r="Q60" s="113">
        <v>43585</v>
      </c>
      <c r="R60" s="138">
        <v>151.3821</v>
      </c>
      <c r="S60" s="138">
        <v>8.5536</v>
      </c>
      <c r="T60" s="133">
        <f t="shared" si="3"/>
        <v>0.0565033778762482</v>
      </c>
      <c r="U60" s="133"/>
      <c r="V60" s="133">
        <f t="shared" si="4"/>
        <v>-0.136972993866311</v>
      </c>
      <c r="W60" s="133"/>
      <c r="X60" s="133">
        <f t="shared" si="5"/>
        <v>-0.189247597201949</v>
      </c>
    </row>
    <row r="61" spans="1:24">
      <c r="A61" s="6">
        <v>43616</v>
      </c>
      <c r="B61" s="139">
        <v>191.2565</v>
      </c>
      <c r="C61" s="139">
        <v>10.4422</v>
      </c>
      <c r="D61" s="137">
        <f t="shared" si="2"/>
        <v>0.0545978829477691</v>
      </c>
      <c r="E61" s="137"/>
      <c r="F61" s="137">
        <f t="shared" si="6"/>
        <v>-0.0343004811418549</v>
      </c>
      <c r="G61" s="137"/>
      <c r="H61" s="137">
        <f t="shared" si="7"/>
        <v>0.079062942410433</v>
      </c>
      <c r="Q61" s="113">
        <v>43616</v>
      </c>
      <c r="R61" s="138">
        <v>157.9982</v>
      </c>
      <c r="S61" s="138">
        <v>9.3704</v>
      </c>
      <c r="T61" s="133">
        <f t="shared" si="3"/>
        <v>0.0593070047633454</v>
      </c>
      <c r="U61" s="133"/>
      <c r="V61" s="133">
        <f t="shared" si="4"/>
        <v>0.0437046387915083</v>
      </c>
      <c r="W61" s="133"/>
      <c r="X61" s="133">
        <f t="shared" si="5"/>
        <v>0.0954919566030679</v>
      </c>
    </row>
    <row r="62" spans="1:24">
      <c r="A62" s="6">
        <v>43646</v>
      </c>
      <c r="B62" s="139">
        <v>205.6446</v>
      </c>
      <c r="C62" s="139">
        <v>15.2062</v>
      </c>
      <c r="D62" s="137">
        <f t="shared" si="2"/>
        <v>0.0739440763336358</v>
      </c>
      <c r="E62" s="137"/>
      <c r="F62" s="137">
        <f t="shared" si="6"/>
        <v>0.0752293386107139</v>
      </c>
      <c r="G62" s="137"/>
      <c r="H62" s="137">
        <f t="shared" si="7"/>
        <v>0.456225699565226</v>
      </c>
      <c r="Q62" s="113">
        <v>43646</v>
      </c>
      <c r="R62" s="138">
        <v>176.4217</v>
      </c>
      <c r="S62" s="138">
        <v>13.8421</v>
      </c>
      <c r="T62" s="133">
        <f t="shared" si="3"/>
        <v>0.0784603027858818</v>
      </c>
      <c r="U62" s="133"/>
      <c r="V62" s="133">
        <f t="shared" si="4"/>
        <v>0.116605758799784</v>
      </c>
      <c r="W62" s="133"/>
      <c r="X62" s="133">
        <f t="shared" si="5"/>
        <v>0.477215487065654</v>
      </c>
    </row>
    <row r="63" spans="1:24">
      <c r="A63" s="6">
        <v>43677</v>
      </c>
      <c r="B63" s="139">
        <v>180.8472</v>
      </c>
      <c r="C63" s="139">
        <v>7.9784</v>
      </c>
      <c r="D63" s="137">
        <f t="shared" si="2"/>
        <v>0.0441168013660151</v>
      </c>
      <c r="E63" s="137"/>
      <c r="F63" s="137">
        <f t="shared" si="6"/>
        <v>-0.120583764416863</v>
      </c>
      <c r="G63" s="137"/>
      <c r="H63" s="137">
        <f t="shared" si="7"/>
        <v>-0.475319277663058</v>
      </c>
      <c r="Q63" s="113">
        <v>43677</v>
      </c>
      <c r="R63" s="138">
        <v>148.2873</v>
      </c>
      <c r="S63" s="138">
        <v>6.5457</v>
      </c>
      <c r="T63" s="133">
        <f t="shared" si="3"/>
        <v>0.0441420135102602</v>
      </c>
      <c r="U63" s="133"/>
      <c r="V63" s="133">
        <f t="shared" si="4"/>
        <v>-0.159472445849915</v>
      </c>
      <c r="W63" s="133"/>
      <c r="X63" s="133">
        <f t="shared" si="5"/>
        <v>-0.52711655023443</v>
      </c>
    </row>
    <row r="64" spans="1:24">
      <c r="A64" s="6">
        <v>43708</v>
      </c>
      <c r="B64" s="139">
        <v>195.7572</v>
      </c>
      <c r="C64" s="139">
        <v>8.5255</v>
      </c>
      <c r="D64" s="137">
        <f t="shared" si="2"/>
        <v>0.0435513993865871</v>
      </c>
      <c r="E64" s="137"/>
      <c r="F64" s="137">
        <f t="shared" si="6"/>
        <v>0.0824452908311548</v>
      </c>
      <c r="G64" s="137"/>
      <c r="H64" s="137">
        <f t="shared" si="7"/>
        <v>0.0685726461445904</v>
      </c>
      <c r="Q64" s="113">
        <v>43708</v>
      </c>
      <c r="R64" s="138">
        <v>156.362</v>
      </c>
      <c r="S64" s="138">
        <v>6.4552</v>
      </c>
      <c r="T64" s="133">
        <f t="shared" si="3"/>
        <v>0.0412836878525473</v>
      </c>
      <c r="U64" s="133"/>
      <c r="V64" s="133">
        <f t="shared" si="4"/>
        <v>0.0544530785846125</v>
      </c>
      <c r="W64" s="133"/>
      <c r="X64" s="133">
        <f t="shared" si="5"/>
        <v>-0.0138258704187483</v>
      </c>
    </row>
    <row r="65" spans="1:24">
      <c r="A65" s="6">
        <v>43738</v>
      </c>
      <c r="B65" s="139">
        <v>227.0682</v>
      </c>
      <c r="C65" s="139">
        <v>7.9755</v>
      </c>
      <c r="D65" s="137">
        <f t="shared" si="2"/>
        <v>0.0351238086178514</v>
      </c>
      <c r="E65" s="137"/>
      <c r="F65" s="137">
        <f t="shared" si="6"/>
        <v>0.159948139838535</v>
      </c>
      <c r="G65" s="137"/>
      <c r="H65" s="137">
        <f t="shared" si="7"/>
        <v>-0.0645123453169901</v>
      </c>
      <c r="Q65" s="113">
        <v>43738</v>
      </c>
      <c r="R65" s="138">
        <v>177.9731</v>
      </c>
      <c r="S65" s="138">
        <v>6.1818</v>
      </c>
      <c r="T65" s="133">
        <f t="shared" si="3"/>
        <v>0.0347344626800342</v>
      </c>
      <c r="U65" s="133"/>
      <c r="V65" s="133">
        <f t="shared" si="4"/>
        <v>0.138211969660148</v>
      </c>
      <c r="W65" s="133"/>
      <c r="X65" s="133">
        <f t="shared" si="5"/>
        <v>-0.0423534514809766</v>
      </c>
    </row>
    <row r="66" spans="1:24">
      <c r="A66" s="6">
        <v>43769</v>
      </c>
      <c r="B66" s="139">
        <v>228.417</v>
      </c>
      <c r="C66" s="139">
        <v>7.5058</v>
      </c>
      <c r="D66" s="137">
        <f t="shared" si="2"/>
        <v>0.0328600760889076</v>
      </c>
      <c r="E66" s="137"/>
      <c r="F66" s="137">
        <f t="shared" si="6"/>
        <v>0.00594006558382021</v>
      </c>
      <c r="G66" s="137"/>
      <c r="H66" s="137">
        <f t="shared" si="7"/>
        <v>-0.058892859381857</v>
      </c>
      <c r="Q66" s="113">
        <v>43769</v>
      </c>
      <c r="R66" s="138">
        <v>184.3573</v>
      </c>
      <c r="S66" s="138">
        <v>6.3028</v>
      </c>
      <c r="T66" s="133">
        <f t="shared" si="3"/>
        <v>0.0341879600102627</v>
      </c>
      <c r="U66" s="133"/>
      <c r="V66" s="133">
        <f t="shared" si="4"/>
        <v>0.0358717131971069</v>
      </c>
      <c r="W66" s="133"/>
      <c r="X66" s="133">
        <f t="shared" si="5"/>
        <v>0.0195735869811382</v>
      </c>
    </row>
    <row r="67" spans="1:24">
      <c r="A67" s="6">
        <v>43799</v>
      </c>
      <c r="B67" s="139">
        <v>245.6879</v>
      </c>
      <c r="C67" s="139">
        <v>9.5375</v>
      </c>
      <c r="D67" s="137">
        <f t="shared" si="2"/>
        <v>0.0388195755672135</v>
      </c>
      <c r="E67" s="137"/>
      <c r="F67" s="137">
        <f t="shared" si="6"/>
        <v>0.0756112723658922</v>
      </c>
      <c r="G67" s="137"/>
      <c r="H67" s="137">
        <f t="shared" si="7"/>
        <v>0.270684004369954</v>
      </c>
      <c r="Q67" s="113">
        <v>43799</v>
      </c>
      <c r="R67" s="138">
        <v>192.6889</v>
      </c>
      <c r="S67" s="138">
        <v>7.1223</v>
      </c>
      <c r="T67" s="133">
        <f t="shared" si="3"/>
        <v>0.0369626895996604</v>
      </c>
      <c r="U67" s="133"/>
      <c r="V67" s="133">
        <f t="shared" si="4"/>
        <v>0.0451926774800888</v>
      </c>
      <c r="W67" s="133"/>
      <c r="X67" s="133">
        <f t="shared" si="5"/>
        <v>0.130021577711493</v>
      </c>
    </row>
    <row r="68" spans="1:24">
      <c r="A68" s="6">
        <v>43830</v>
      </c>
      <c r="B68" s="139">
        <v>265.8306</v>
      </c>
      <c r="C68" s="139">
        <v>16.3448</v>
      </c>
      <c r="D68" s="137">
        <f t="shared" si="2"/>
        <v>0.0614857732706468</v>
      </c>
      <c r="E68" s="137"/>
      <c r="F68" s="137">
        <f t="shared" si="6"/>
        <v>0.0819849084956972</v>
      </c>
      <c r="G68" s="137"/>
      <c r="H68" s="137">
        <f t="shared" si="7"/>
        <v>0.713740498034076</v>
      </c>
      <c r="Q68" s="113">
        <v>43830</v>
      </c>
      <c r="R68" s="138">
        <v>214.5564</v>
      </c>
      <c r="S68" s="138">
        <v>13.0679</v>
      </c>
      <c r="T68" s="133">
        <f t="shared" si="3"/>
        <v>0.0609065961211131</v>
      </c>
      <c r="U68" s="133"/>
      <c r="V68" s="133">
        <f t="shared" si="4"/>
        <v>0.11348603889482</v>
      </c>
      <c r="W68" s="133"/>
      <c r="X68" s="133">
        <f t="shared" si="5"/>
        <v>0.834786515591873</v>
      </c>
    </row>
    <row r="69" spans="1:24">
      <c r="A69" s="6">
        <v>43861</v>
      </c>
      <c r="B69" s="139">
        <v>192.7201</v>
      </c>
      <c r="C69" s="139">
        <v>4.6373</v>
      </c>
      <c r="D69" s="137">
        <f t="shared" si="2"/>
        <v>0.0240623577924669</v>
      </c>
      <c r="E69" s="137">
        <f>B69/B57-1</f>
        <v>-0.185900008364037</v>
      </c>
      <c r="F69" s="137">
        <f t="shared" si="6"/>
        <v>-0.27502665231166</v>
      </c>
      <c r="G69" s="137">
        <f t="shared" ref="G69:G109" si="8">C69/C57-1</f>
        <v>-0.515413392409296</v>
      </c>
      <c r="H69" s="137">
        <f t="shared" si="7"/>
        <v>-0.71628285448583</v>
      </c>
      <c r="Q69" s="113">
        <v>43861</v>
      </c>
      <c r="R69" s="138">
        <v>171.8474</v>
      </c>
      <c r="S69" s="138">
        <v>4.0827</v>
      </c>
      <c r="T69" s="133">
        <f t="shared" si="3"/>
        <v>0.0237577059647106</v>
      </c>
      <c r="U69" s="133">
        <f>R69/R57-1</f>
        <v>-0.205707896681764</v>
      </c>
      <c r="V69" s="133">
        <f t="shared" si="4"/>
        <v>-0.199057217589408</v>
      </c>
      <c r="W69" s="133">
        <f t="shared" ref="W69:W107" si="9">S69/S57-1</f>
        <v>-0.57418648310388</v>
      </c>
      <c r="X69" s="133">
        <f t="shared" si="5"/>
        <v>-0.687577958202925</v>
      </c>
    </row>
    <row r="70" spans="1:24">
      <c r="A70" s="6">
        <v>43890</v>
      </c>
      <c r="B70" s="139">
        <v>30.9942</v>
      </c>
      <c r="C70" s="139">
        <v>1.2908</v>
      </c>
      <c r="D70" s="137">
        <f t="shared" si="2"/>
        <v>0.0416465016035258</v>
      </c>
      <c r="E70" s="137">
        <f t="shared" ref="E70:E98" si="10">B70/B58-1</f>
        <v>-0.79080616791824</v>
      </c>
      <c r="F70" s="137">
        <f t="shared" si="6"/>
        <v>-0.839175052316806</v>
      </c>
      <c r="G70" s="137">
        <f t="shared" si="8"/>
        <v>-0.755840127111431</v>
      </c>
      <c r="H70" s="137">
        <f t="shared" si="7"/>
        <v>-0.721648372975654</v>
      </c>
      <c r="Q70" s="113">
        <v>43890</v>
      </c>
      <c r="R70" s="138">
        <v>24.9459</v>
      </c>
      <c r="S70" s="138">
        <v>1.4249</v>
      </c>
      <c r="T70" s="133">
        <f t="shared" si="3"/>
        <v>0.0571196068291783</v>
      </c>
      <c r="U70" s="133">
        <f t="shared" ref="U70:U91" si="11">R70/R58-1</f>
        <v>-0.787584916135471</v>
      </c>
      <c r="V70" s="133">
        <f t="shared" si="4"/>
        <v>-0.854836907628512</v>
      </c>
      <c r="W70" s="133">
        <f t="shared" si="9"/>
        <v>-0.693602838404473</v>
      </c>
      <c r="X70" s="133">
        <f t="shared" si="5"/>
        <v>-0.650990765914713</v>
      </c>
    </row>
    <row r="71" spans="1:24">
      <c r="A71" s="6">
        <v>43921</v>
      </c>
      <c r="B71" s="139">
        <v>143.0217</v>
      </c>
      <c r="C71" s="139">
        <v>5.2873</v>
      </c>
      <c r="D71" s="137">
        <f t="shared" si="2"/>
        <v>0.0369685159664582</v>
      </c>
      <c r="E71" s="137">
        <f t="shared" si="10"/>
        <v>-0.432456499232345</v>
      </c>
      <c r="F71" s="137">
        <f t="shared" si="6"/>
        <v>3.61446657761775</v>
      </c>
      <c r="G71" s="137">
        <f t="shared" si="8"/>
        <v>-0.579140498762248</v>
      </c>
      <c r="H71" s="137">
        <f t="shared" si="7"/>
        <v>3.09614192748683</v>
      </c>
      <c r="Q71" s="113">
        <v>43921</v>
      </c>
      <c r="R71" s="138">
        <v>104.832</v>
      </c>
      <c r="S71" s="138">
        <v>5.4354</v>
      </c>
      <c r="T71" s="133">
        <f t="shared" si="3"/>
        <v>0.0518486721611722</v>
      </c>
      <c r="U71" s="133">
        <f t="shared" si="11"/>
        <v>-0.402354392580055</v>
      </c>
      <c r="V71" s="133">
        <f t="shared" si="4"/>
        <v>3.2023739372001</v>
      </c>
      <c r="W71" s="133">
        <f t="shared" si="9"/>
        <v>-0.484805975242176</v>
      </c>
      <c r="X71" s="133">
        <f t="shared" si="5"/>
        <v>2.81458347954242</v>
      </c>
    </row>
    <row r="72" spans="1:24">
      <c r="A72" s="6">
        <v>43951</v>
      </c>
      <c r="B72" s="139">
        <v>206.9962</v>
      </c>
      <c r="C72" s="139">
        <v>7.195</v>
      </c>
      <c r="D72" s="137">
        <f t="shared" si="2"/>
        <v>0.0347590921958954</v>
      </c>
      <c r="E72" s="137">
        <f t="shared" si="10"/>
        <v>0.0451730045539074</v>
      </c>
      <c r="F72" s="137">
        <f t="shared" si="6"/>
        <v>0.447306247933006</v>
      </c>
      <c r="G72" s="137">
        <f t="shared" si="8"/>
        <v>-0.256492130906987</v>
      </c>
      <c r="H72" s="137">
        <f t="shared" si="7"/>
        <v>0.360807973824069</v>
      </c>
      <c r="Q72" s="113">
        <v>43951</v>
      </c>
      <c r="R72" s="138">
        <v>143.115</v>
      </c>
      <c r="S72" s="138">
        <v>5.5752</v>
      </c>
      <c r="T72" s="133">
        <f t="shared" si="3"/>
        <v>0.0389560842678964</v>
      </c>
      <c r="U72" s="133">
        <f t="shared" si="11"/>
        <v>-0.0546108159419112</v>
      </c>
      <c r="V72" s="133">
        <f t="shared" si="4"/>
        <v>0.365184294871795</v>
      </c>
      <c r="W72" s="133">
        <f t="shared" si="9"/>
        <v>-0.348204264870931</v>
      </c>
      <c r="X72" s="133">
        <f t="shared" si="5"/>
        <v>0.0257202781763992</v>
      </c>
    </row>
    <row r="73" spans="1:24">
      <c r="A73" s="6">
        <v>43982</v>
      </c>
      <c r="B73" s="139">
        <v>219.358</v>
      </c>
      <c r="C73" s="139">
        <v>8.1665</v>
      </c>
      <c r="D73" s="137">
        <f t="shared" si="2"/>
        <v>0.0372290958159721</v>
      </c>
      <c r="E73" s="137">
        <f t="shared" si="10"/>
        <v>0.146930953980649</v>
      </c>
      <c r="F73" s="137">
        <f t="shared" si="6"/>
        <v>0.0597199368877304</v>
      </c>
      <c r="G73" s="137">
        <f t="shared" si="8"/>
        <v>-0.217933002623968</v>
      </c>
      <c r="H73" s="137">
        <f t="shared" si="7"/>
        <v>0.135024322446143</v>
      </c>
      <c r="Q73" s="113">
        <v>43982</v>
      </c>
      <c r="R73" s="138">
        <v>160.7694</v>
      </c>
      <c r="S73" s="138">
        <v>6.6758</v>
      </c>
      <c r="T73" s="133">
        <f t="shared" si="3"/>
        <v>0.0415240711229873</v>
      </c>
      <c r="U73" s="133">
        <f t="shared" si="11"/>
        <v>0.0175394403227378</v>
      </c>
      <c r="V73" s="133">
        <f t="shared" si="4"/>
        <v>0.123358138559899</v>
      </c>
      <c r="W73" s="133">
        <f t="shared" si="9"/>
        <v>-0.287565098608384</v>
      </c>
      <c r="X73" s="133">
        <f t="shared" si="5"/>
        <v>0.197409958387143</v>
      </c>
    </row>
    <row r="74" spans="1:24">
      <c r="A74" s="6">
        <v>44012</v>
      </c>
      <c r="B74" s="139">
        <v>229.9696</v>
      </c>
      <c r="C74" s="139">
        <v>10.3565</v>
      </c>
      <c r="D74" s="137">
        <f t="shared" si="2"/>
        <v>0.045034213217747</v>
      </c>
      <c r="E74" s="137">
        <f t="shared" si="10"/>
        <v>0.118286597362634</v>
      </c>
      <c r="F74" s="137">
        <f t="shared" si="6"/>
        <v>0.0483757145852899</v>
      </c>
      <c r="G74" s="137">
        <f t="shared" si="8"/>
        <v>-0.318929121016428</v>
      </c>
      <c r="H74" s="137">
        <f t="shared" si="7"/>
        <v>0.268168738137513</v>
      </c>
      <c r="Q74" s="113">
        <v>44012</v>
      </c>
      <c r="R74" s="138">
        <v>165.9</v>
      </c>
      <c r="S74" s="138">
        <v>8.3278</v>
      </c>
      <c r="T74" s="133">
        <f t="shared" si="3"/>
        <v>0.0501977094635322</v>
      </c>
      <c r="U74" s="133">
        <f t="shared" si="11"/>
        <v>-0.0596394887930451</v>
      </c>
      <c r="V74" s="133">
        <f t="shared" si="4"/>
        <v>0.0319127893740974</v>
      </c>
      <c r="W74" s="133">
        <f t="shared" si="9"/>
        <v>-0.398371634361838</v>
      </c>
      <c r="X74" s="133">
        <f t="shared" si="5"/>
        <v>0.247460978459511</v>
      </c>
    </row>
    <row r="75" spans="1:24">
      <c r="A75" s="6">
        <v>44043</v>
      </c>
      <c r="B75" s="139">
        <v>211.1803</v>
      </c>
      <c r="C75" s="139">
        <v>9.7854</v>
      </c>
      <c r="D75" s="137">
        <f t="shared" si="2"/>
        <v>0.0463367084903279</v>
      </c>
      <c r="E75" s="137">
        <f t="shared" si="10"/>
        <v>0.167727783454762</v>
      </c>
      <c r="F75" s="137">
        <f t="shared" si="6"/>
        <v>-0.0817034077547643</v>
      </c>
      <c r="G75" s="137">
        <f t="shared" si="8"/>
        <v>0.226486513586684</v>
      </c>
      <c r="H75" s="137">
        <f t="shared" si="7"/>
        <v>-0.0551441123931832</v>
      </c>
      <c r="Q75" s="113">
        <v>44043</v>
      </c>
      <c r="R75" s="138">
        <v>159.9482</v>
      </c>
      <c r="S75" s="138">
        <v>8.2568</v>
      </c>
      <c r="T75" s="133">
        <f t="shared" si="3"/>
        <v>0.0516217125294314</v>
      </c>
      <c r="U75" s="133">
        <f t="shared" si="11"/>
        <v>0.0786372130317299</v>
      </c>
      <c r="V75" s="133">
        <f t="shared" si="4"/>
        <v>-0.0358758288125376</v>
      </c>
      <c r="W75" s="133">
        <f t="shared" si="9"/>
        <v>0.261408252746077</v>
      </c>
      <c r="X75" s="133">
        <f t="shared" si="5"/>
        <v>-0.00852566103892982</v>
      </c>
    </row>
    <row r="76" spans="1:24">
      <c r="A76" s="6">
        <v>44074</v>
      </c>
      <c r="B76" s="139">
        <v>218.5812</v>
      </c>
      <c r="C76" s="139">
        <v>10.9318</v>
      </c>
      <c r="D76" s="137">
        <f t="shared" si="2"/>
        <v>0.0500125353873069</v>
      </c>
      <c r="E76" s="137">
        <f t="shared" si="10"/>
        <v>0.116593412656086</v>
      </c>
      <c r="F76" s="137">
        <f t="shared" si="6"/>
        <v>0.0350454090651449</v>
      </c>
      <c r="G76" s="137">
        <f t="shared" si="8"/>
        <v>0.282247375520498</v>
      </c>
      <c r="H76" s="137">
        <f t="shared" si="7"/>
        <v>0.11715412757782</v>
      </c>
      <c r="Q76" s="113">
        <v>44074</v>
      </c>
      <c r="R76" s="138">
        <v>170.3589</v>
      </c>
      <c r="S76" s="138">
        <v>9.3297</v>
      </c>
      <c r="T76" s="133">
        <f t="shared" si="3"/>
        <v>0.0547649697198092</v>
      </c>
      <c r="U76" s="133">
        <f t="shared" si="11"/>
        <v>0.0895159949348308</v>
      </c>
      <c r="V76" s="133">
        <f t="shared" si="4"/>
        <v>0.0650879472229133</v>
      </c>
      <c r="W76" s="133">
        <f t="shared" si="9"/>
        <v>0.445299913248234</v>
      </c>
      <c r="X76" s="133">
        <f t="shared" si="5"/>
        <v>0.129941381649065</v>
      </c>
    </row>
    <row r="77" spans="1:24">
      <c r="A77" s="6">
        <v>44104</v>
      </c>
      <c r="B77" s="139">
        <v>256.5201</v>
      </c>
      <c r="C77" s="139">
        <v>13.7941</v>
      </c>
      <c r="D77" s="137">
        <f t="shared" si="2"/>
        <v>0.0537739537759419</v>
      </c>
      <c r="E77" s="137">
        <f t="shared" si="10"/>
        <v>0.129705084199373</v>
      </c>
      <c r="F77" s="137">
        <f t="shared" si="6"/>
        <v>0.173568907115525</v>
      </c>
      <c r="G77" s="137">
        <f t="shared" si="8"/>
        <v>0.729559275280547</v>
      </c>
      <c r="H77" s="137">
        <f t="shared" si="7"/>
        <v>0.261832452112186</v>
      </c>
      <c r="Q77" s="113">
        <v>44104</v>
      </c>
      <c r="R77" s="138">
        <v>191.3436</v>
      </c>
      <c r="S77" s="138">
        <v>11.0416</v>
      </c>
      <c r="T77" s="133">
        <f t="shared" si="3"/>
        <v>0.0577056144025721</v>
      </c>
      <c r="U77" s="133">
        <f t="shared" si="11"/>
        <v>0.0751265219294377</v>
      </c>
      <c r="V77" s="133">
        <f t="shared" si="4"/>
        <v>0.123179358401586</v>
      </c>
      <c r="W77" s="133">
        <f t="shared" si="9"/>
        <v>0.786146429842441</v>
      </c>
      <c r="X77" s="133">
        <f t="shared" si="5"/>
        <v>0.183489286900972</v>
      </c>
    </row>
    <row r="78" spans="1:24">
      <c r="A78" s="6">
        <v>44135</v>
      </c>
      <c r="B78" s="139">
        <v>257.3228</v>
      </c>
      <c r="C78" s="139">
        <v>16.0185</v>
      </c>
      <c r="D78" s="137">
        <f t="shared" si="2"/>
        <v>0.0622506050765809</v>
      </c>
      <c r="E78" s="137">
        <f t="shared" si="10"/>
        <v>0.126548374245349</v>
      </c>
      <c r="F78" s="137">
        <f t="shared" si="6"/>
        <v>0.00312918948651575</v>
      </c>
      <c r="G78" s="137">
        <f t="shared" si="8"/>
        <v>1.13414959098297</v>
      </c>
      <c r="H78" s="137">
        <f t="shared" si="7"/>
        <v>0.161257349156523</v>
      </c>
      <c r="Q78" s="113">
        <v>44135</v>
      </c>
      <c r="R78" s="138">
        <v>199.198</v>
      </c>
      <c r="S78" s="138">
        <v>13.3145</v>
      </c>
      <c r="T78" s="133">
        <f t="shared" si="3"/>
        <v>0.0668405305274149</v>
      </c>
      <c r="U78" s="133">
        <f t="shared" si="11"/>
        <v>0.0804996601707662</v>
      </c>
      <c r="V78" s="133">
        <f t="shared" si="4"/>
        <v>0.0410486684686606</v>
      </c>
      <c r="W78" s="133">
        <f t="shared" si="9"/>
        <v>1.11247382115885</v>
      </c>
      <c r="X78" s="133">
        <f t="shared" si="5"/>
        <v>0.20584879003043</v>
      </c>
    </row>
    <row r="79" spans="1:24">
      <c r="A79" s="6">
        <v>44165</v>
      </c>
      <c r="B79" s="139">
        <v>276.9666</v>
      </c>
      <c r="C79" s="139">
        <v>20.0143</v>
      </c>
      <c r="D79" s="137">
        <f t="shared" si="2"/>
        <v>0.0722625038542553</v>
      </c>
      <c r="E79" s="137">
        <f t="shared" si="10"/>
        <v>0.127310705981043</v>
      </c>
      <c r="F79" s="137">
        <f t="shared" si="6"/>
        <v>0.0763391351252203</v>
      </c>
      <c r="G79" s="137">
        <f t="shared" si="8"/>
        <v>1.09848492791612</v>
      </c>
      <c r="H79" s="137">
        <f t="shared" si="7"/>
        <v>0.249449074507601</v>
      </c>
      <c r="Q79" s="113">
        <v>44165</v>
      </c>
      <c r="R79" s="138">
        <v>208.0938</v>
      </c>
      <c r="S79" s="138">
        <v>17.0361</v>
      </c>
      <c r="T79" s="133">
        <f t="shared" si="3"/>
        <v>0.0818674078708736</v>
      </c>
      <c r="U79" s="133">
        <f t="shared" si="11"/>
        <v>0.079947002655576</v>
      </c>
      <c r="V79" s="133">
        <f t="shared" si="4"/>
        <v>0.0446580788963744</v>
      </c>
      <c r="W79" s="133">
        <f t="shared" si="9"/>
        <v>1.39193799755697</v>
      </c>
      <c r="X79" s="133">
        <f t="shared" si="5"/>
        <v>0.27951481467573</v>
      </c>
    </row>
    <row r="80" spans="1:24">
      <c r="A80" s="6">
        <v>44196</v>
      </c>
      <c r="B80" s="139">
        <v>283.1245</v>
      </c>
      <c r="C80" s="139">
        <v>24.8171</v>
      </c>
      <c r="D80" s="137">
        <f t="shared" si="2"/>
        <v>0.0876543711335473</v>
      </c>
      <c r="E80" s="137">
        <f t="shared" si="10"/>
        <v>0.0650560921127967</v>
      </c>
      <c r="F80" s="137">
        <f t="shared" si="6"/>
        <v>0.0222333667669674</v>
      </c>
      <c r="G80" s="137">
        <f t="shared" si="8"/>
        <v>0.518348343203955</v>
      </c>
      <c r="H80" s="137">
        <f t="shared" si="7"/>
        <v>0.239968422577857</v>
      </c>
      <c r="Q80" s="113">
        <v>44196</v>
      </c>
      <c r="R80" s="138">
        <v>228.7135</v>
      </c>
      <c r="S80" s="138">
        <v>20.787</v>
      </c>
      <c r="T80" s="133">
        <f t="shared" si="3"/>
        <v>0.0908866332770037</v>
      </c>
      <c r="U80" s="133">
        <f t="shared" si="11"/>
        <v>0.0659831167935332</v>
      </c>
      <c r="V80" s="133">
        <f t="shared" si="4"/>
        <v>0.0990884879799399</v>
      </c>
      <c r="W80" s="133">
        <f t="shared" si="9"/>
        <v>0.590691694916551</v>
      </c>
      <c r="X80" s="133">
        <f t="shared" si="5"/>
        <v>0.220173631288851</v>
      </c>
    </row>
    <row r="81" spans="1:24">
      <c r="A81" s="6">
        <v>44227</v>
      </c>
      <c r="B81" s="139">
        <v>250.3168</v>
      </c>
      <c r="C81" s="139">
        <v>17.9176</v>
      </c>
      <c r="D81" s="137">
        <f t="shared" si="2"/>
        <v>0.0715796942114952</v>
      </c>
      <c r="E81" s="137">
        <f t="shared" si="10"/>
        <v>0.298861924625402</v>
      </c>
      <c r="F81" s="137">
        <f t="shared" si="6"/>
        <v>-0.115877290732522</v>
      </c>
      <c r="G81" s="137">
        <f t="shared" si="8"/>
        <v>2.86380005606711</v>
      </c>
      <c r="H81" s="137">
        <f t="shared" si="7"/>
        <v>-0.278013950058629</v>
      </c>
      <c r="Q81" s="113">
        <v>44227</v>
      </c>
      <c r="R81" s="138">
        <v>216.04</v>
      </c>
      <c r="S81" s="138">
        <v>15.5388</v>
      </c>
      <c r="T81" s="133">
        <f t="shared" si="3"/>
        <v>0.0719255693390113</v>
      </c>
      <c r="U81" s="133">
        <f t="shared" si="11"/>
        <v>0.257161877340012</v>
      </c>
      <c r="V81" s="133">
        <f t="shared" si="4"/>
        <v>-0.0554121204039115</v>
      </c>
      <c r="W81" s="133">
        <f t="shared" si="9"/>
        <v>2.80601072819458</v>
      </c>
      <c r="X81" s="133">
        <f t="shared" si="5"/>
        <v>-0.252475104632703</v>
      </c>
    </row>
    <row r="82" spans="1:24">
      <c r="A82" s="6">
        <v>44255</v>
      </c>
      <c r="B82" s="139">
        <v>145.4806</v>
      </c>
      <c r="C82" s="139">
        <v>10.9634</v>
      </c>
      <c r="D82" s="137">
        <f t="shared" si="2"/>
        <v>0.0753598761621824</v>
      </c>
      <c r="E82" s="137">
        <f t="shared" si="10"/>
        <v>3.69380077562899</v>
      </c>
      <c r="F82" s="137">
        <f t="shared" si="6"/>
        <v>-0.418814078799345</v>
      </c>
      <c r="G82" s="137">
        <f t="shared" si="8"/>
        <v>7.49349240780911</v>
      </c>
      <c r="H82" s="137">
        <f t="shared" si="7"/>
        <v>-0.388121176943341</v>
      </c>
      <c r="Q82" s="113">
        <v>44255</v>
      </c>
      <c r="R82" s="138">
        <v>117.9399</v>
      </c>
      <c r="S82" s="138">
        <v>9.7059</v>
      </c>
      <c r="T82" s="133">
        <f t="shared" si="3"/>
        <v>0.0822953046424492</v>
      </c>
      <c r="U82" s="133">
        <f t="shared" si="11"/>
        <v>3.72782701766623</v>
      </c>
      <c r="V82" s="133">
        <f t="shared" si="4"/>
        <v>-0.454083040177745</v>
      </c>
      <c r="W82" s="133">
        <f t="shared" si="9"/>
        <v>5.81163590427398</v>
      </c>
      <c r="X82" s="133">
        <f t="shared" si="5"/>
        <v>-0.375376476948027</v>
      </c>
    </row>
    <row r="83" spans="1:24">
      <c r="A83" s="6">
        <v>44286</v>
      </c>
      <c r="B83" s="139">
        <v>252.5691</v>
      </c>
      <c r="C83" s="139">
        <v>22.5801</v>
      </c>
      <c r="D83" s="137">
        <f t="shared" si="2"/>
        <v>0.0894016726511676</v>
      </c>
      <c r="E83" s="137">
        <f t="shared" si="10"/>
        <v>0.765949502767762</v>
      </c>
      <c r="F83" s="137">
        <f t="shared" si="6"/>
        <v>0.73610158330389</v>
      </c>
      <c r="G83" s="137">
        <f t="shared" si="8"/>
        <v>3.27062962192423</v>
      </c>
      <c r="H83" s="137">
        <f t="shared" si="7"/>
        <v>1.0595891785395</v>
      </c>
      <c r="Q83" s="113">
        <v>44286</v>
      </c>
      <c r="R83" s="138">
        <v>175.4441</v>
      </c>
      <c r="S83" s="138">
        <v>18.5328</v>
      </c>
      <c r="T83" s="133">
        <f t="shared" si="3"/>
        <v>0.105633646272516</v>
      </c>
      <c r="U83" s="133">
        <f t="shared" si="11"/>
        <v>0.673573908730159</v>
      </c>
      <c r="V83" s="133">
        <f t="shared" si="4"/>
        <v>0.487572060006834</v>
      </c>
      <c r="W83" s="133">
        <f t="shared" si="9"/>
        <v>2.40964786400265</v>
      </c>
      <c r="X83" s="133">
        <f t="shared" si="5"/>
        <v>0.909436528297221</v>
      </c>
    </row>
    <row r="84" spans="1:24">
      <c r="A84" s="6">
        <v>44316</v>
      </c>
      <c r="B84" s="139">
        <v>225.1792</v>
      </c>
      <c r="C84" s="139">
        <v>20.6206</v>
      </c>
      <c r="D84" s="137">
        <f t="shared" si="2"/>
        <v>0.0915741773662932</v>
      </c>
      <c r="E84" s="137">
        <f t="shared" si="10"/>
        <v>0.0878421922721289</v>
      </c>
      <c r="F84" s="137">
        <f t="shared" si="6"/>
        <v>-0.108445174013765</v>
      </c>
      <c r="G84" s="137">
        <f t="shared" si="8"/>
        <v>1.86596247394024</v>
      </c>
      <c r="H84" s="137">
        <f t="shared" si="7"/>
        <v>-0.0867799522588475</v>
      </c>
      <c r="Q84" s="113">
        <v>44316</v>
      </c>
      <c r="R84" s="138">
        <v>160.9463</v>
      </c>
      <c r="S84" s="138">
        <v>16.1418</v>
      </c>
      <c r="T84" s="133">
        <f t="shared" si="3"/>
        <v>0.100293079120179</v>
      </c>
      <c r="U84" s="133">
        <f t="shared" si="11"/>
        <v>0.124594207455543</v>
      </c>
      <c r="V84" s="133">
        <f t="shared" si="4"/>
        <v>-0.0826348677441988</v>
      </c>
      <c r="W84" s="133">
        <f t="shared" si="9"/>
        <v>1.89528626775721</v>
      </c>
      <c r="X84" s="133">
        <f t="shared" si="5"/>
        <v>-0.129014504014504</v>
      </c>
    </row>
    <row r="85" spans="1:24">
      <c r="A85" s="6">
        <v>44347</v>
      </c>
      <c r="B85" s="139">
        <v>212.7721</v>
      </c>
      <c r="C85" s="139">
        <v>21.7386</v>
      </c>
      <c r="D85" s="137">
        <f t="shared" si="2"/>
        <v>0.10216847039626</v>
      </c>
      <c r="E85" s="137">
        <f t="shared" si="10"/>
        <v>-0.0300235231904011</v>
      </c>
      <c r="F85" s="137">
        <f t="shared" si="6"/>
        <v>-0.0550987835466153</v>
      </c>
      <c r="G85" s="137">
        <f t="shared" si="8"/>
        <v>1.66192371272883</v>
      </c>
      <c r="H85" s="137">
        <f t="shared" si="7"/>
        <v>0.0542176270331611</v>
      </c>
      <c r="Q85" s="113">
        <v>44347</v>
      </c>
      <c r="R85" s="138">
        <v>162.569</v>
      </c>
      <c r="S85" s="138">
        <v>18.7316</v>
      </c>
      <c r="T85" s="133">
        <f t="shared" si="3"/>
        <v>0.115222459386476</v>
      </c>
      <c r="U85" s="133">
        <f t="shared" si="11"/>
        <v>0.0111936724277133</v>
      </c>
      <c r="V85" s="133">
        <f t="shared" si="4"/>
        <v>0.0100822448232731</v>
      </c>
      <c r="W85" s="133">
        <f t="shared" si="9"/>
        <v>1.80589592258606</v>
      </c>
      <c r="X85" s="133">
        <f t="shared" si="5"/>
        <v>0.16044059522482</v>
      </c>
    </row>
    <row r="86" spans="1:24">
      <c r="A86" s="6">
        <v>44377</v>
      </c>
      <c r="B86" s="139">
        <v>201.5309</v>
      </c>
      <c r="C86" s="139">
        <v>25.5747</v>
      </c>
      <c r="D86" s="137">
        <f t="shared" si="2"/>
        <v>0.126902127663797</v>
      </c>
      <c r="E86" s="137">
        <f t="shared" si="10"/>
        <v>-0.123662866744126</v>
      </c>
      <c r="F86" s="137">
        <f t="shared" si="6"/>
        <v>-0.0528321147368475</v>
      </c>
      <c r="G86" s="137">
        <f t="shared" si="8"/>
        <v>1.46943465456477</v>
      </c>
      <c r="H86" s="137">
        <f t="shared" si="7"/>
        <v>0.1764649057437</v>
      </c>
      <c r="Q86" s="113">
        <v>44377</v>
      </c>
      <c r="R86" s="138">
        <v>157.7387</v>
      </c>
      <c r="S86" s="138">
        <v>22.9634</v>
      </c>
      <c r="T86" s="133">
        <f t="shared" si="3"/>
        <v>0.145578732422671</v>
      </c>
      <c r="U86" s="133">
        <f t="shared" si="11"/>
        <v>-0.0491940928270043</v>
      </c>
      <c r="V86" s="133">
        <f t="shared" si="4"/>
        <v>-0.0297123067743542</v>
      </c>
      <c r="W86" s="133">
        <f t="shared" si="9"/>
        <v>1.7574389394558</v>
      </c>
      <c r="X86" s="133">
        <f t="shared" si="5"/>
        <v>0.22591770057016</v>
      </c>
    </row>
    <row r="87" spans="1:24">
      <c r="A87" s="6">
        <v>44408</v>
      </c>
      <c r="B87" s="139">
        <v>186.355</v>
      </c>
      <c r="C87" s="139">
        <v>27.0576</v>
      </c>
      <c r="D87" s="137">
        <f t="shared" si="2"/>
        <v>0.145193850446728</v>
      </c>
      <c r="E87" s="137">
        <f t="shared" si="10"/>
        <v>-0.117554999211574</v>
      </c>
      <c r="F87" s="137">
        <f t="shared" si="6"/>
        <v>-0.0753030924786224</v>
      </c>
      <c r="G87" s="137">
        <f t="shared" si="8"/>
        <v>1.76509902507818</v>
      </c>
      <c r="H87" s="137">
        <f t="shared" si="7"/>
        <v>0.05798308484557</v>
      </c>
      <c r="Q87" s="113">
        <v>44408</v>
      </c>
      <c r="R87" s="138">
        <v>150.2362</v>
      </c>
      <c r="S87" s="138">
        <v>22.2233</v>
      </c>
      <c r="T87" s="133">
        <f t="shared" si="3"/>
        <v>0.147922404853158</v>
      </c>
      <c r="U87" s="133">
        <f t="shared" si="11"/>
        <v>-0.0607196579892741</v>
      </c>
      <c r="V87" s="133">
        <f t="shared" si="4"/>
        <v>-0.0475628365138041</v>
      </c>
      <c r="W87" s="133">
        <f t="shared" si="9"/>
        <v>1.69151487258986</v>
      </c>
      <c r="X87" s="133">
        <f t="shared" si="5"/>
        <v>-0.0322295478892499</v>
      </c>
    </row>
    <row r="88" spans="1:24">
      <c r="A88" s="6">
        <v>44439</v>
      </c>
      <c r="B88" s="139">
        <v>179.8841</v>
      </c>
      <c r="C88" s="139">
        <v>32.0974</v>
      </c>
      <c r="D88" s="137">
        <f t="shared" si="2"/>
        <v>0.178433780417502</v>
      </c>
      <c r="E88" s="137">
        <f t="shared" si="10"/>
        <v>-0.177037640931608</v>
      </c>
      <c r="F88" s="137">
        <f t="shared" si="6"/>
        <v>-0.0347235115773658</v>
      </c>
      <c r="G88" s="137">
        <f t="shared" si="8"/>
        <v>1.93614958195357</v>
      </c>
      <c r="H88" s="137">
        <f t="shared" si="7"/>
        <v>0.186261900538111</v>
      </c>
      <c r="Q88" s="113">
        <v>44439</v>
      </c>
      <c r="R88" s="138">
        <v>145.1545</v>
      </c>
      <c r="S88" s="138">
        <v>24.9588</v>
      </c>
      <c r="T88" s="133">
        <f t="shared" si="3"/>
        <v>0.171946443272513</v>
      </c>
      <c r="U88" s="133">
        <f t="shared" si="11"/>
        <v>-0.147948830381037</v>
      </c>
      <c r="V88" s="133">
        <f t="shared" si="4"/>
        <v>-0.0338247373136433</v>
      </c>
      <c r="W88" s="133">
        <f t="shared" si="9"/>
        <v>1.67519855943921</v>
      </c>
      <c r="X88" s="133">
        <f t="shared" si="5"/>
        <v>0.123091530060792</v>
      </c>
    </row>
    <row r="89" spans="1:24">
      <c r="A89" s="6">
        <v>44469</v>
      </c>
      <c r="B89" s="139">
        <v>206.7099</v>
      </c>
      <c r="C89" s="139">
        <v>35.7474</v>
      </c>
      <c r="D89" s="137">
        <f t="shared" si="2"/>
        <v>0.172935113412565</v>
      </c>
      <c r="E89" s="137">
        <f t="shared" si="10"/>
        <v>-0.194176596687745</v>
      </c>
      <c r="F89" s="137">
        <f t="shared" si="6"/>
        <v>0.149128244241709</v>
      </c>
      <c r="G89" s="137">
        <f t="shared" si="8"/>
        <v>1.59149926417816</v>
      </c>
      <c r="H89" s="137">
        <f t="shared" si="7"/>
        <v>0.113716375781216</v>
      </c>
      <c r="Q89" s="113">
        <v>44469</v>
      </c>
      <c r="R89" s="138">
        <v>158.1825</v>
      </c>
      <c r="S89" s="138">
        <v>33.3532</v>
      </c>
      <c r="T89" s="133">
        <f t="shared" si="3"/>
        <v>0.210852654370743</v>
      </c>
      <c r="U89" s="133">
        <f t="shared" si="11"/>
        <v>-0.173306554282453</v>
      </c>
      <c r="V89" s="133">
        <f t="shared" si="4"/>
        <v>0.0897526428736277</v>
      </c>
      <c r="W89" s="133">
        <f t="shared" si="9"/>
        <v>2.0206854079119</v>
      </c>
      <c r="X89" s="133">
        <f t="shared" si="5"/>
        <v>0.336330272288732</v>
      </c>
    </row>
    <row r="90" spans="1:24">
      <c r="A90" s="6">
        <v>44500</v>
      </c>
      <c r="B90" s="139">
        <v>233.2801</v>
      </c>
      <c r="C90" s="139">
        <v>38.3418</v>
      </c>
      <c r="D90" s="137">
        <f t="shared" si="2"/>
        <v>0.164359497445346</v>
      </c>
      <c r="E90" s="137">
        <f t="shared" si="10"/>
        <v>-0.0934340058479076</v>
      </c>
      <c r="F90" s="137">
        <f t="shared" si="6"/>
        <v>0.128538594426295</v>
      </c>
      <c r="G90" s="137">
        <f t="shared" si="8"/>
        <v>1.39359490589006</v>
      </c>
      <c r="H90" s="137">
        <f t="shared" si="7"/>
        <v>0.0725759076184562</v>
      </c>
      <c r="Q90" s="113">
        <v>44500</v>
      </c>
      <c r="R90" s="138">
        <v>171.4052</v>
      </c>
      <c r="S90" s="138">
        <v>31.7029</v>
      </c>
      <c r="T90" s="133">
        <f t="shared" si="3"/>
        <v>0.184958799382983</v>
      </c>
      <c r="U90" s="133">
        <f t="shared" si="11"/>
        <v>-0.139523489191659</v>
      </c>
      <c r="V90" s="133">
        <f t="shared" ref="V90:V109" si="12">R90/R89-1</f>
        <v>0.0835914213013449</v>
      </c>
      <c r="W90" s="133">
        <f t="shared" si="9"/>
        <v>1.38108077659694</v>
      </c>
      <c r="X90" s="133">
        <f t="shared" si="5"/>
        <v>-0.0494795102119138</v>
      </c>
    </row>
    <row r="91" spans="1:24">
      <c r="A91" s="6">
        <v>44530</v>
      </c>
      <c r="B91" s="139">
        <v>252.1591</v>
      </c>
      <c r="C91" s="139">
        <v>44.9858</v>
      </c>
      <c r="D91" s="137">
        <f t="shared" si="2"/>
        <v>0.17840244512294</v>
      </c>
      <c r="E91" s="137">
        <f t="shared" si="10"/>
        <v>-0.089568561696609</v>
      </c>
      <c r="F91" s="137">
        <f t="shared" si="6"/>
        <v>0.0809284632508303</v>
      </c>
      <c r="G91" s="137">
        <f t="shared" si="8"/>
        <v>1.24768290672169</v>
      </c>
      <c r="H91" s="137">
        <f t="shared" si="7"/>
        <v>0.173283466086621</v>
      </c>
      <c r="Q91" s="113">
        <v>44530</v>
      </c>
      <c r="R91" s="138">
        <v>181.6539</v>
      </c>
      <c r="S91" s="138">
        <v>37.8487</v>
      </c>
      <c r="T91" s="133">
        <f t="shared" si="3"/>
        <v>0.208356110163338</v>
      </c>
      <c r="U91" s="133">
        <f t="shared" si="11"/>
        <v>-0.12705760575279</v>
      </c>
      <c r="V91" s="133">
        <f t="shared" si="12"/>
        <v>0.0597922350080393</v>
      </c>
      <c r="W91" s="133">
        <f t="shared" si="9"/>
        <v>1.22167632263253</v>
      </c>
      <c r="X91" s="133">
        <f t="shared" si="5"/>
        <v>0.193856082566579</v>
      </c>
    </row>
    <row r="92" spans="1:24">
      <c r="A92" s="6">
        <v>44561</v>
      </c>
      <c r="B92" s="139">
        <v>278.5918</v>
      </c>
      <c r="C92" s="139">
        <v>53.0939</v>
      </c>
      <c r="D92" s="137">
        <f t="shared" si="2"/>
        <v>0.190579550439029</v>
      </c>
      <c r="E92" s="137">
        <f t="shared" si="10"/>
        <v>-0.0160095646968031</v>
      </c>
      <c r="F92" s="137">
        <f t="shared" si="6"/>
        <v>0.104825485179793</v>
      </c>
      <c r="G92" s="137">
        <f t="shared" si="8"/>
        <v>1.13940790825681</v>
      </c>
      <c r="H92" s="137">
        <f t="shared" si="7"/>
        <v>0.180236874747142</v>
      </c>
      <c r="Q92" s="113">
        <v>44561</v>
      </c>
      <c r="R92" s="138">
        <v>210.8069</v>
      </c>
      <c r="S92" s="138">
        <v>47.4887</v>
      </c>
      <c r="T92" s="133">
        <f t="shared" si="3"/>
        <v>0.225271089323926</v>
      </c>
      <c r="U92" s="133">
        <f t="shared" ref="U92:U102" si="13">R92/R80-1</f>
        <v>-0.078292711186703</v>
      </c>
      <c r="V92" s="133">
        <f t="shared" si="12"/>
        <v>0.160486507583928</v>
      </c>
      <c r="W92" s="133">
        <f t="shared" si="9"/>
        <v>1.28453841343147</v>
      </c>
      <c r="X92" s="133">
        <f t="shared" si="5"/>
        <v>0.254698311963159</v>
      </c>
    </row>
    <row r="93" spans="1:24">
      <c r="A93" s="6">
        <v>44562</v>
      </c>
      <c r="B93" s="139">
        <v>253.0584</v>
      </c>
      <c r="C93" s="139">
        <v>43.1436</v>
      </c>
      <c r="D93" s="137">
        <f t="shared" si="2"/>
        <v>0.170488709325594</v>
      </c>
      <c r="E93" s="137">
        <f t="shared" si="10"/>
        <v>0.0109525209654326</v>
      </c>
      <c r="F93" s="137">
        <f t="shared" si="6"/>
        <v>-0.0916516566532108</v>
      </c>
      <c r="G93" s="137">
        <f t="shared" si="8"/>
        <v>1.40788944947984</v>
      </c>
      <c r="H93" s="137">
        <f t="shared" si="7"/>
        <v>-0.187409476418195</v>
      </c>
      <c r="Q93" s="113">
        <v>44562</v>
      </c>
      <c r="R93" s="138">
        <v>207.7739</v>
      </c>
      <c r="S93" s="138">
        <v>35.2329</v>
      </c>
      <c r="T93" s="133">
        <f t="shared" si="3"/>
        <v>0.169573271715071</v>
      </c>
      <c r="U93" s="133">
        <f t="shared" si="13"/>
        <v>-0.0382618959451954</v>
      </c>
      <c r="V93" s="133">
        <f t="shared" si="12"/>
        <v>-0.0143875746002622</v>
      </c>
      <c r="W93" s="133">
        <f t="shared" si="9"/>
        <v>1.26741447216001</v>
      </c>
      <c r="X93" s="133">
        <f t="shared" si="5"/>
        <v>-0.258078237559672</v>
      </c>
    </row>
    <row r="94" spans="1:24">
      <c r="A94" s="6">
        <v>44593</v>
      </c>
      <c r="B94" s="139">
        <v>173.7299</v>
      </c>
      <c r="C94" s="139">
        <v>33.3731</v>
      </c>
      <c r="D94" s="137">
        <f t="shared" si="2"/>
        <v>0.192097618199285</v>
      </c>
      <c r="E94" s="137">
        <f t="shared" si="10"/>
        <v>0.194179155158832</v>
      </c>
      <c r="F94" s="137">
        <f t="shared" si="6"/>
        <v>-0.313479023023934</v>
      </c>
      <c r="G94" s="137">
        <f t="shared" si="8"/>
        <v>2.04404655490085</v>
      </c>
      <c r="H94" s="137">
        <f t="shared" si="7"/>
        <v>-0.226464643655142</v>
      </c>
      <c r="Q94" s="113">
        <v>44593</v>
      </c>
      <c r="R94" s="138">
        <v>125.7634</v>
      </c>
      <c r="S94" s="138">
        <v>27.2624</v>
      </c>
      <c r="T94" s="133">
        <f t="shared" si="3"/>
        <v>0.21677530982782</v>
      </c>
      <c r="U94" s="133">
        <f t="shared" si="13"/>
        <v>0.0663346331479</v>
      </c>
      <c r="V94" s="133">
        <f t="shared" si="12"/>
        <v>-0.394710307695047</v>
      </c>
      <c r="W94" s="133">
        <f t="shared" si="9"/>
        <v>1.80884822633656</v>
      </c>
      <c r="X94" s="133">
        <f t="shared" si="5"/>
        <v>-0.226223217504094</v>
      </c>
    </row>
    <row r="95" spans="1:24">
      <c r="A95" s="6">
        <v>44621</v>
      </c>
      <c r="B95" s="139">
        <v>223.3912</v>
      </c>
      <c r="C95" s="139">
        <v>48.4299</v>
      </c>
      <c r="D95" s="137">
        <f t="shared" si="2"/>
        <v>0.21679412617865</v>
      </c>
      <c r="E95" s="137">
        <f t="shared" si="10"/>
        <v>-0.115524424800975</v>
      </c>
      <c r="F95" s="137">
        <f t="shared" si="6"/>
        <v>0.285853500174696</v>
      </c>
      <c r="G95" s="137">
        <f t="shared" si="8"/>
        <v>1.14480449599426</v>
      </c>
      <c r="H95" s="137">
        <f t="shared" si="7"/>
        <v>0.451165759249216</v>
      </c>
      <c r="Q95" s="113">
        <v>44621</v>
      </c>
      <c r="R95" s="138">
        <v>157.9263</v>
      </c>
      <c r="S95" s="138">
        <v>44.4655</v>
      </c>
      <c r="T95" s="133">
        <f t="shared" si="3"/>
        <v>0.281558549779232</v>
      </c>
      <c r="U95" s="133">
        <f t="shared" si="13"/>
        <v>-0.0998483277579582</v>
      </c>
      <c r="V95" s="133">
        <f t="shared" si="12"/>
        <v>0.255741336509668</v>
      </c>
      <c r="W95" s="133">
        <f t="shared" si="9"/>
        <v>1.39928667012</v>
      </c>
      <c r="X95" s="133">
        <f t="shared" si="5"/>
        <v>0.631019279300428</v>
      </c>
    </row>
    <row r="96" spans="1:24">
      <c r="A96" s="6">
        <v>44652</v>
      </c>
      <c r="B96" s="139">
        <v>118.0903</v>
      </c>
      <c r="C96" s="139">
        <v>29.8868</v>
      </c>
      <c r="D96" s="137">
        <f t="shared" si="2"/>
        <v>0.253084292274641</v>
      </c>
      <c r="E96" s="137">
        <f t="shared" si="10"/>
        <v>-0.475571900068923</v>
      </c>
      <c r="F96" s="137">
        <f t="shared" si="6"/>
        <v>-0.471374431938232</v>
      </c>
      <c r="G96" s="137">
        <f t="shared" si="8"/>
        <v>0.44936616781277</v>
      </c>
      <c r="H96" s="137">
        <f t="shared" si="7"/>
        <v>-0.382885366271663</v>
      </c>
      <c r="Q96" s="113">
        <v>44652</v>
      </c>
      <c r="R96" s="138">
        <v>104.3874</v>
      </c>
      <c r="S96" s="138">
        <v>28.2487</v>
      </c>
      <c r="T96" s="133">
        <f t="shared" si="3"/>
        <v>0.270614077944273</v>
      </c>
      <c r="U96" s="133">
        <f t="shared" si="13"/>
        <v>-0.351414726526798</v>
      </c>
      <c r="V96" s="133">
        <f t="shared" si="12"/>
        <v>-0.33901193151489</v>
      </c>
      <c r="W96" s="133">
        <f t="shared" si="9"/>
        <v>0.750034073027791</v>
      </c>
      <c r="X96" s="133">
        <f t="shared" si="5"/>
        <v>-0.364705220901598</v>
      </c>
    </row>
    <row r="97" spans="1:24">
      <c r="A97" s="6">
        <v>44682</v>
      </c>
      <c r="B97" s="139">
        <v>186.1975</v>
      </c>
      <c r="C97" s="139">
        <v>44.7174</v>
      </c>
      <c r="D97" s="137">
        <f t="shared" si="2"/>
        <v>0.240161119241665</v>
      </c>
      <c r="E97" s="137">
        <f t="shared" si="10"/>
        <v>-0.124897014223199</v>
      </c>
      <c r="F97" s="137">
        <f t="shared" si="6"/>
        <v>0.576738309581735</v>
      </c>
      <c r="G97" s="137">
        <f t="shared" si="8"/>
        <v>1.05705059203445</v>
      </c>
      <c r="H97" s="137">
        <f t="shared" si="7"/>
        <v>0.496225758528849</v>
      </c>
      <c r="Q97" s="113">
        <v>44682</v>
      </c>
      <c r="R97" s="138">
        <v>135.4017</v>
      </c>
      <c r="S97" s="138">
        <v>35.9501</v>
      </c>
      <c r="T97" s="133">
        <f t="shared" si="3"/>
        <v>0.26550700618973</v>
      </c>
      <c r="U97" s="133">
        <f t="shared" si="13"/>
        <v>-0.167112426108299</v>
      </c>
      <c r="V97" s="133">
        <f t="shared" si="12"/>
        <v>0.297107696905949</v>
      </c>
      <c r="W97" s="133">
        <f t="shared" si="9"/>
        <v>0.919222063251404</v>
      </c>
      <c r="X97" s="133">
        <f t="shared" si="5"/>
        <v>0.27262847493867</v>
      </c>
    </row>
    <row r="98" spans="1:24">
      <c r="A98" s="6">
        <v>44713</v>
      </c>
      <c r="B98" s="139">
        <v>250.2293</v>
      </c>
      <c r="C98" s="139">
        <v>59.6439</v>
      </c>
      <c r="D98" s="137">
        <f t="shared" si="2"/>
        <v>0.238356978978881</v>
      </c>
      <c r="E98" s="137">
        <f t="shared" si="10"/>
        <v>0.241642348642317</v>
      </c>
      <c r="F98" s="137">
        <f t="shared" si="6"/>
        <v>0.343891835282429</v>
      </c>
      <c r="G98" s="137">
        <f t="shared" si="8"/>
        <v>1.33214465858837</v>
      </c>
      <c r="H98" s="137">
        <f t="shared" si="7"/>
        <v>0.333796240389647</v>
      </c>
      <c r="Q98" s="113">
        <v>44713</v>
      </c>
      <c r="R98" s="138">
        <v>194.3778</v>
      </c>
      <c r="S98" s="138">
        <v>53.1472</v>
      </c>
      <c r="T98" s="133">
        <f t="shared" si="3"/>
        <v>0.273422170638828</v>
      </c>
      <c r="U98" s="133">
        <f t="shared" si="13"/>
        <v>0.232277177382596</v>
      </c>
      <c r="V98" s="133">
        <f t="shared" si="12"/>
        <v>0.435563955253147</v>
      </c>
      <c r="W98" s="133">
        <f t="shared" si="9"/>
        <v>1.31443078986561</v>
      </c>
      <c r="X98" s="133">
        <f t="shared" si="5"/>
        <v>0.478360282725222</v>
      </c>
    </row>
    <row r="99" spans="1:24">
      <c r="A99" s="6">
        <v>44743</v>
      </c>
      <c r="B99" s="139">
        <v>242.0058</v>
      </c>
      <c r="C99" s="139">
        <v>59.2887</v>
      </c>
      <c r="D99" s="137">
        <f t="shared" si="2"/>
        <v>0.24498875646782</v>
      </c>
      <c r="E99" s="137">
        <f t="shared" ref="E99:E113" si="14">B99/B87-1</f>
        <v>0.298627887633817</v>
      </c>
      <c r="F99" s="137">
        <f t="shared" si="6"/>
        <v>-0.0328638572701119</v>
      </c>
      <c r="G99" s="137">
        <f t="shared" si="8"/>
        <v>1.1912032109278</v>
      </c>
      <c r="H99" s="137">
        <f t="shared" si="7"/>
        <v>-0.00595534497241135</v>
      </c>
      <c r="Q99" s="113">
        <v>44743</v>
      </c>
      <c r="R99" s="138">
        <v>181.784</v>
      </c>
      <c r="S99" s="138">
        <v>48.6044</v>
      </c>
      <c r="T99" s="133">
        <f t="shared" si="3"/>
        <v>0.267374466399683</v>
      </c>
      <c r="U99" s="133">
        <f t="shared" si="13"/>
        <v>0.209988005553921</v>
      </c>
      <c r="V99" s="133">
        <f t="shared" si="12"/>
        <v>-0.0647903207053481</v>
      </c>
      <c r="W99" s="133">
        <f t="shared" si="9"/>
        <v>1.18709192604159</v>
      </c>
      <c r="X99" s="133">
        <f t="shared" si="5"/>
        <v>-0.0854758105789204</v>
      </c>
    </row>
    <row r="100" spans="1:24">
      <c r="A100" s="6">
        <v>44774</v>
      </c>
      <c r="B100" s="139">
        <v>238.3354</v>
      </c>
      <c r="C100" s="139">
        <v>66.6191</v>
      </c>
      <c r="D100" s="137">
        <f t="shared" si="2"/>
        <v>0.279518275505863</v>
      </c>
      <c r="E100" s="137">
        <f t="shared" si="14"/>
        <v>0.324938668842883</v>
      </c>
      <c r="F100" s="137">
        <f t="shared" si="6"/>
        <v>-0.0151665786522471</v>
      </c>
      <c r="G100" s="137">
        <f t="shared" si="8"/>
        <v>1.07552948213874</v>
      </c>
      <c r="H100" s="137">
        <f t="shared" si="7"/>
        <v>0.123639074562269</v>
      </c>
      <c r="Q100" s="113">
        <v>44774</v>
      </c>
      <c r="R100" s="138">
        <v>187.3681</v>
      </c>
      <c r="S100" s="138">
        <v>52.9565</v>
      </c>
      <c r="T100" s="133">
        <f t="shared" si="3"/>
        <v>0.282633489905699</v>
      </c>
      <c r="U100" s="133">
        <f t="shared" si="13"/>
        <v>0.290818403838668</v>
      </c>
      <c r="V100" s="133">
        <f t="shared" si="12"/>
        <v>0.0307183250451084</v>
      </c>
      <c r="W100" s="133">
        <f t="shared" si="9"/>
        <v>1.12175665496739</v>
      </c>
      <c r="X100" s="133">
        <f t="shared" si="5"/>
        <v>0.0895412760984602</v>
      </c>
    </row>
    <row r="101" spans="1:24">
      <c r="A101" s="6">
        <v>44805</v>
      </c>
      <c r="B101" s="139">
        <v>261.0325</v>
      </c>
      <c r="C101" s="139">
        <v>70.7529</v>
      </c>
      <c r="D101" s="137">
        <f t="shared" si="2"/>
        <v>0.271050156589697</v>
      </c>
      <c r="E101" s="137">
        <f t="shared" si="14"/>
        <v>0.262796315028937</v>
      </c>
      <c r="F101" s="137">
        <f t="shared" si="6"/>
        <v>0.0952317616266825</v>
      </c>
      <c r="G101" s="137">
        <f t="shared" si="8"/>
        <v>0.979246043068867</v>
      </c>
      <c r="H101" s="137">
        <f t="shared" si="7"/>
        <v>0.0620512735837018</v>
      </c>
      <c r="Q101" s="113">
        <v>44805</v>
      </c>
      <c r="R101" s="138">
        <v>192.2738</v>
      </c>
      <c r="S101" s="138">
        <v>61.0853</v>
      </c>
      <c r="T101" s="133">
        <f t="shared" si="3"/>
        <v>0.317699551368933</v>
      </c>
      <c r="U101" s="133">
        <f t="shared" si="13"/>
        <v>0.215518783683404</v>
      </c>
      <c r="V101" s="133">
        <f t="shared" si="12"/>
        <v>0.0261821516042484</v>
      </c>
      <c r="W101" s="133">
        <f t="shared" si="9"/>
        <v>0.83146744540254</v>
      </c>
      <c r="X101" s="133">
        <f t="shared" si="5"/>
        <v>0.153499570402122</v>
      </c>
    </row>
    <row r="102" spans="1:24">
      <c r="A102" s="6">
        <v>44835</v>
      </c>
      <c r="B102" s="139">
        <v>250.4683</v>
      </c>
      <c r="C102" s="139">
        <v>71.3601</v>
      </c>
      <c r="D102" s="137">
        <f t="shared" si="2"/>
        <v>0.284906712745685</v>
      </c>
      <c r="E102" s="137">
        <f t="shared" si="14"/>
        <v>0.0736805239709688</v>
      </c>
      <c r="F102" s="137">
        <f t="shared" si="6"/>
        <v>-0.0404708225987187</v>
      </c>
      <c r="G102" s="137">
        <f t="shared" si="8"/>
        <v>0.861156753204075</v>
      </c>
      <c r="H102" s="137">
        <f t="shared" si="7"/>
        <v>0.00858198038525648</v>
      </c>
      <c r="Q102" s="113">
        <v>44835</v>
      </c>
      <c r="R102" s="138">
        <v>184.2762</v>
      </c>
      <c r="S102" s="138">
        <v>55.4664</v>
      </c>
      <c r="T102" s="133">
        <f t="shared" si="3"/>
        <v>0.300996004910021</v>
      </c>
      <c r="U102" s="133">
        <f t="shared" si="13"/>
        <v>0.075091070749312</v>
      </c>
      <c r="V102" s="133">
        <f t="shared" si="12"/>
        <v>-0.0415948506764833</v>
      </c>
      <c r="W102" s="133">
        <f t="shared" si="9"/>
        <v>0.74956865144829</v>
      </c>
      <c r="X102" s="133">
        <f t="shared" si="5"/>
        <v>-0.0919844872661671</v>
      </c>
    </row>
    <row r="103" spans="1:24">
      <c r="A103" s="6">
        <v>44866</v>
      </c>
      <c r="B103" s="139">
        <v>232.7721</v>
      </c>
      <c r="C103" s="139">
        <v>78.6285</v>
      </c>
      <c r="D103" s="137">
        <f t="shared" si="2"/>
        <v>0.337791771436525</v>
      </c>
      <c r="E103" s="137">
        <f t="shared" si="14"/>
        <v>-0.0768839990307707</v>
      </c>
      <c r="F103" s="137">
        <f t="shared" si="6"/>
        <v>-0.0706524538234978</v>
      </c>
      <c r="G103" s="137">
        <f t="shared" si="8"/>
        <v>0.747851544265079</v>
      </c>
      <c r="H103" s="137">
        <f t="shared" si="7"/>
        <v>0.101855238431561</v>
      </c>
      <c r="Q103" s="113">
        <v>44866</v>
      </c>
      <c r="R103" s="138">
        <v>165.2847</v>
      </c>
      <c r="S103" s="138">
        <v>59.8103</v>
      </c>
      <c r="T103" s="133">
        <f t="shared" si="3"/>
        <v>0.361862289734017</v>
      </c>
      <c r="U103" s="133">
        <f t="shared" ref="U103:U109" si="15">R103/R91-1</f>
        <v>-0.0901120207163183</v>
      </c>
      <c r="V103" s="133">
        <f t="shared" si="12"/>
        <v>-0.103059971933435</v>
      </c>
      <c r="W103" s="133">
        <f t="shared" si="9"/>
        <v>0.580247141909762</v>
      </c>
      <c r="X103" s="133">
        <f t="shared" si="5"/>
        <v>0.0783158813263525</v>
      </c>
    </row>
    <row r="104" spans="1:24">
      <c r="A104" s="6">
        <v>44896</v>
      </c>
      <c r="B104" s="139">
        <v>255.6244</v>
      </c>
      <c r="C104" s="139">
        <v>81.3842</v>
      </c>
      <c r="D104" s="137">
        <f t="shared" si="2"/>
        <v>0.318374145817066</v>
      </c>
      <c r="E104" s="137">
        <f t="shared" si="14"/>
        <v>-0.0824410481571962</v>
      </c>
      <c r="F104" s="137">
        <f t="shared" si="6"/>
        <v>0.0981745664536258</v>
      </c>
      <c r="G104" s="137">
        <f t="shared" si="8"/>
        <v>0.532835222125329</v>
      </c>
      <c r="H104" s="137">
        <f t="shared" si="7"/>
        <v>0.0350470885238814</v>
      </c>
      <c r="Q104" s="113">
        <v>44896</v>
      </c>
      <c r="R104" s="138">
        <v>217</v>
      </c>
      <c r="S104" s="138">
        <v>64.006</v>
      </c>
      <c r="T104" s="133">
        <f t="shared" si="3"/>
        <v>0.294958525345622</v>
      </c>
      <c r="U104" s="133">
        <f t="shared" si="15"/>
        <v>0.0293780706419002</v>
      </c>
      <c r="V104" s="133">
        <f t="shared" si="12"/>
        <v>0.312886189707819</v>
      </c>
      <c r="W104" s="133">
        <f t="shared" si="9"/>
        <v>0.347815375026059</v>
      </c>
      <c r="X104" s="133">
        <f t="shared" si="5"/>
        <v>0.070150124644083</v>
      </c>
    </row>
    <row r="105" spans="1:24">
      <c r="A105" s="6">
        <v>44927</v>
      </c>
      <c r="B105" s="139">
        <v>164.8966</v>
      </c>
      <c r="C105" s="139">
        <v>40.7845</v>
      </c>
      <c r="D105" s="137">
        <f t="shared" si="2"/>
        <v>0.247333783716584</v>
      </c>
      <c r="E105" s="137">
        <f t="shared" si="14"/>
        <v>-0.348385194879917</v>
      </c>
      <c r="F105" s="137">
        <f t="shared" si="6"/>
        <v>-0.354926212051745</v>
      </c>
      <c r="G105" s="137">
        <f t="shared" si="8"/>
        <v>-0.0546801843147071</v>
      </c>
      <c r="H105" s="137">
        <f t="shared" si="7"/>
        <v>-0.498864644488734</v>
      </c>
      <c r="Q105" s="113">
        <v>44927</v>
      </c>
      <c r="R105" s="138">
        <v>129.3</v>
      </c>
      <c r="S105" s="138">
        <v>33.2</v>
      </c>
      <c r="T105" s="133">
        <f t="shared" si="3"/>
        <v>0.25676720804331</v>
      </c>
      <c r="U105" s="133">
        <f t="shared" si="15"/>
        <v>-0.377688920504452</v>
      </c>
      <c r="V105" s="133">
        <f t="shared" si="12"/>
        <v>-0.404147465437788</v>
      </c>
      <c r="W105" s="133">
        <f t="shared" si="9"/>
        <v>-0.0576989120963645</v>
      </c>
      <c r="X105" s="133">
        <f t="shared" si="5"/>
        <v>-0.481298628253601</v>
      </c>
    </row>
    <row r="106" spans="1:24">
      <c r="A106" s="6">
        <v>44958</v>
      </c>
      <c r="B106" s="139">
        <v>197.6173</v>
      </c>
      <c r="C106" s="139">
        <v>52.4897</v>
      </c>
      <c r="D106" s="137">
        <f t="shared" si="2"/>
        <v>0.265612879034376</v>
      </c>
      <c r="E106" s="137">
        <f t="shared" si="14"/>
        <v>0.137497345016603</v>
      </c>
      <c r="F106" s="137">
        <f t="shared" si="6"/>
        <v>0.198431623211152</v>
      </c>
      <c r="G106" s="137">
        <f t="shared" si="8"/>
        <v>0.572814632143852</v>
      </c>
      <c r="H106" s="137">
        <f t="shared" si="7"/>
        <v>0.287001189177261</v>
      </c>
      <c r="Q106" s="113">
        <v>44958</v>
      </c>
      <c r="R106" s="138">
        <v>138.5101</v>
      </c>
      <c r="S106" s="138">
        <v>43.9068</v>
      </c>
      <c r="T106" s="133">
        <f t="shared" si="3"/>
        <v>0.316993490005422</v>
      </c>
      <c r="U106" s="133">
        <f t="shared" si="15"/>
        <v>0.101354607143255</v>
      </c>
      <c r="V106" s="133">
        <f t="shared" si="12"/>
        <v>0.0712304717710748</v>
      </c>
      <c r="W106" s="133">
        <f t="shared" si="9"/>
        <v>0.61052585245613</v>
      </c>
      <c r="X106" s="133">
        <f t="shared" si="5"/>
        <v>0.322493975903614</v>
      </c>
    </row>
    <row r="107" spans="1:24">
      <c r="A107" s="6">
        <v>44986</v>
      </c>
      <c r="B107" s="139">
        <v>245.103</v>
      </c>
      <c r="C107" s="139">
        <v>65.2699</v>
      </c>
      <c r="D107" s="137">
        <f t="shared" si="2"/>
        <v>0.266295802172964</v>
      </c>
      <c r="E107" s="137">
        <f t="shared" si="14"/>
        <v>0.0971918320864922</v>
      </c>
      <c r="F107" s="137">
        <f t="shared" si="6"/>
        <v>0.240291209322261</v>
      </c>
      <c r="G107" s="137">
        <f t="shared" si="8"/>
        <v>0.347719074373476</v>
      </c>
      <c r="H107" s="137">
        <f t="shared" si="7"/>
        <v>0.243480149438842</v>
      </c>
      <c r="Q107" s="113">
        <v>44986</v>
      </c>
      <c r="R107" s="138">
        <v>159.0757</v>
      </c>
      <c r="S107" s="138">
        <v>54.5739</v>
      </c>
      <c r="T107" s="133">
        <f t="shared" si="3"/>
        <v>0.343068740228709</v>
      </c>
      <c r="U107" s="133">
        <f t="shared" si="15"/>
        <v>0.00727807844545225</v>
      </c>
      <c r="V107" s="133">
        <f t="shared" si="12"/>
        <v>0.148477259059087</v>
      </c>
      <c r="W107" s="133">
        <f t="shared" si="9"/>
        <v>0.227331301795774</v>
      </c>
      <c r="X107" s="133">
        <f t="shared" si="5"/>
        <v>0.242948700429091</v>
      </c>
    </row>
    <row r="108" spans="1:24">
      <c r="A108" s="6">
        <v>45017</v>
      </c>
      <c r="B108" s="125">
        <v>215.8704</v>
      </c>
      <c r="C108" s="125">
        <v>63.6463</v>
      </c>
      <c r="D108" s="137">
        <f t="shared" si="2"/>
        <v>0.294835697714925</v>
      </c>
      <c r="E108" s="137">
        <f t="shared" si="14"/>
        <v>0.828011276116666</v>
      </c>
      <c r="F108" s="137">
        <f t="shared" si="6"/>
        <v>-0.119266594044137</v>
      </c>
      <c r="G108" s="137">
        <f t="shared" si="8"/>
        <v>1.12957894455077</v>
      </c>
      <c r="H108" s="137">
        <f t="shared" si="7"/>
        <v>-0.0248751721697139</v>
      </c>
      <c r="Q108" s="113">
        <v>45017</v>
      </c>
      <c r="R108" s="138">
        <v>162.4</v>
      </c>
      <c r="S108" s="138">
        <v>52.473</v>
      </c>
      <c r="T108" s="133">
        <f t="shared" ref="T108:T113" si="16">S108/R108</f>
        <v>0.32310960591133</v>
      </c>
      <c r="U108" s="133">
        <f t="shared" si="15"/>
        <v>0.555743317680103</v>
      </c>
      <c r="V108" s="133">
        <f t="shared" si="12"/>
        <v>0.0208975978103507</v>
      </c>
      <c r="W108" s="133">
        <f t="shared" ref="W108:W113" si="17">S108/S96-1</f>
        <v>0.857536807003508</v>
      </c>
      <c r="X108" s="133">
        <f t="shared" ref="X108:X113" si="18">S108/S107-1</f>
        <v>-0.0384964241148241</v>
      </c>
    </row>
    <row r="109" spans="1:24">
      <c r="A109" s="6">
        <v>45047</v>
      </c>
      <c r="B109" s="125">
        <v>238.2</v>
      </c>
      <c r="C109" s="125">
        <v>71.7</v>
      </c>
      <c r="D109" s="137">
        <f t="shared" si="2"/>
        <v>0.301007556675063</v>
      </c>
      <c r="E109" s="137">
        <f t="shared" si="14"/>
        <v>0.279286778823561</v>
      </c>
      <c r="F109" s="137">
        <f t="shared" si="6"/>
        <v>0.103439841682788</v>
      </c>
      <c r="G109" s="137">
        <f t="shared" si="8"/>
        <v>0.603402702303801</v>
      </c>
      <c r="H109" s="137">
        <f t="shared" si="7"/>
        <v>0.126538384792203</v>
      </c>
      <c r="Q109" s="113">
        <v>45047</v>
      </c>
      <c r="R109" s="138">
        <v>174.2063</v>
      </c>
      <c r="S109" s="138">
        <v>57.9938</v>
      </c>
      <c r="T109" s="133">
        <f t="shared" si="16"/>
        <v>0.33290300063775</v>
      </c>
      <c r="U109" s="133">
        <f t="shared" si="15"/>
        <v>0.286588720821083</v>
      </c>
      <c r="V109" s="133">
        <f t="shared" si="12"/>
        <v>0.0726988916256157</v>
      </c>
      <c r="W109" s="133">
        <f t="shared" si="17"/>
        <v>0.613174928581562</v>
      </c>
      <c r="X109" s="133">
        <f t="shared" si="18"/>
        <v>0.105212204371772</v>
      </c>
    </row>
    <row r="110" spans="1:24">
      <c r="A110" s="6">
        <v>45078</v>
      </c>
      <c r="B110" s="125">
        <v>262.2</v>
      </c>
      <c r="C110" s="125">
        <v>80.6</v>
      </c>
      <c r="D110" s="137">
        <f t="shared" si="2"/>
        <v>0.307398932112891</v>
      </c>
      <c r="E110" s="137">
        <f t="shared" si="14"/>
        <v>0.0478389221406126</v>
      </c>
      <c r="F110" s="137">
        <f t="shared" si="6"/>
        <v>0.100755667506297</v>
      </c>
      <c r="G110" s="137">
        <f>C110/C98</f>
        <v>1.35135361705053</v>
      </c>
      <c r="H110" s="137">
        <f t="shared" si="7"/>
        <v>0.124128312412831</v>
      </c>
      <c r="Q110" s="113">
        <v>45078</v>
      </c>
      <c r="R110" s="138">
        <v>189.3732</v>
      </c>
      <c r="S110" s="138">
        <v>66.5427</v>
      </c>
      <c r="T110" s="133">
        <f t="shared" si="16"/>
        <v>0.351383933946303</v>
      </c>
      <c r="U110" s="133">
        <f t="shared" ref="U110:U124" si="19">R110/R98-1</f>
        <v>-0.0257467673777562</v>
      </c>
      <c r="V110" s="133">
        <f t="shared" ref="V110:V124" si="20">R110/R109-1</f>
        <v>0.0870628674163907</v>
      </c>
      <c r="W110" s="133">
        <f t="shared" si="17"/>
        <v>0.252045262967757</v>
      </c>
      <c r="X110" s="133">
        <f t="shared" si="18"/>
        <v>0.14741058526946</v>
      </c>
    </row>
    <row r="111" spans="1:24">
      <c r="A111" s="6">
        <v>45108</v>
      </c>
      <c r="B111" s="125">
        <v>238.7</v>
      </c>
      <c r="C111" s="125">
        <v>78</v>
      </c>
      <c r="D111" s="137">
        <f t="shared" si="2"/>
        <v>0.326770004189359</v>
      </c>
      <c r="E111" s="137">
        <f t="shared" si="14"/>
        <v>-0.0136600031900063</v>
      </c>
      <c r="F111" s="137">
        <f t="shared" si="6"/>
        <v>-0.089626239511823</v>
      </c>
      <c r="G111" s="137">
        <f t="shared" ref="G111:G124" si="21">C111/C99-1</f>
        <v>0.315596395265877</v>
      </c>
      <c r="H111" s="137">
        <f t="shared" si="7"/>
        <v>-0.032258064516129</v>
      </c>
      <c r="Q111" s="113">
        <v>45108</v>
      </c>
      <c r="R111" s="138">
        <v>176.7958</v>
      </c>
      <c r="S111" s="138">
        <v>64.1005</v>
      </c>
      <c r="T111" s="133">
        <f t="shared" si="16"/>
        <v>0.362568002181047</v>
      </c>
      <c r="U111" s="133">
        <f t="shared" si="19"/>
        <v>-0.0274402587686484</v>
      </c>
      <c r="V111" s="133">
        <f t="shared" si="20"/>
        <v>-0.0664159448116206</v>
      </c>
      <c r="W111" s="133">
        <f t="shared" si="17"/>
        <v>0.318820929792365</v>
      </c>
      <c r="X111" s="133">
        <f t="shared" si="18"/>
        <v>-0.0367012459668754</v>
      </c>
    </row>
    <row r="112" spans="1:24">
      <c r="A112" s="6">
        <v>45139</v>
      </c>
      <c r="B112" s="125">
        <v>258.2</v>
      </c>
      <c r="C112" s="125">
        <v>84.6</v>
      </c>
      <c r="D112" s="137">
        <f t="shared" si="2"/>
        <v>0.327652982184353</v>
      </c>
      <c r="E112" s="137">
        <f t="shared" si="14"/>
        <v>0.0833472492965794</v>
      </c>
      <c r="F112" s="137">
        <f t="shared" si="6"/>
        <v>0.0816925010473397</v>
      </c>
      <c r="G112" s="137">
        <f t="shared" si="21"/>
        <v>0.269906077986643</v>
      </c>
      <c r="H112" s="137">
        <f t="shared" si="7"/>
        <v>0.0846153846153845</v>
      </c>
      <c r="Q112" s="113">
        <v>45139</v>
      </c>
      <c r="R112" s="138">
        <v>192.3007</v>
      </c>
      <c r="S112" s="138">
        <v>71.6335</v>
      </c>
      <c r="T112" s="133">
        <f t="shared" si="16"/>
        <v>0.372507744381586</v>
      </c>
      <c r="U112" s="133">
        <f t="shared" si="19"/>
        <v>0.0263257192659796</v>
      </c>
      <c r="V112" s="133">
        <f t="shared" si="20"/>
        <v>0.0876994815487697</v>
      </c>
      <c r="W112" s="133">
        <f t="shared" si="17"/>
        <v>0.352685694862765</v>
      </c>
      <c r="X112" s="133">
        <f t="shared" si="18"/>
        <v>0.117518584098408</v>
      </c>
    </row>
    <row r="113" spans="1:24">
      <c r="A113" s="6">
        <v>45170</v>
      </c>
      <c r="B113" s="125">
        <v>286</v>
      </c>
      <c r="C113" s="125">
        <v>90.4</v>
      </c>
      <c r="D113" s="137">
        <f t="shared" si="2"/>
        <v>0.316083916083916</v>
      </c>
      <c r="E113" s="137">
        <f t="shared" si="14"/>
        <v>0.0956490092229894</v>
      </c>
      <c r="F113" s="137">
        <f t="shared" si="6"/>
        <v>0.107668474051123</v>
      </c>
      <c r="G113" s="137">
        <f t="shared" si="21"/>
        <v>0.277686144313519</v>
      </c>
      <c r="H113" s="137">
        <f t="shared" si="7"/>
        <v>0.0685579196217496</v>
      </c>
      <c r="Q113" s="113">
        <v>45170</v>
      </c>
      <c r="R113" s="138">
        <v>201.8</v>
      </c>
      <c r="S113" s="138">
        <v>74.6</v>
      </c>
      <c r="T113" s="133">
        <f t="shared" si="16"/>
        <v>0.369672943508424</v>
      </c>
      <c r="U113" s="133">
        <f t="shared" si="19"/>
        <v>0.0495449718058312</v>
      </c>
      <c r="V113" s="133">
        <f t="shared" si="20"/>
        <v>0.0493981561169565</v>
      </c>
      <c r="W113" s="133">
        <f t="shared" si="17"/>
        <v>0.221243081396015</v>
      </c>
      <c r="X113" s="133">
        <f t="shared" si="18"/>
        <v>0.0414121884313903</v>
      </c>
    </row>
    <row r="114" spans="1:24">
      <c r="A114" s="6">
        <v>45200</v>
      </c>
      <c r="B114" s="125">
        <v>285.3</v>
      </c>
      <c r="C114" s="125">
        <v>95.6</v>
      </c>
      <c r="D114" s="137">
        <f t="shared" si="2"/>
        <v>0.335085874518051</v>
      </c>
      <c r="E114" s="137">
        <v>0.138</v>
      </c>
      <c r="F114" s="137">
        <v>-0.002</v>
      </c>
      <c r="G114" s="137">
        <f t="shared" si="21"/>
        <v>0.339684221294533</v>
      </c>
      <c r="H114" s="137">
        <f t="shared" si="7"/>
        <v>0.0575221238938053</v>
      </c>
      <c r="Q114" s="113">
        <v>45200</v>
      </c>
      <c r="R114" s="138">
        <v>203.3</v>
      </c>
      <c r="S114" s="138">
        <v>76.7</v>
      </c>
      <c r="T114" s="133">
        <v>0.378</v>
      </c>
      <c r="U114" s="133">
        <f t="shared" si="19"/>
        <v>0.103235252300623</v>
      </c>
      <c r="V114" s="133">
        <f t="shared" si="20"/>
        <v>0.00743310208126857</v>
      </c>
      <c r="W114" s="133">
        <f t="shared" ref="W114:W124" si="22">S114/S102-1</f>
        <v>0.382819148168982</v>
      </c>
      <c r="X114" s="133">
        <f t="shared" ref="X114:X124" si="23">S114/S113-1</f>
        <v>0.0281501340482575</v>
      </c>
    </row>
    <row r="115" spans="1:24">
      <c r="A115" s="6">
        <v>45231</v>
      </c>
      <c r="B115" s="125">
        <v>297</v>
      </c>
      <c r="C115" s="125">
        <v>102.6</v>
      </c>
      <c r="D115" s="137">
        <f t="shared" si="2"/>
        <v>0.345454545454545</v>
      </c>
      <c r="E115" s="137">
        <v>0.274</v>
      </c>
      <c r="F115" s="137">
        <v>0.041</v>
      </c>
      <c r="G115" s="137">
        <f t="shared" si="21"/>
        <v>0.304870371430207</v>
      </c>
      <c r="H115" s="137">
        <f t="shared" si="7"/>
        <v>0.0732217573221758</v>
      </c>
      <c r="Q115" s="113">
        <v>45231</v>
      </c>
      <c r="R115" s="138">
        <v>264.4</v>
      </c>
      <c r="S115" s="138">
        <v>84.1</v>
      </c>
      <c r="T115" s="133">
        <f t="shared" ref="T115:T124" si="24">S115/R115</f>
        <v>0.318078668683812</v>
      </c>
      <c r="U115" s="133">
        <f t="shared" si="19"/>
        <v>0.599664094740771</v>
      </c>
      <c r="V115" s="133">
        <f t="shared" si="20"/>
        <v>0.300541072306935</v>
      </c>
      <c r="W115" s="133">
        <f t="shared" si="22"/>
        <v>0.406112325134634</v>
      </c>
      <c r="X115" s="133">
        <f t="shared" si="23"/>
        <v>0.0964797913950455</v>
      </c>
    </row>
    <row r="116" spans="1:24">
      <c r="A116" s="6">
        <v>45261</v>
      </c>
      <c r="B116" s="125">
        <v>315.6</v>
      </c>
      <c r="C116" s="125">
        <v>119.1</v>
      </c>
      <c r="D116" s="137">
        <f t="shared" si="2"/>
        <v>0.377376425855513</v>
      </c>
      <c r="E116" s="137">
        <f t="shared" ref="E116:E122" si="25">(B116-B104)/B104</f>
        <v>0.234623924789652</v>
      </c>
      <c r="F116" s="137">
        <f t="shared" ref="F116:F122" si="26">(B116-B115)/B115</f>
        <v>0.0626262626262627</v>
      </c>
      <c r="G116" s="137">
        <f t="shared" si="21"/>
        <v>0.46342901939197</v>
      </c>
      <c r="H116" s="137">
        <f t="shared" si="7"/>
        <v>0.160818713450292</v>
      </c>
      <c r="Q116" s="113">
        <v>45261</v>
      </c>
      <c r="R116" s="138">
        <v>236.4</v>
      </c>
      <c r="S116" s="138">
        <v>94.7</v>
      </c>
      <c r="T116" s="133">
        <f t="shared" si="24"/>
        <v>0.400592216582064</v>
      </c>
      <c r="U116" s="133">
        <f t="shared" si="19"/>
        <v>0.0894009216589862</v>
      </c>
      <c r="V116" s="133">
        <f t="shared" si="20"/>
        <v>-0.10590015128593</v>
      </c>
      <c r="W116" s="133">
        <f t="shared" si="22"/>
        <v>0.479548792300722</v>
      </c>
      <c r="X116" s="133">
        <f t="shared" si="23"/>
        <v>0.126040428061831</v>
      </c>
    </row>
    <row r="117" spans="1:24">
      <c r="A117" s="6">
        <v>45292</v>
      </c>
      <c r="B117" s="125">
        <v>243.9</v>
      </c>
      <c r="C117" s="125">
        <v>72.9</v>
      </c>
      <c r="D117" s="137">
        <f t="shared" si="2"/>
        <v>0.298892988929889</v>
      </c>
      <c r="E117" s="137">
        <f t="shared" si="25"/>
        <v>0.479108726316977</v>
      </c>
      <c r="F117" s="137">
        <f t="shared" si="26"/>
        <v>-0.227186311787072</v>
      </c>
      <c r="G117" s="137">
        <f t="shared" si="21"/>
        <v>0.787443759271292</v>
      </c>
      <c r="H117" s="137">
        <f t="shared" si="7"/>
        <v>-0.387909319899244</v>
      </c>
      <c r="Q117" s="113">
        <v>45292</v>
      </c>
      <c r="R117" s="138">
        <v>203.5</v>
      </c>
      <c r="S117" s="138">
        <v>66.8</v>
      </c>
      <c r="T117" s="133">
        <f t="shared" si="24"/>
        <v>0.328255528255528</v>
      </c>
      <c r="U117" s="133">
        <f t="shared" si="19"/>
        <v>0.573859242072699</v>
      </c>
      <c r="V117" s="133">
        <f t="shared" si="20"/>
        <v>-0.13917089678511</v>
      </c>
      <c r="W117" s="133">
        <f t="shared" si="22"/>
        <v>1.01204819277108</v>
      </c>
      <c r="X117" s="133">
        <f t="shared" si="23"/>
        <v>-0.294614572333685</v>
      </c>
    </row>
    <row r="118" spans="1:24">
      <c r="A118" s="6">
        <v>45323</v>
      </c>
      <c r="B118" s="125">
        <v>158.4</v>
      </c>
      <c r="C118" s="125">
        <v>47.7</v>
      </c>
      <c r="D118" s="137">
        <f t="shared" si="2"/>
        <v>0.301136363636364</v>
      </c>
      <c r="E118" s="137">
        <f t="shared" si="25"/>
        <v>-0.198450742925847</v>
      </c>
      <c r="F118" s="137">
        <f t="shared" si="26"/>
        <v>-0.350553505535055</v>
      </c>
      <c r="G118" s="137">
        <f t="shared" si="21"/>
        <v>-0.0912502833889315</v>
      </c>
      <c r="H118" s="137">
        <f t="shared" si="7"/>
        <v>-0.345679012345679</v>
      </c>
      <c r="Q118" s="113">
        <v>45323</v>
      </c>
      <c r="R118" s="138">
        <v>109.5</v>
      </c>
      <c r="S118" s="138">
        <v>38.8</v>
      </c>
      <c r="T118" s="133">
        <f t="shared" si="24"/>
        <v>0.354337899543379</v>
      </c>
      <c r="U118" s="133">
        <f t="shared" si="19"/>
        <v>-0.20944393224754</v>
      </c>
      <c r="V118" s="133">
        <f t="shared" si="20"/>
        <v>-0.461916461916462</v>
      </c>
      <c r="W118" s="133">
        <f t="shared" si="22"/>
        <v>-0.116310002095347</v>
      </c>
      <c r="X118" s="133">
        <f t="shared" si="23"/>
        <v>-0.419161676646707</v>
      </c>
    </row>
    <row r="119" spans="1:24">
      <c r="A119" s="6">
        <v>45352</v>
      </c>
      <c r="B119" s="125">
        <v>269.4</v>
      </c>
      <c r="C119" s="125">
        <v>88.3</v>
      </c>
      <c r="D119" s="137">
        <f t="shared" si="2"/>
        <v>0.327765404602821</v>
      </c>
      <c r="E119" s="137">
        <f t="shared" si="25"/>
        <v>0.0991297536137867</v>
      </c>
      <c r="F119" s="137">
        <f t="shared" si="26"/>
        <v>0.700757575757576</v>
      </c>
      <c r="G119" s="137">
        <f t="shared" si="21"/>
        <v>0.352844113442797</v>
      </c>
      <c r="H119" s="137">
        <f t="shared" si="7"/>
        <v>0.851153039832285</v>
      </c>
      <c r="Q119" s="113">
        <v>45352</v>
      </c>
      <c r="R119" s="138">
        <v>168.7</v>
      </c>
      <c r="S119" s="138">
        <v>70.9</v>
      </c>
      <c r="T119" s="133">
        <f t="shared" si="24"/>
        <v>0.420272673384707</v>
      </c>
      <c r="U119" s="133">
        <f t="shared" si="19"/>
        <v>0.0605013839323039</v>
      </c>
      <c r="V119" s="133">
        <f t="shared" si="20"/>
        <v>0.540639269406393</v>
      </c>
      <c r="W119" s="133">
        <f t="shared" si="22"/>
        <v>0.299155823571341</v>
      </c>
      <c r="X119" s="133">
        <f t="shared" si="23"/>
        <v>0.827319587628866</v>
      </c>
    </row>
    <row r="120" spans="1:24">
      <c r="A120" s="6">
        <v>45383</v>
      </c>
      <c r="B120" s="125">
        <v>235.9</v>
      </c>
      <c r="C120" s="125">
        <v>85</v>
      </c>
      <c r="D120" s="137">
        <f t="shared" si="2"/>
        <v>0.360322170411191</v>
      </c>
      <c r="E120" s="137">
        <f t="shared" si="25"/>
        <v>0.0927853008101158</v>
      </c>
      <c r="F120" s="137">
        <f t="shared" si="26"/>
        <v>-0.124350408314773</v>
      </c>
      <c r="G120" s="137">
        <f t="shared" si="21"/>
        <v>0.335505756029808</v>
      </c>
      <c r="H120" s="137">
        <f t="shared" si="7"/>
        <v>-0.0373725934314836</v>
      </c>
      <c r="Q120" s="113">
        <v>45383</v>
      </c>
      <c r="R120" s="138">
        <v>153.2</v>
      </c>
      <c r="S120" s="138">
        <v>67.4</v>
      </c>
      <c r="T120" s="133">
        <f t="shared" si="24"/>
        <v>0.439947780678851</v>
      </c>
      <c r="U120" s="133">
        <f t="shared" si="19"/>
        <v>-0.0566502463054188</v>
      </c>
      <c r="V120" s="133">
        <f t="shared" si="20"/>
        <v>-0.0918790752815649</v>
      </c>
      <c r="W120" s="133">
        <f t="shared" si="22"/>
        <v>0.28447010843672</v>
      </c>
      <c r="X120" s="133">
        <f t="shared" si="23"/>
        <v>-0.0493653032440057</v>
      </c>
    </row>
    <row r="121" spans="1:24">
      <c r="A121" s="6">
        <v>45414</v>
      </c>
      <c r="B121" s="125">
        <v>241.7</v>
      </c>
      <c r="C121" s="125">
        <v>95.5</v>
      </c>
      <c r="D121" s="137">
        <f t="shared" si="2"/>
        <v>0.395117914770376</v>
      </c>
      <c r="E121" s="137">
        <f t="shared" si="25"/>
        <v>0.0146935348446683</v>
      </c>
      <c r="F121" s="137">
        <f t="shared" si="26"/>
        <v>0.0245866892751165</v>
      </c>
      <c r="G121" s="137">
        <f t="shared" si="21"/>
        <v>0.331938633193863</v>
      </c>
      <c r="H121" s="137">
        <f t="shared" si="7"/>
        <v>0.123529411764706</v>
      </c>
      <c r="Q121" s="113">
        <v>45413</v>
      </c>
      <c r="R121" s="138">
        <v>171</v>
      </c>
      <c r="S121" s="138">
        <v>80.4</v>
      </c>
      <c r="T121" s="133">
        <f t="shared" si="24"/>
        <v>0.470175438596491</v>
      </c>
      <c r="U121" s="133">
        <f t="shared" si="19"/>
        <v>-0.018405189708983</v>
      </c>
      <c r="V121" s="133">
        <f t="shared" si="20"/>
        <v>0.116187989556136</v>
      </c>
      <c r="W121" s="133">
        <f t="shared" si="22"/>
        <v>0.386355093130645</v>
      </c>
      <c r="X121" s="133">
        <f t="shared" si="23"/>
        <v>0.192878338278932</v>
      </c>
    </row>
    <row r="122" spans="1:24">
      <c r="A122" s="6">
        <v>45444</v>
      </c>
      <c r="B122" s="125">
        <v>255.2</v>
      </c>
      <c r="C122" s="125">
        <v>104.9</v>
      </c>
      <c r="D122" s="137">
        <f t="shared" ref="D122:D132" si="27">C122/B122</f>
        <v>0.411050156739812</v>
      </c>
      <c r="E122" s="137">
        <f t="shared" si="25"/>
        <v>-0.026697177726926</v>
      </c>
      <c r="F122" s="137">
        <f t="shared" si="26"/>
        <v>0.0558543649151841</v>
      </c>
      <c r="G122" s="137">
        <f t="shared" si="21"/>
        <v>0.301488833746898</v>
      </c>
      <c r="H122" s="137">
        <f t="shared" si="7"/>
        <v>0.0984293193717278</v>
      </c>
      <c r="Q122" s="113">
        <v>45444</v>
      </c>
      <c r="R122" s="138">
        <v>176.7</v>
      </c>
      <c r="S122" s="138">
        <v>85.6</v>
      </c>
      <c r="T122" s="133">
        <f t="shared" si="24"/>
        <v>0.484436898698359</v>
      </c>
      <c r="U122" s="133">
        <f t="shared" si="19"/>
        <v>-0.0669218242074381</v>
      </c>
      <c r="V122" s="133">
        <f t="shared" si="20"/>
        <v>0.0333333333333332</v>
      </c>
      <c r="W122" s="133">
        <f t="shared" si="22"/>
        <v>0.286392046009555</v>
      </c>
      <c r="X122" s="133">
        <f t="shared" si="23"/>
        <v>0.0646766169154227</v>
      </c>
    </row>
    <row r="123" spans="1:24">
      <c r="A123" s="6">
        <v>45474</v>
      </c>
      <c r="B123" s="125">
        <v>226.2</v>
      </c>
      <c r="C123" s="125">
        <v>99.1</v>
      </c>
      <c r="D123" s="137">
        <f t="shared" si="27"/>
        <v>0.438107869142352</v>
      </c>
      <c r="E123" s="137">
        <f t="shared" ref="E123:E128" si="28">B123/B111-1</f>
        <v>-0.0523669878508588</v>
      </c>
      <c r="F123" s="137">
        <f t="shared" ref="F123:F132" si="29">B123/B122-1</f>
        <v>-0.113636363636364</v>
      </c>
      <c r="G123" s="137">
        <f t="shared" si="21"/>
        <v>0.27051282051282</v>
      </c>
      <c r="H123" s="137">
        <f t="shared" ref="H123:H132" si="30">C123/C122-1</f>
        <v>-0.0552907530981889</v>
      </c>
      <c r="Q123" s="113">
        <v>45474</v>
      </c>
      <c r="R123" s="138">
        <v>172</v>
      </c>
      <c r="S123" s="138">
        <v>87.8</v>
      </c>
      <c r="T123" s="133">
        <f t="shared" si="24"/>
        <v>0.51046511627907</v>
      </c>
      <c r="U123" s="133">
        <f t="shared" si="19"/>
        <v>-0.0271262100117764</v>
      </c>
      <c r="V123" s="133">
        <f t="shared" si="20"/>
        <v>-0.0265987549518958</v>
      </c>
      <c r="W123" s="133">
        <f t="shared" si="22"/>
        <v>0.369724105116185</v>
      </c>
      <c r="X123" s="133">
        <f t="shared" si="23"/>
        <v>0.0257009345794392</v>
      </c>
    </row>
    <row r="124" spans="1:24">
      <c r="A124" s="6">
        <v>45505</v>
      </c>
      <c r="B124" s="125">
        <v>245.3</v>
      </c>
      <c r="C124" s="125">
        <v>110</v>
      </c>
      <c r="D124" s="137">
        <f t="shared" si="27"/>
        <v>0.448430493273543</v>
      </c>
      <c r="E124" s="137">
        <f t="shared" si="28"/>
        <v>-0.0499612703330751</v>
      </c>
      <c r="F124" s="137">
        <f t="shared" si="29"/>
        <v>0.0844385499557914</v>
      </c>
      <c r="G124" s="137">
        <f t="shared" si="21"/>
        <v>0.300236406619385</v>
      </c>
      <c r="H124" s="137">
        <f t="shared" si="30"/>
        <v>0.109989909182644</v>
      </c>
      <c r="Q124" s="113">
        <v>45505</v>
      </c>
      <c r="R124" s="138">
        <v>190.5</v>
      </c>
      <c r="S124" s="138">
        <v>102.7</v>
      </c>
      <c r="T124" s="133">
        <f t="shared" si="24"/>
        <v>0.539107611548556</v>
      </c>
      <c r="U124" s="133">
        <f t="shared" si="19"/>
        <v>-0.00936398047433007</v>
      </c>
      <c r="V124" s="133">
        <f t="shared" si="20"/>
        <v>0.107558139534884</v>
      </c>
      <c r="W124" s="133">
        <f t="shared" si="22"/>
        <v>0.433686752706485</v>
      </c>
      <c r="X124" s="133">
        <f t="shared" si="23"/>
        <v>0.169703872437358</v>
      </c>
    </row>
    <row r="125" spans="1:24">
      <c r="A125" s="6">
        <v>45536</v>
      </c>
      <c r="B125" s="125">
        <v>280.9</v>
      </c>
      <c r="C125" s="125">
        <v>128.7</v>
      </c>
      <c r="D125" s="137">
        <f t="shared" si="27"/>
        <v>0.458170167319331</v>
      </c>
      <c r="E125" s="137">
        <f t="shared" si="28"/>
        <v>-0.0178321678321679</v>
      </c>
      <c r="F125" s="137">
        <f t="shared" si="29"/>
        <v>0.14512841418671</v>
      </c>
      <c r="G125" s="137">
        <f t="shared" ref="G125" si="31">C125/C113-1</f>
        <v>0.423672566371681</v>
      </c>
      <c r="H125" s="137">
        <f t="shared" si="30"/>
        <v>0.17</v>
      </c>
      <c r="Q125" s="113">
        <v>45536</v>
      </c>
      <c r="R125" s="138">
        <v>210.9</v>
      </c>
      <c r="S125" s="138">
        <v>112.3</v>
      </c>
      <c r="T125" s="133">
        <f t="shared" ref="T125:T130" si="32">S125/R125</f>
        <v>0.532479848269322</v>
      </c>
      <c r="U125" s="133">
        <f t="shared" ref="U125" si="33">R125/R113-1</f>
        <v>0.0450941526263626</v>
      </c>
      <c r="V125" s="133">
        <f t="shared" ref="V125" si="34">R125/R124-1</f>
        <v>0.107086614173228</v>
      </c>
      <c r="W125" s="133">
        <f t="shared" ref="W125" si="35">S125/S113-1</f>
        <v>0.505361930294906</v>
      </c>
      <c r="X125" s="133">
        <f t="shared" ref="X125" si="36">S125/S124-1</f>
        <v>0.0934761441090555</v>
      </c>
    </row>
    <row r="126" spans="1:24">
      <c r="A126" s="6">
        <v>45566</v>
      </c>
      <c r="B126" s="125">
        <v>305.3</v>
      </c>
      <c r="C126" s="125">
        <v>143</v>
      </c>
      <c r="D126" s="137">
        <f t="shared" si="27"/>
        <v>0.46839174582378</v>
      </c>
      <c r="E126" s="137">
        <f t="shared" si="28"/>
        <v>0.0701016473887137</v>
      </c>
      <c r="F126" s="137">
        <f t="shared" si="29"/>
        <v>0.0868636525453899</v>
      </c>
      <c r="G126" s="137">
        <f t="shared" ref="G126:G128" si="37">C126/C114-1</f>
        <v>0.49581589958159</v>
      </c>
      <c r="H126" s="137">
        <f t="shared" si="30"/>
        <v>0.111111111111111</v>
      </c>
      <c r="Q126" s="113">
        <v>45566</v>
      </c>
      <c r="R126" s="138">
        <v>226.1</v>
      </c>
      <c r="S126" s="138">
        <v>119.6</v>
      </c>
      <c r="T126" s="133">
        <f t="shared" si="32"/>
        <v>0.528969482529854</v>
      </c>
      <c r="U126" s="133">
        <f t="shared" ref="U126:U130" si="38">R126/R114-1</f>
        <v>0.11214953271028</v>
      </c>
      <c r="V126" s="133">
        <f t="shared" ref="V126:V128" si="39">R126/R125-1</f>
        <v>0.072072072072072</v>
      </c>
      <c r="W126" s="133">
        <f t="shared" ref="W126:W128" si="40">S126/S114-1</f>
        <v>0.559322033898305</v>
      </c>
      <c r="X126" s="133">
        <f t="shared" ref="X126:X128" si="41">S126/S125-1</f>
        <v>0.0650044523597506</v>
      </c>
    </row>
    <row r="127" spans="1:24">
      <c r="A127" s="6">
        <v>45597</v>
      </c>
      <c r="B127" s="125">
        <v>331.6</v>
      </c>
      <c r="C127" s="125">
        <v>151.2</v>
      </c>
      <c r="D127" s="137">
        <f t="shared" si="27"/>
        <v>0.455971049457177</v>
      </c>
      <c r="E127" s="137">
        <f t="shared" si="28"/>
        <v>0.116498316498317</v>
      </c>
      <c r="F127" s="137">
        <f t="shared" si="29"/>
        <v>0.0861447756305274</v>
      </c>
      <c r="G127" s="137">
        <f t="shared" si="37"/>
        <v>0.473684210526316</v>
      </c>
      <c r="H127" s="137">
        <f t="shared" si="30"/>
        <v>0.0573426573426572</v>
      </c>
      <c r="Q127" s="113">
        <v>45597</v>
      </c>
      <c r="R127" s="138">
        <v>242.3</v>
      </c>
      <c r="S127" s="138">
        <v>127</v>
      </c>
      <c r="T127" s="133">
        <f t="shared" si="32"/>
        <v>0.524143623607099</v>
      </c>
      <c r="U127" s="133">
        <f t="shared" si="38"/>
        <v>-0.0835854765506807</v>
      </c>
      <c r="V127" s="133">
        <f t="shared" si="39"/>
        <v>0.0716497125165856</v>
      </c>
      <c r="W127" s="133">
        <f t="shared" si="40"/>
        <v>0.510107015457788</v>
      </c>
      <c r="X127" s="133">
        <f t="shared" si="41"/>
        <v>0.0618729096989967</v>
      </c>
    </row>
    <row r="128" spans="1:24">
      <c r="A128" s="6">
        <v>45627</v>
      </c>
      <c r="B128" s="140">
        <v>348.9</v>
      </c>
      <c r="C128" s="140">
        <v>159.6</v>
      </c>
      <c r="D128" s="141">
        <f t="shared" si="27"/>
        <v>0.45743766122098</v>
      </c>
      <c r="E128" s="141">
        <f t="shared" si="28"/>
        <v>0.105513307984791</v>
      </c>
      <c r="F128" s="141">
        <f t="shared" si="29"/>
        <v>0.0521712907117007</v>
      </c>
      <c r="G128" s="141">
        <f t="shared" si="37"/>
        <v>0.340050377833753</v>
      </c>
      <c r="H128" s="141">
        <f t="shared" si="30"/>
        <v>0.0555555555555556</v>
      </c>
      <c r="Q128" s="113">
        <v>45627</v>
      </c>
      <c r="R128" s="138">
        <v>263.4</v>
      </c>
      <c r="S128" s="138">
        <v>130.3</v>
      </c>
      <c r="T128" s="133">
        <f t="shared" si="32"/>
        <v>0.494684889901291</v>
      </c>
      <c r="U128" s="133">
        <f t="shared" si="38"/>
        <v>0.114213197969543</v>
      </c>
      <c r="V128" s="133">
        <f t="shared" si="39"/>
        <v>0.0870821295914155</v>
      </c>
      <c r="W128" s="133">
        <f t="shared" si="40"/>
        <v>0.375923970432946</v>
      </c>
      <c r="X128" s="133">
        <f t="shared" si="41"/>
        <v>0.0259842519685041</v>
      </c>
    </row>
    <row r="129" spans="1:24">
      <c r="A129" s="6">
        <v>45658</v>
      </c>
      <c r="B129" s="140">
        <v>242.3</v>
      </c>
      <c r="C129" s="140">
        <v>94.4</v>
      </c>
      <c r="D129" s="141">
        <f t="shared" si="27"/>
        <v>0.389599669830788</v>
      </c>
      <c r="E129" s="141">
        <f t="shared" ref="E129:E132" si="42">B129/B117-1</f>
        <v>-0.00656006560065603</v>
      </c>
      <c r="F129" s="141">
        <f t="shared" si="29"/>
        <v>-0.305531670965893</v>
      </c>
      <c r="G129" s="141">
        <f t="shared" ref="G129:G132" si="43">C129/C117-1</f>
        <v>0.294924554183813</v>
      </c>
      <c r="H129" s="141">
        <f t="shared" si="30"/>
        <v>-0.408521303258145</v>
      </c>
      <c r="Q129" s="113">
        <v>45658</v>
      </c>
      <c r="R129" s="138">
        <v>179.6</v>
      </c>
      <c r="S129" s="138">
        <v>74.4</v>
      </c>
      <c r="T129" s="133">
        <f t="shared" si="32"/>
        <v>0.414253897550111</v>
      </c>
      <c r="U129" s="133">
        <f t="shared" si="38"/>
        <v>-0.117444717444718</v>
      </c>
      <c r="V129" s="133">
        <f t="shared" ref="V129:V130" si="44">R129/R128-1</f>
        <v>-0.318147304479878</v>
      </c>
      <c r="W129" s="133">
        <f t="shared" ref="W129:W130" si="45">S129/S117-1</f>
        <v>0.11377245508982</v>
      </c>
      <c r="X129" s="133">
        <f t="shared" ref="X129:X130" si="46">S129/S128-1</f>
        <v>-0.429009976976209</v>
      </c>
    </row>
    <row r="130" spans="1:24">
      <c r="A130" s="6">
        <v>45689</v>
      </c>
      <c r="B130" s="140">
        <v>212.9</v>
      </c>
      <c r="C130" s="140">
        <v>89.2</v>
      </c>
      <c r="D130" s="141">
        <f t="shared" si="27"/>
        <v>0.418976045091592</v>
      </c>
      <c r="E130" s="141">
        <f t="shared" si="42"/>
        <v>0.344065656565657</v>
      </c>
      <c r="F130" s="141">
        <f t="shared" si="29"/>
        <v>-0.12133718530747</v>
      </c>
      <c r="G130" s="141">
        <f t="shared" si="43"/>
        <v>0.870020964360587</v>
      </c>
      <c r="H130" s="141">
        <f t="shared" si="30"/>
        <v>-0.0550847457627119</v>
      </c>
      <c r="Q130" s="113">
        <v>45689</v>
      </c>
      <c r="R130" s="138">
        <v>138.6</v>
      </c>
      <c r="S130" s="138">
        <v>68.6</v>
      </c>
      <c r="T130" s="133">
        <f t="shared" si="32"/>
        <v>0.494949494949495</v>
      </c>
      <c r="U130" s="133">
        <f t="shared" si="38"/>
        <v>0.265753424657534</v>
      </c>
      <c r="V130" s="133">
        <f t="shared" si="44"/>
        <v>-0.228285077951002</v>
      </c>
      <c r="W130" s="133">
        <f t="shared" si="45"/>
        <v>0.768041237113402</v>
      </c>
      <c r="X130" s="133">
        <f t="shared" si="46"/>
        <v>-0.077956989247312</v>
      </c>
    </row>
    <row r="131" spans="1:24">
      <c r="A131" s="6">
        <v>45717</v>
      </c>
      <c r="B131" s="142">
        <v>291.5</v>
      </c>
      <c r="C131" s="142">
        <v>123.7</v>
      </c>
      <c r="D131" s="141">
        <f t="shared" si="27"/>
        <v>0.424356775300172</v>
      </c>
      <c r="E131" s="141">
        <f t="shared" si="42"/>
        <v>0.0820341499628805</v>
      </c>
      <c r="F131" s="141">
        <f t="shared" si="29"/>
        <v>0.369187411930484</v>
      </c>
      <c r="G131" s="141">
        <f t="shared" si="43"/>
        <v>0.400906002265006</v>
      </c>
      <c r="H131" s="141">
        <f t="shared" si="30"/>
        <v>0.386771300448431</v>
      </c>
    </row>
    <row r="132" spans="1:24">
      <c r="A132" s="6">
        <v>45748</v>
      </c>
      <c r="B132" s="142">
        <v>259</v>
      </c>
      <c r="C132" s="142">
        <v>122.5</v>
      </c>
      <c r="D132" s="141">
        <f t="shared" si="27"/>
        <v>0.472972972972973</v>
      </c>
      <c r="E132" s="141">
        <f t="shared" si="42"/>
        <v>0.0979228486646884</v>
      </c>
      <c r="F132" s="141">
        <f t="shared" si="29"/>
        <v>-0.111492281303602</v>
      </c>
      <c r="G132" s="141">
        <f t="shared" si="43"/>
        <v>0.441176470588235</v>
      </c>
      <c r="H132" s="141">
        <f t="shared" si="30"/>
        <v>-0.00970088924818113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6"/>
  <sheetViews>
    <sheetView zoomScale="116" zoomScaleNormal="116" workbookViewId="0">
      <selection activeCell="N11" sqref="N11"/>
    </sheetView>
  </sheetViews>
  <sheetFormatPr defaultColWidth="8.75" defaultRowHeight="13.5"/>
  <cols>
    <col min="2" max="2" width="13.375" customWidth="1"/>
    <col min="5" max="6" width="11.875"/>
    <col min="7" max="11" width="9.5"/>
    <col min="13" max="13" width="9.625" customWidth="1"/>
    <col min="14" max="15" width="12.625"/>
    <col min="17" max="17" width="9.5"/>
  </cols>
  <sheetData>
    <row r="1" spans="1:27">
      <c r="A1" t="s">
        <v>167</v>
      </c>
      <c r="Q1" t="s">
        <v>104</v>
      </c>
    </row>
    <row r="2" ht="14.25" spans="1:27">
      <c r="A2" t="s">
        <v>168</v>
      </c>
      <c r="B2" s="47" t="s">
        <v>169</v>
      </c>
      <c r="C2" s="47" t="s">
        <v>51</v>
      </c>
      <c r="D2" s="47" t="s">
        <v>52</v>
      </c>
      <c r="E2" s="47" t="s">
        <v>53</v>
      </c>
      <c r="F2" s="47" t="s">
        <v>54</v>
      </c>
      <c r="G2" s="47" t="s">
        <v>55</v>
      </c>
      <c r="H2" s="47" t="s">
        <v>56</v>
      </c>
      <c r="I2" s="47" t="s">
        <v>57</v>
      </c>
      <c r="J2" s="47" t="s">
        <v>58</v>
      </c>
      <c r="K2" s="47" t="s">
        <v>59</v>
      </c>
      <c r="L2" s="47" t="s">
        <v>60</v>
      </c>
      <c r="M2" s="47" t="s">
        <v>61</v>
      </c>
      <c r="N2" s="47" t="s">
        <v>62</v>
      </c>
      <c r="O2" s="47" t="s">
        <v>63</v>
      </c>
      <c r="Q2" t="s">
        <v>105</v>
      </c>
    </row>
    <row r="3" ht="14.25" spans="1:27">
      <c r="B3" s="47" t="s">
        <v>170</v>
      </c>
      <c r="C3" s="109">
        <v>45.2</v>
      </c>
      <c r="D3" s="109">
        <v>36.8</v>
      </c>
      <c r="E3" s="109">
        <v>46.5</v>
      </c>
      <c r="F3" s="109">
        <v>31.2</v>
      </c>
      <c r="G3" s="109">
        <v>46.6</v>
      </c>
      <c r="H3" s="109">
        <v>59</v>
      </c>
      <c r="I3" s="109">
        <v>61.7</v>
      </c>
      <c r="J3" s="109">
        <v>69.1</v>
      </c>
      <c r="K3" s="109">
        <v>75.5</v>
      </c>
      <c r="L3" s="109">
        <v>76.2</v>
      </c>
      <c r="M3" s="109">
        <v>76.8</v>
      </c>
      <c r="N3" s="109">
        <v>79.5</v>
      </c>
      <c r="O3" s="110">
        <f>SUM(C3:N3)</f>
        <v>704.1</v>
      </c>
      <c r="Q3" t="s">
        <v>106</v>
      </c>
    </row>
    <row r="4" ht="14.25" spans="1:27">
      <c r="B4" s="47" t="s">
        <v>171</v>
      </c>
      <c r="C4" s="22">
        <v>43.14</v>
      </c>
      <c r="D4" s="22">
        <v>33.37</v>
      </c>
      <c r="E4" s="22">
        <v>48.4</v>
      </c>
      <c r="F4" s="22">
        <v>29.89</v>
      </c>
      <c r="G4" s="22">
        <v>44.7174</v>
      </c>
      <c r="H4" s="22">
        <v>59.6439</v>
      </c>
      <c r="I4" s="22">
        <v>59.2887</v>
      </c>
      <c r="J4" s="22">
        <v>66.6191</v>
      </c>
      <c r="K4" s="22">
        <v>70.7529</v>
      </c>
      <c r="L4" s="22">
        <v>71.3601</v>
      </c>
      <c r="M4" s="22">
        <v>78.6285</v>
      </c>
      <c r="N4" s="22">
        <v>81.3842</v>
      </c>
      <c r="O4" s="110">
        <f>SUM(C4:N4)</f>
        <v>687.1948</v>
      </c>
      <c r="Q4" t="s">
        <v>172</v>
      </c>
      <c r="R4" t="s">
        <v>121</v>
      </c>
      <c r="S4" t="s">
        <v>173</v>
      </c>
      <c r="Y4" t="s">
        <v>174</v>
      </c>
      <c r="Z4" t="s">
        <v>121</v>
      </c>
      <c r="AA4" t="s">
        <v>173</v>
      </c>
    </row>
    <row r="5" ht="14.25" spans="1:27">
      <c r="A5" s="111" t="s">
        <v>175</v>
      </c>
      <c r="B5" s="112" t="s">
        <v>172</v>
      </c>
      <c r="C5" s="22">
        <v>36.7</v>
      </c>
      <c r="D5" s="22">
        <v>28.5</v>
      </c>
      <c r="E5" s="22">
        <v>37.6</v>
      </c>
      <c r="F5" s="22">
        <v>24.2</v>
      </c>
      <c r="G5" s="22">
        <v>36.4</v>
      </c>
      <c r="H5" s="22">
        <v>46.6</v>
      </c>
      <c r="I5" s="22">
        <v>47.2</v>
      </c>
      <c r="J5" s="22">
        <v>53.6</v>
      </c>
      <c r="K5" s="22">
        <v>57.8</v>
      </c>
      <c r="L5" s="22">
        <v>58.1</v>
      </c>
      <c r="M5" s="22">
        <v>58.9</v>
      </c>
      <c r="N5" s="22">
        <v>60</v>
      </c>
      <c r="Q5" s="113">
        <v>44562</v>
      </c>
      <c r="R5" s="114">
        <v>0.811946902654867</v>
      </c>
      <c r="S5" s="114">
        <v>0.188053097345133</v>
      </c>
      <c r="Y5" s="113">
        <v>44562</v>
      </c>
      <c r="Z5" s="114">
        <v>0.802039870190079</v>
      </c>
      <c r="AA5" s="114">
        <v>0.197032916087158</v>
      </c>
    </row>
    <row r="6" ht="14.25" spans="1:27">
      <c r="A6" s="111"/>
      <c r="B6" s="115" t="s">
        <v>69</v>
      </c>
      <c r="C6" s="114">
        <v>1.2</v>
      </c>
      <c r="D6" s="114">
        <v>1.7</v>
      </c>
      <c r="E6" s="114">
        <v>1.1</v>
      </c>
      <c r="F6" s="114">
        <v>0.33</v>
      </c>
      <c r="G6" s="114">
        <v>1</v>
      </c>
      <c r="H6" s="114">
        <v>1.2</v>
      </c>
      <c r="I6" s="114">
        <v>1</v>
      </c>
      <c r="J6" s="114">
        <v>1.1</v>
      </c>
      <c r="K6" s="114">
        <v>0.938</v>
      </c>
      <c r="L6" s="114">
        <v>0.719</v>
      </c>
      <c r="M6" s="114">
        <v>0.555</v>
      </c>
      <c r="N6" s="114">
        <v>0.365</v>
      </c>
      <c r="Q6" s="113">
        <v>44593</v>
      </c>
      <c r="R6" s="114">
        <v>0.77445652173913</v>
      </c>
      <c r="S6" s="114">
        <v>0.22554347826087</v>
      </c>
      <c r="Y6" s="113">
        <v>44593</v>
      </c>
      <c r="Z6" s="114">
        <v>0.773149535510938</v>
      </c>
      <c r="AA6" s="114">
        <v>0.224752771950854</v>
      </c>
    </row>
    <row r="7" ht="14.25" spans="1:27">
      <c r="A7" s="111"/>
      <c r="B7" s="115" t="s">
        <v>64</v>
      </c>
      <c r="C7" s="114"/>
      <c r="D7" s="114">
        <f>(D5-C5)/C5</f>
        <v>-0.223433242506812</v>
      </c>
      <c r="E7" s="114">
        <f t="shared" ref="E7:N7" si="0">(E5-D5)/D5</f>
        <v>0.319298245614035</v>
      </c>
      <c r="F7" s="114">
        <f t="shared" si="0"/>
        <v>-0.356382978723404</v>
      </c>
      <c r="G7" s="114">
        <f t="shared" si="0"/>
        <v>0.504132231404959</v>
      </c>
      <c r="H7" s="114">
        <f t="shared" si="0"/>
        <v>0.28021978021978</v>
      </c>
      <c r="I7" s="114">
        <f t="shared" si="0"/>
        <v>0.0128755364806867</v>
      </c>
      <c r="J7" s="114">
        <f t="shared" si="0"/>
        <v>0.135593220338983</v>
      </c>
      <c r="K7" s="114">
        <f t="shared" si="0"/>
        <v>0.0783582089552238</v>
      </c>
      <c r="L7" s="114">
        <f t="shared" si="0"/>
        <v>0.0051903114186852</v>
      </c>
      <c r="M7" s="114">
        <f t="shared" si="0"/>
        <v>0.0137693631669535</v>
      </c>
      <c r="N7" s="114">
        <f t="shared" si="0"/>
        <v>0.0186757215619695</v>
      </c>
      <c r="Q7" s="113">
        <v>44621</v>
      </c>
      <c r="R7" s="114">
        <v>0.808602150537634</v>
      </c>
      <c r="S7" s="114">
        <v>0.191397849462366</v>
      </c>
      <c r="Y7" s="113">
        <v>44621</v>
      </c>
      <c r="Z7" s="114">
        <v>0.818181818181818</v>
      </c>
      <c r="AA7" s="114">
        <v>0.181818181818182</v>
      </c>
    </row>
    <row r="8" ht="14.25" spans="1:27">
      <c r="A8" s="111"/>
      <c r="B8" s="116" t="s">
        <v>176</v>
      </c>
      <c r="C8" s="117">
        <f>C5/C$3</f>
        <v>0.811946902654867</v>
      </c>
      <c r="D8" s="117">
        <f>D5/D$3</f>
        <v>0.77445652173913</v>
      </c>
      <c r="E8" s="117">
        <f t="shared" ref="E8:N8" si="1">E5/E$3</f>
        <v>0.808602150537634</v>
      </c>
      <c r="F8" s="117">
        <f t="shared" si="1"/>
        <v>0.775641025641026</v>
      </c>
      <c r="G8" s="117">
        <f t="shared" si="1"/>
        <v>0.781115879828326</v>
      </c>
      <c r="H8" s="117">
        <f t="shared" si="1"/>
        <v>0.789830508474576</v>
      </c>
      <c r="I8" s="117">
        <f t="shared" si="1"/>
        <v>0.764991896272285</v>
      </c>
      <c r="J8" s="117">
        <f t="shared" si="1"/>
        <v>0.775687409551375</v>
      </c>
      <c r="K8" s="117">
        <f t="shared" si="1"/>
        <v>0.765562913907285</v>
      </c>
      <c r="L8" s="117"/>
      <c r="M8" s="117">
        <f t="shared" si="1"/>
        <v>0.766927083333333</v>
      </c>
      <c r="N8" s="117">
        <f t="shared" si="1"/>
        <v>0.754716981132076</v>
      </c>
      <c r="Q8" s="113">
        <v>44652</v>
      </c>
      <c r="R8" s="114">
        <v>0.775641025641026</v>
      </c>
      <c r="S8" s="114">
        <v>0.221153846153846</v>
      </c>
      <c r="Y8" s="113">
        <v>44652</v>
      </c>
      <c r="Z8" s="114">
        <v>0.772833723653396</v>
      </c>
      <c r="AA8" s="114">
        <v>0.227500836400134</v>
      </c>
    </row>
    <row r="9" ht="14.25" spans="1:27">
      <c r="A9" s="111"/>
      <c r="B9" s="112" t="s">
        <v>174</v>
      </c>
      <c r="C9" s="22">
        <v>34.6</v>
      </c>
      <c r="D9" s="22">
        <v>25.8</v>
      </c>
      <c r="E9" s="22">
        <v>39.6</v>
      </c>
      <c r="F9" s="22">
        <v>23.1</v>
      </c>
      <c r="G9" s="22">
        <v>34.7</v>
      </c>
      <c r="H9" s="22">
        <v>47.6</v>
      </c>
      <c r="I9" s="22">
        <v>45.7</v>
      </c>
      <c r="J9" s="22">
        <v>52.2</v>
      </c>
      <c r="K9" s="22">
        <v>53.9</v>
      </c>
      <c r="L9" s="22">
        <v>54.1</v>
      </c>
      <c r="M9" s="22">
        <v>61.5</v>
      </c>
      <c r="N9" s="22">
        <v>62.4</v>
      </c>
      <c r="Q9" s="113">
        <v>44682</v>
      </c>
      <c r="R9" s="114">
        <v>0.781115879828326</v>
      </c>
      <c r="S9" s="114">
        <v>0.218884120171674</v>
      </c>
      <c r="Y9" s="113">
        <v>44682</v>
      </c>
      <c r="Z9" s="114">
        <v>0.775984292467809</v>
      </c>
      <c r="AA9" s="114">
        <v>0.223626597252971</v>
      </c>
    </row>
    <row r="10" ht="14.25" spans="1:27">
      <c r="A10" s="111"/>
      <c r="B10" s="115" t="s">
        <v>69</v>
      </c>
      <c r="C10" s="114">
        <v>1.2</v>
      </c>
      <c r="D10" s="114">
        <v>1.6</v>
      </c>
      <c r="E10" s="114">
        <v>1.1</v>
      </c>
      <c r="F10" s="114">
        <v>0.346</v>
      </c>
      <c r="G10" s="114">
        <v>0.939</v>
      </c>
      <c r="H10" s="114">
        <v>1.2</v>
      </c>
      <c r="I10" s="114">
        <v>1.1</v>
      </c>
      <c r="J10" s="114">
        <v>0.929</v>
      </c>
      <c r="K10" s="114">
        <v>0.772</v>
      </c>
      <c r="L10" s="114">
        <v>0.666</v>
      </c>
      <c r="M10" s="114">
        <v>0.674</v>
      </c>
      <c r="N10" s="114">
        <v>0.377</v>
      </c>
      <c r="Q10" s="113">
        <v>44713</v>
      </c>
      <c r="R10" s="114">
        <v>0.789830508474576</v>
      </c>
      <c r="S10" s="114">
        <v>0.208474576271186</v>
      </c>
      <c r="Y10" s="113">
        <v>44713</v>
      </c>
      <c r="Z10" s="114">
        <v>0.798069878059617</v>
      </c>
      <c r="AA10" s="114">
        <v>0.201194086905786</v>
      </c>
    </row>
    <row r="11" ht="14.25" spans="1:27">
      <c r="A11" s="111"/>
      <c r="B11" s="115" t="s">
        <v>64</v>
      </c>
      <c r="C11" s="114"/>
      <c r="D11" s="114">
        <f>(D9-C9)/C9</f>
        <v>-0.254335260115607</v>
      </c>
      <c r="E11" s="114">
        <f t="shared" ref="E11:N11" si="2">(E9-D9)/D9</f>
        <v>0.534883720930233</v>
      </c>
      <c r="F11" s="114">
        <f t="shared" si="2"/>
        <v>-0.416666666666667</v>
      </c>
      <c r="G11" s="114">
        <f t="shared" si="2"/>
        <v>0.502164502164502</v>
      </c>
      <c r="H11" s="114">
        <f t="shared" si="2"/>
        <v>0.371757925072046</v>
      </c>
      <c r="I11" s="114">
        <f t="shared" si="2"/>
        <v>-0.0399159663865546</v>
      </c>
      <c r="J11" s="114">
        <f t="shared" si="2"/>
        <v>0.142231947483589</v>
      </c>
      <c r="K11" s="114">
        <f t="shared" si="2"/>
        <v>0.032567049808429</v>
      </c>
      <c r="L11" s="114">
        <f t="shared" si="2"/>
        <v>0.00371057513914662</v>
      </c>
      <c r="M11" s="114">
        <f t="shared" si="2"/>
        <v>0.136783733826248</v>
      </c>
      <c r="N11" s="114">
        <f t="shared" si="2"/>
        <v>0.0146341463414634</v>
      </c>
      <c r="Q11" s="113">
        <v>44743</v>
      </c>
      <c r="R11" s="114">
        <v>0.764991896272285</v>
      </c>
      <c r="S11" s="114">
        <v>0.233387358184765</v>
      </c>
      <c r="Y11" s="113">
        <v>44743</v>
      </c>
      <c r="Z11" s="114">
        <v>0.770804554662187</v>
      </c>
      <c r="AA11" s="114">
        <v>0.227699376103709</v>
      </c>
    </row>
    <row r="12" ht="14.25" spans="1:27">
      <c r="A12" s="111"/>
      <c r="B12" s="116" t="s">
        <v>176</v>
      </c>
      <c r="C12" s="117">
        <f>C9/C$4</f>
        <v>0.802039870190079</v>
      </c>
      <c r="D12" s="117">
        <f>D9/D$4</f>
        <v>0.773149535510938</v>
      </c>
      <c r="E12" s="117">
        <f t="shared" ref="E12:N12" si="3">E9/E$4</f>
        <v>0.818181818181818</v>
      </c>
      <c r="F12" s="117">
        <f t="shared" si="3"/>
        <v>0.772833723653396</v>
      </c>
      <c r="G12" s="117">
        <f t="shared" si="3"/>
        <v>0.775984292467809</v>
      </c>
      <c r="H12" s="117">
        <f t="shared" si="3"/>
        <v>0.798069878059617</v>
      </c>
      <c r="I12" s="117">
        <f t="shared" si="3"/>
        <v>0.770804554662187</v>
      </c>
      <c r="J12" s="117">
        <f t="shared" si="3"/>
        <v>0.783559069396014</v>
      </c>
      <c r="K12" s="117">
        <f t="shared" si="3"/>
        <v>0.761806229850649</v>
      </c>
      <c r="L12" s="117">
        <f t="shared" si="3"/>
        <v>0.758126740293245</v>
      </c>
      <c r="M12" s="117">
        <f t="shared" si="3"/>
        <v>0.782159140769568</v>
      </c>
      <c r="N12" s="117">
        <f t="shared" si="3"/>
        <v>0.766733592024005</v>
      </c>
      <c r="Q12" s="113">
        <v>44774</v>
      </c>
      <c r="R12" s="114">
        <v>0.775687409551375</v>
      </c>
      <c r="S12" s="114">
        <v>0.224312590448625</v>
      </c>
      <c r="Y12" s="113">
        <v>44774</v>
      </c>
      <c r="Z12" s="114">
        <v>0.783559069396014</v>
      </c>
      <c r="AA12" s="114">
        <v>0.21615422604028</v>
      </c>
    </row>
    <row r="13" ht="14.25" spans="1:27">
      <c r="A13" s="111" t="s">
        <v>177</v>
      </c>
      <c r="B13" s="112" t="s">
        <v>172</v>
      </c>
      <c r="C13" s="22">
        <v>8.5</v>
      </c>
      <c r="D13" s="22">
        <v>8.3</v>
      </c>
      <c r="E13" s="22">
        <v>8.9</v>
      </c>
      <c r="F13" s="22">
        <v>6.9</v>
      </c>
      <c r="G13" s="22">
        <v>10.2</v>
      </c>
      <c r="H13" s="22">
        <v>12.3</v>
      </c>
      <c r="I13" s="22">
        <v>14.4</v>
      </c>
      <c r="J13" s="22">
        <v>15.5</v>
      </c>
      <c r="K13" s="22">
        <v>17.7</v>
      </c>
      <c r="L13" s="22">
        <v>18.1</v>
      </c>
      <c r="M13" s="22">
        <v>17.9</v>
      </c>
      <c r="N13" s="22">
        <v>19.4</v>
      </c>
      <c r="Q13" s="113">
        <v>44805</v>
      </c>
      <c r="R13" s="114">
        <v>0.765562913907285</v>
      </c>
      <c r="S13" s="114">
        <v>0.234437086092715</v>
      </c>
      <c r="Y13" s="113">
        <v>44805</v>
      </c>
      <c r="Z13" s="114">
        <v>0.761806229850649</v>
      </c>
      <c r="AA13" s="114">
        <v>0.238859467244452</v>
      </c>
    </row>
    <row r="14" ht="14.25" spans="1:27">
      <c r="A14" s="111"/>
      <c r="B14" s="115" t="s">
        <v>69</v>
      </c>
      <c r="C14" s="114">
        <v>2</v>
      </c>
      <c r="D14" s="114">
        <v>4.1</v>
      </c>
      <c r="E14" s="114">
        <v>1.6</v>
      </c>
      <c r="F14" s="114">
        <v>1</v>
      </c>
      <c r="G14" s="114">
        <v>1.8</v>
      </c>
      <c r="H14" s="114">
        <v>1.8</v>
      </c>
      <c r="I14" s="114">
        <v>1.8</v>
      </c>
      <c r="J14" s="114">
        <v>1.7</v>
      </c>
      <c r="K14" s="114">
        <v>1.838</v>
      </c>
      <c r="L14" s="114">
        <v>1.6</v>
      </c>
      <c r="M14" s="114">
        <v>11.108</v>
      </c>
      <c r="N14" s="114">
        <v>1.324</v>
      </c>
      <c r="Q14" s="113">
        <v>44835</v>
      </c>
      <c r="R14" s="114">
        <v>0.76246719160105</v>
      </c>
      <c r="S14" s="114">
        <v>0.23753280839895</v>
      </c>
      <c r="Y14" s="113">
        <v>44835</v>
      </c>
      <c r="Z14" s="114">
        <v>0.758126740293245</v>
      </c>
      <c r="AA14" s="114">
        <v>0.241031052366799</v>
      </c>
    </row>
    <row r="15" ht="14.25" spans="1:27">
      <c r="A15" s="111"/>
      <c r="B15" s="115" t="s">
        <v>64</v>
      </c>
      <c r="C15" s="114"/>
      <c r="D15" s="114">
        <f>(D13-C13)/C13</f>
        <v>-0.0235294117647058</v>
      </c>
      <c r="E15" s="114">
        <f t="shared" ref="E15:N15" si="4">(E13-D13)/D13</f>
        <v>0.072289156626506</v>
      </c>
      <c r="F15" s="114">
        <f t="shared" si="4"/>
        <v>-0.224719101123595</v>
      </c>
      <c r="G15" s="114">
        <f t="shared" si="4"/>
        <v>0.478260869565217</v>
      </c>
      <c r="H15" s="114">
        <f t="shared" si="4"/>
        <v>0.205882352941177</v>
      </c>
      <c r="I15" s="114">
        <f t="shared" si="4"/>
        <v>0.170731707317073</v>
      </c>
      <c r="J15" s="114">
        <f t="shared" si="4"/>
        <v>0.0763888888888889</v>
      </c>
      <c r="K15" s="114">
        <f t="shared" si="4"/>
        <v>0.141935483870968</v>
      </c>
      <c r="L15" s="114">
        <f t="shared" si="4"/>
        <v>0.0225988700564973</v>
      </c>
      <c r="M15" s="114">
        <f t="shared" si="4"/>
        <v>-0.0110497237569062</v>
      </c>
      <c r="N15" s="114">
        <f t="shared" si="4"/>
        <v>0.0837988826815643</v>
      </c>
      <c r="Q15" s="113">
        <v>44866</v>
      </c>
      <c r="R15" s="114">
        <v>0.766927083333333</v>
      </c>
      <c r="S15" s="114">
        <v>0.233072916666667</v>
      </c>
      <c r="Y15" s="113">
        <v>44866</v>
      </c>
      <c r="Z15" s="114">
        <v>0.782159140769568</v>
      </c>
      <c r="AA15" s="114">
        <v>0.217478395238368</v>
      </c>
    </row>
    <row r="16" ht="14.25" spans="1:27">
      <c r="A16" s="111"/>
      <c r="B16" s="116" t="s">
        <v>176</v>
      </c>
      <c r="C16" s="117">
        <f>C13/C$3</f>
        <v>0.188053097345133</v>
      </c>
      <c r="D16" s="117">
        <f>D13/D$3</f>
        <v>0.22554347826087</v>
      </c>
      <c r="E16" s="117">
        <f t="shared" ref="E16:N16" si="5">E13/E$3</f>
        <v>0.191397849462366</v>
      </c>
      <c r="F16" s="117">
        <f t="shared" si="5"/>
        <v>0.221153846153846</v>
      </c>
      <c r="G16" s="117">
        <f t="shared" si="5"/>
        <v>0.218884120171674</v>
      </c>
      <c r="H16" s="117">
        <f t="shared" si="5"/>
        <v>0.208474576271186</v>
      </c>
      <c r="I16" s="117">
        <f t="shared" si="5"/>
        <v>0.233387358184765</v>
      </c>
      <c r="J16" s="117">
        <f t="shared" si="5"/>
        <v>0.224312590448625</v>
      </c>
      <c r="K16" s="117">
        <f t="shared" si="5"/>
        <v>0.234437086092715</v>
      </c>
      <c r="L16" s="117">
        <f t="shared" si="5"/>
        <v>0.23753280839895</v>
      </c>
      <c r="M16" s="117">
        <f t="shared" si="5"/>
        <v>0.233072916666667</v>
      </c>
      <c r="N16" s="117">
        <f t="shared" si="5"/>
        <v>0.244025157232704</v>
      </c>
      <c r="Q16" s="113">
        <v>44896</v>
      </c>
      <c r="R16" s="114">
        <v>0.754716981132076</v>
      </c>
      <c r="S16" s="114">
        <v>0.244025157232704</v>
      </c>
      <c r="Y16" s="113">
        <v>44896</v>
      </c>
      <c r="Z16" s="114">
        <v>0.766733592024005</v>
      </c>
      <c r="AA16" s="114">
        <v>0.232231809122655</v>
      </c>
    </row>
    <row r="17" ht="14.25" spans="1:27">
      <c r="A17" s="111"/>
      <c r="B17" s="112" t="s">
        <v>174</v>
      </c>
      <c r="C17" s="22">
        <v>8.5</v>
      </c>
      <c r="D17" s="22">
        <v>7.5</v>
      </c>
      <c r="E17" s="22">
        <v>8.8</v>
      </c>
      <c r="F17" s="22">
        <v>6.8</v>
      </c>
      <c r="G17" s="22">
        <v>10</v>
      </c>
      <c r="H17" s="22">
        <v>12</v>
      </c>
      <c r="I17" s="22">
        <v>13.5</v>
      </c>
      <c r="J17" s="22">
        <v>14.4</v>
      </c>
      <c r="K17" s="22">
        <v>16.9</v>
      </c>
      <c r="L17" s="22">
        <v>17.2</v>
      </c>
      <c r="M17" s="22">
        <v>17.1</v>
      </c>
      <c r="N17" s="22">
        <v>18.9</v>
      </c>
      <c r="Q17" s="113">
        <v>44927</v>
      </c>
      <c r="R17" s="114">
        <v>0.703529411764706</v>
      </c>
      <c r="S17" s="114">
        <v>0.296470588235294</v>
      </c>
      <c r="Y17" s="113">
        <v>44927</v>
      </c>
      <c r="Z17" s="114">
        <v>0.70343137254902</v>
      </c>
      <c r="AA17" s="114">
        <v>0.29656862745098</v>
      </c>
    </row>
    <row r="18" ht="14.25" spans="1:27">
      <c r="A18" s="111"/>
      <c r="B18" s="115" t="s">
        <v>69</v>
      </c>
      <c r="C18" s="114">
        <v>2</v>
      </c>
      <c r="D18" s="114">
        <v>3.4</v>
      </c>
      <c r="E18" s="114">
        <v>1.4</v>
      </c>
      <c r="F18" s="114">
        <v>0.94</v>
      </c>
      <c r="G18" s="114">
        <v>1.6</v>
      </c>
      <c r="H18" s="114">
        <v>1.7</v>
      </c>
      <c r="I18" s="114">
        <v>1.7</v>
      </c>
      <c r="J18" s="114">
        <v>1.6</v>
      </c>
      <c r="K18" s="114">
        <v>1.775</v>
      </c>
      <c r="L18" s="114">
        <v>1.5</v>
      </c>
      <c r="M18" s="114">
        <v>0.926</v>
      </c>
      <c r="N18" s="114">
        <v>1.292</v>
      </c>
      <c r="Q18" s="113">
        <v>44958</v>
      </c>
      <c r="R18" s="114">
        <v>0.704710144927536</v>
      </c>
      <c r="S18" s="114">
        <v>0.295289855072464</v>
      </c>
      <c r="Y18" s="113">
        <v>44958</v>
      </c>
      <c r="Z18" s="114">
        <v>0.716190476190476</v>
      </c>
      <c r="AA18" s="114">
        <v>0.283809523809524</v>
      </c>
    </row>
    <row r="19" ht="14.25" spans="1:27">
      <c r="A19" s="111"/>
      <c r="B19" s="115" t="s">
        <v>64</v>
      </c>
      <c r="C19" s="114"/>
      <c r="D19" s="114">
        <f>(D17-C17)/C17</f>
        <v>-0.117647058823529</v>
      </c>
      <c r="E19" s="114">
        <f t="shared" ref="E19:N19" si="6">(E17-D17)/D17</f>
        <v>0.173333333333333</v>
      </c>
      <c r="F19" s="114">
        <f t="shared" si="6"/>
        <v>-0.227272727272727</v>
      </c>
      <c r="G19" s="114">
        <f t="shared" si="6"/>
        <v>0.470588235294118</v>
      </c>
      <c r="H19" s="114">
        <f t="shared" si="6"/>
        <v>0.2</v>
      </c>
      <c r="I19" s="114">
        <f t="shared" si="6"/>
        <v>0.125</v>
      </c>
      <c r="J19" s="114">
        <f t="shared" si="6"/>
        <v>0.0666666666666667</v>
      </c>
      <c r="K19" s="114">
        <f t="shared" si="6"/>
        <v>0.173611111111111</v>
      </c>
      <c r="L19" s="114">
        <f t="shared" si="6"/>
        <v>0.0177514792899409</v>
      </c>
      <c r="M19" s="114">
        <f t="shared" si="6"/>
        <v>-0.00581395348837197</v>
      </c>
      <c r="N19" s="114">
        <f t="shared" si="6"/>
        <v>0.105263157894737</v>
      </c>
      <c r="Q19" s="113">
        <v>44986</v>
      </c>
      <c r="R19" s="114">
        <v>0.758160237388724</v>
      </c>
      <c r="S19" s="114">
        <v>0.241839762611276</v>
      </c>
      <c r="Y19" s="113">
        <v>44986</v>
      </c>
      <c r="Z19" s="114">
        <v>0.750382848392037</v>
      </c>
      <c r="AA19" s="114">
        <v>0.249617151607963</v>
      </c>
    </row>
    <row r="20" ht="14.25" spans="1:27">
      <c r="A20" s="111"/>
      <c r="B20" s="116" t="s">
        <v>176</v>
      </c>
      <c r="C20" s="117">
        <f>C17/C$4</f>
        <v>0.197032916087158</v>
      </c>
      <c r="D20" s="117">
        <f>D17/D$4</f>
        <v>0.224752771950854</v>
      </c>
      <c r="E20" s="117">
        <f t="shared" ref="E20:N20" si="7">E17/E$4</f>
        <v>0.181818181818182</v>
      </c>
      <c r="F20" s="117">
        <f t="shared" si="7"/>
        <v>0.227500836400134</v>
      </c>
      <c r="G20" s="117">
        <f t="shared" si="7"/>
        <v>0.223626597252971</v>
      </c>
      <c r="H20" s="117">
        <f t="shared" si="7"/>
        <v>0.201194086905786</v>
      </c>
      <c r="I20" s="117">
        <f t="shared" si="7"/>
        <v>0.227699376103709</v>
      </c>
      <c r="J20" s="117">
        <f t="shared" si="7"/>
        <v>0.21615422604028</v>
      </c>
      <c r="K20" s="117">
        <f t="shared" si="7"/>
        <v>0.238859467244452</v>
      </c>
      <c r="L20" s="117">
        <f t="shared" si="7"/>
        <v>0.241031052366799</v>
      </c>
      <c r="M20" s="117">
        <f t="shared" si="7"/>
        <v>0.217478395238368</v>
      </c>
      <c r="N20" s="117">
        <f t="shared" si="7"/>
        <v>0.232231809122655</v>
      </c>
      <c r="Q20" s="113">
        <v>45017</v>
      </c>
      <c r="R20" s="114">
        <v>0.7546875</v>
      </c>
      <c r="S20" s="114">
        <v>0.2453125</v>
      </c>
      <c r="Y20" s="113">
        <v>45017</v>
      </c>
      <c r="Z20" s="114">
        <v>0.740566037735849</v>
      </c>
      <c r="AA20" s="114">
        <v>0.259433962264151</v>
      </c>
    </row>
    <row r="21" ht="14.25" spans="1:27">
      <c r="A21" s="111" t="s">
        <v>178</v>
      </c>
      <c r="B21" s="112" t="s">
        <v>172</v>
      </c>
      <c r="C21" s="22">
        <v>0.0142</v>
      </c>
      <c r="D21" s="22">
        <v>0.0213</v>
      </c>
      <c r="E21" s="22">
        <v>0.05</v>
      </c>
      <c r="F21" s="22">
        <v>0.0178</v>
      </c>
      <c r="G21" s="22">
        <v>0.0243</v>
      </c>
      <c r="H21" s="22">
        <v>0.0527</v>
      </c>
      <c r="I21" s="22">
        <v>0.0292</v>
      </c>
      <c r="J21" s="22">
        <v>0.0097</v>
      </c>
      <c r="K21" s="22">
        <v>0.02</v>
      </c>
      <c r="L21" s="22">
        <v>0.03</v>
      </c>
      <c r="M21" s="22">
        <v>0.03</v>
      </c>
      <c r="N21" s="22">
        <v>0.1</v>
      </c>
      <c r="Q21" s="113">
        <v>45047</v>
      </c>
      <c r="R21" s="114">
        <v>0.725105189340814</v>
      </c>
      <c r="S21" s="114">
        <v>0.273492286115007</v>
      </c>
      <c r="Y21" s="113">
        <v>45047</v>
      </c>
      <c r="Z21" s="114">
        <v>0.728033472803347</v>
      </c>
      <c r="AA21" s="114">
        <v>0.270571827057183</v>
      </c>
    </row>
    <row r="22" ht="14.25" spans="1:27">
      <c r="A22" s="111"/>
      <c r="B22" s="115" t="s">
        <v>69</v>
      </c>
      <c r="C22" s="114">
        <v>3.9</v>
      </c>
      <c r="D22" s="114">
        <v>7.5</v>
      </c>
      <c r="E22" s="114">
        <v>10.1</v>
      </c>
      <c r="F22" s="114">
        <v>3.9</v>
      </c>
      <c r="G22" s="114">
        <v>5.4</v>
      </c>
      <c r="H22" s="114">
        <v>0.187</v>
      </c>
      <c r="I22" s="114">
        <v>4.6</v>
      </c>
      <c r="J22" s="114">
        <v>1.4</v>
      </c>
      <c r="K22" s="114">
        <v>0.181</v>
      </c>
      <c r="L22" s="114">
        <v>3.7</v>
      </c>
      <c r="M22" s="114">
        <v>0.519</v>
      </c>
      <c r="N22" s="114">
        <v>0.041</v>
      </c>
      <c r="Q22" s="113">
        <v>45078</v>
      </c>
      <c r="R22" s="114">
        <v>0.698979591836735</v>
      </c>
      <c r="S22" s="114">
        <v>0.299744897959184</v>
      </c>
      <c r="Y22" s="113">
        <v>45078</v>
      </c>
      <c r="Z22" s="114">
        <v>0.710918114143921</v>
      </c>
      <c r="AA22" s="114">
        <v>0.287841191066998</v>
      </c>
    </row>
    <row r="23" ht="14.25" spans="1:27">
      <c r="A23" s="111"/>
      <c r="B23" s="115" t="s">
        <v>64</v>
      </c>
      <c r="C23" s="114"/>
      <c r="D23" s="114">
        <f>(D21-C21)/C21</f>
        <v>0.5</v>
      </c>
      <c r="E23" s="114">
        <f t="shared" ref="E23:N23" si="8">(E21-D21)/D21</f>
        <v>1.34741784037559</v>
      </c>
      <c r="F23" s="114">
        <f t="shared" si="8"/>
        <v>-0.644</v>
      </c>
      <c r="G23" s="114">
        <f t="shared" si="8"/>
        <v>0.365168539325843</v>
      </c>
      <c r="H23" s="114">
        <f t="shared" si="8"/>
        <v>1.16872427983539</v>
      </c>
      <c r="I23" s="114">
        <f t="shared" si="8"/>
        <v>-0.445920303605313</v>
      </c>
      <c r="J23" s="114">
        <f t="shared" si="8"/>
        <v>-0.667808219178082</v>
      </c>
      <c r="K23" s="114">
        <f t="shared" si="8"/>
        <v>1.06185567010309</v>
      </c>
      <c r="L23" s="114">
        <f t="shared" si="8"/>
        <v>0.5</v>
      </c>
      <c r="M23" s="114">
        <f t="shared" si="8"/>
        <v>0</v>
      </c>
      <c r="N23" s="114">
        <f t="shared" si="8"/>
        <v>2.33333333333333</v>
      </c>
      <c r="Q23" s="113">
        <v>45108</v>
      </c>
      <c r="R23" s="114">
        <v>0.68944099378882</v>
      </c>
      <c r="S23" s="114">
        <v>0.31055900621118</v>
      </c>
      <c r="Y23" s="113">
        <v>45108</v>
      </c>
      <c r="Z23" s="114">
        <v>0.693589743589744</v>
      </c>
      <c r="AA23" s="114">
        <v>0.306410256410256</v>
      </c>
    </row>
    <row r="24" ht="14.25" spans="1:27">
      <c r="A24" s="111"/>
      <c r="B24" s="116" t="s">
        <v>176</v>
      </c>
      <c r="C24" s="117">
        <f>C21/C$3</f>
        <v>0.000314159292035398</v>
      </c>
      <c r="D24" s="117">
        <f t="shared" ref="D24:N24" si="9">D21/D$3</f>
        <v>0.000578804347826087</v>
      </c>
      <c r="E24" s="117">
        <f t="shared" si="9"/>
        <v>0.0010752688172043</v>
      </c>
      <c r="F24" s="117">
        <f t="shared" si="9"/>
        <v>0.000570512820512821</v>
      </c>
      <c r="G24" s="117">
        <f t="shared" si="9"/>
        <v>0.000521459227467811</v>
      </c>
      <c r="H24" s="117">
        <f t="shared" si="9"/>
        <v>0.000893220338983051</v>
      </c>
      <c r="I24" s="117">
        <f t="shared" si="9"/>
        <v>0.000473257698541329</v>
      </c>
      <c r="J24" s="117">
        <f t="shared" si="9"/>
        <v>0.000140376266280753</v>
      </c>
      <c r="K24" s="117">
        <f t="shared" si="9"/>
        <v>0.000264900662251656</v>
      </c>
      <c r="L24" s="117">
        <f t="shared" si="9"/>
        <v>0.000393700787401575</v>
      </c>
      <c r="M24" s="117">
        <f t="shared" si="9"/>
        <v>0.000390625</v>
      </c>
      <c r="N24" s="117">
        <f t="shared" si="9"/>
        <v>0.00125786163522013</v>
      </c>
      <c r="Q24" s="113">
        <v>45139</v>
      </c>
      <c r="R24" s="114">
        <v>0.698695136417556</v>
      </c>
      <c r="S24" s="114">
        <v>0.30011862396204</v>
      </c>
      <c r="Y24" s="113">
        <v>45139</v>
      </c>
      <c r="Z24" s="114">
        <v>0.705673758865248</v>
      </c>
      <c r="AA24" s="114">
        <v>0.294326241134752</v>
      </c>
    </row>
    <row r="25" ht="14.25" spans="1:27">
      <c r="A25" s="111"/>
      <c r="B25" s="112" t="s">
        <v>174</v>
      </c>
      <c r="C25" s="22">
        <v>0.0192</v>
      </c>
      <c r="D25" s="22">
        <v>0.0178</v>
      </c>
      <c r="E25" s="22">
        <v>0.0367</v>
      </c>
      <c r="F25" s="22">
        <v>0.0094</v>
      </c>
      <c r="G25" s="22">
        <v>0.0103</v>
      </c>
      <c r="H25" s="22">
        <v>0.0455</v>
      </c>
      <c r="I25" s="22">
        <v>0.0245</v>
      </c>
      <c r="J25" s="22">
        <v>0.0255</v>
      </c>
      <c r="K25" s="22">
        <v>0.02</v>
      </c>
      <c r="L25" s="22">
        <v>0.03</v>
      </c>
      <c r="M25" s="22">
        <v>0.04</v>
      </c>
      <c r="N25" s="22">
        <v>0.1</v>
      </c>
      <c r="Q25" s="113">
        <v>45170</v>
      </c>
      <c r="R25" s="114">
        <v>0.670079635949943</v>
      </c>
      <c r="S25" s="114">
        <v>0.329920364050057</v>
      </c>
      <c r="Y25" s="113">
        <v>45170</v>
      </c>
      <c r="Z25" s="114">
        <v>0.69358407079646</v>
      </c>
      <c r="AA25" s="114">
        <v>0.30641592920354</v>
      </c>
    </row>
    <row r="26" ht="14.25" spans="1:27">
      <c r="A26" s="111"/>
      <c r="B26" s="115" t="s">
        <v>69</v>
      </c>
      <c r="C26" s="114">
        <v>2</v>
      </c>
      <c r="D26" s="114">
        <v>5.4</v>
      </c>
      <c r="E26" s="114">
        <v>5.2</v>
      </c>
      <c r="F26" s="114">
        <v>1.5</v>
      </c>
      <c r="G26" s="114">
        <v>10.4</v>
      </c>
      <c r="H26" s="114">
        <v>0.673</v>
      </c>
      <c r="I26" s="114">
        <v>0.134</v>
      </c>
      <c r="J26" s="114">
        <v>5.7</v>
      </c>
      <c r="K26" s="114">
        <v>0.168</v>
      </c>
      <c r="L26" s="114">
        <v>5.4</v>
      </c>
      <c r="M26" s="114">
        <v>1.497</v>
      </c>
      <c r="N26" s="114">
        <v>0.249</v>
      </c>
      <c r="Q26" s="113">
        <v>45200</v>
      </c>
      <c r="R26" s="114">
        <v>0.663</v>
      </c>
      <c r="S26" s="114">
        <v>0.336</v>
      </c>
      <c r="Y26" s="113">
        <v>45200</v>
      </c>
      <c r="Z26" s="114">
        <v>0.676</v>
      </c>
      <c r="AA26" s="114">
        <v>0.324</v>
      </c>
    </row>
    <row r="27" ht="14.25" spans="1:27">
      <c r="A27" s="111"/>
      <c r="B27" s="115" t="s">
        <v>64</v>
      </c>
      <c r="C27" s="114"/>
      <c r="D27" s="114">
        <f>(D25-C25)/C25</f>
        <v>-0.0729166666666666</v>
      </c>
      <c r="E27" s="114">
        <f t="shared" ref="E27:N27" si="10">(E25-D25)/D25</f>
        <v>1.06179775280899</v>
      </c>
      <c r="F27" s="114">
        <f t="shared" si="10"/>
        <v>-0.743869209809264</v>
      </c>
      <c r="G27" s="114">
        <f t="shared" si="10"/>
        <v>0.0957446808510638</v>
      </c>
      <c r="H27" s="114">
        <f t="shared" si="10"/>
        <v>3.41747572815534</v>
      </c>
      <c r="I27" s="114">
        <f t="shared" si="10"/>
        <v>-0.461538461538462</v>
      </c>
      <c r="J27" s="114">
        <f t="shared" si="10"/>
        <v>0.0408163265306121</v>
      </c>
      <c r="K27" s="114">
        <f t="shared" si="10"/>
        <v>-0.215686274509804</v>
      </c>
      <c r="L27" s="114">
        <f t="shared" si="10"/>
        <v>0.5</v>
      </c>
      <c r="M27" s="114">
        <f t="shared" si="10"/>
        <v>0.333333333333333</v>
      </c>
      <c r="N27" s="114">
        <f t="shared" si="10"/>
        <v>1.5</v>
      </c>
      <c r="Q27" s="113">
        <v>45231</v>
      </c>
      <c r="R27" s="114">
        <v>0.677</v>
      </c>
      <c r="S27" s="114">
        <v>0.323</v>
      </c>
      <c r="Y27" s="113">
        <v>45231</v>
      </c>
      <c r="Z27" s="114">
        <v>0.684</v>
      </c>
      <c r="AA27" s="114">
        <v>0.315</v>
      </c>
    </row>
    <row r="28" ht="14.25" spans="1:27">
      <c r="A28" s="111"/>
      <c r="B28" s="116" t="s">
        <v>176</v>
      </c>
      <c r="C28" s="117">
        <f>C25/C$4</f>
        <v>0.000445062586926286</v>
      </c>
      <c r="D28" s="117">
        <f>D25/D$4</f>
        <v>0.000533413245430027</v>
      </c>
      <c r="E28" s="117">
        <f t="shared" ref="E28:N28" si="11">E25/E$4</f>
        <v>0.000758264462809917</v>
      </c>
      <c r="F28" s="117">
        <f t="shared" si="11"/>
        <v>0.000314486450317832</v>
      </c>
      <c r="G28" s="117">
        <f t="shared" si="11"/>
        <v>0.00023033539517056</v>
      </c>
      <c r="H28" s="117">
        <f t="shared" si="11"/>
        <v>0.000762860912851105</v>
      </c>
      <c r="I28" s="117">
        <f t="shared" si="11"/>
        <v>0.000413232201077102</v>
      </c>
      <c r="J28" s="117">
        <f t="shared" si="11"/>
        <v>0.000382773108612995</v>
      </c>
      <c r="K28" s="117">
        <f t="shared" si="11"/>
        <v>0.000282673925733079</v>
      </c>
      <c r="L28" s="117">
        <f t="shared" si="11"/>
        <v>0.000420402998314184</v>
      </c>
      <c r="M28" s="117">
        <f t="shared" si="11"/>
        <v>0.000508721392370451</v>
      </c>
      <c r="N28" s="117">
        <f t="shared" si="11"/>
        <v>0.0012287397308077</v>
      </c>
      <c r="Q28" s="113">
        <v>45261</v>
      </c>
      <c r="R28" s="118">
        <v>0.692</v>
      </c>
      <c r="S28" s="118">
        <v>0.308</v>
      </c>
      <c r="Y28" s="113">
        <v>45261</v>
      </c>
      <c r="Z28" s="114">
        <v>0.693</v>
      </c>
      <c r="AA28" s="114">
        <v>0.307</v>
      </c>
    </row>
    <row r="29" ht="14.25" spans="1:27">
      <c r="A29" s="111"/>
      <c r="B29" s="47" t="s">
        <v>179</v>
      </c>
      <c r="C29" s="109">
        <v>42.5</v>
      </c>
      <c r="D29" s="109">
        <v>55.2</v>
      </c>
      <c r="E29" s="109">
        <v>67.4</v>
      </c>
      <c r="F29" s="109">
        <v>64</v>
      </c>
      <c r="G29" s="109">
        <v>71.3</v>
      </c>
      <c r="H29" s="109">
        <v>78.4</v>
      </c>
      <c r="I29" s="109">
        <v>80.5</v>
      </c>
      <c r="J29" s="109">
        <v>84.3</v>
      </c>
      <c r="K29" s="109">
        <v>87.9</v>
      </c>
      <c r="L29">
        <v>98.9</v>
      </c>
      <c r="M29">
        <v>107.4</v>
      </c>
      <c r="N29">
        <v>117.2</v>
      </c>
      <c r="O29" s="110">
        <f>SUM(C29:N29)</f>
        <v>955</v>
      </c>
      <c r="Q29" s="113">
        <v>45292</v>
      </c>
      <c r="R29" s="118">
        <v>0.6213</v>
      </c>
      <c r="S29" s="118">
        <v>0.3774</v>
      </c>
      <c r="Y29" s="113">
        <v>45292</v>
      </c>
      <c r="Z29" s="114">
        <v>0.61</v>
      </c>
      <c r="AA29" s="114">
        <v>0.39</v>
      </c>
    </row>
    <row r="30" ht="14.25" spans="1:27">
      <c r="B30" s="47" t="s">
        <v>180</v>
      </c>
      <c r="C30" s="22">
        <v>40.8</v>
      </c>
      <c r="D30" s="22">
        <v>52.5</v>
      </c>
      <c r="E30" s="22">
        <v>65.3</v>
      </c>
      <c r="F30" s="22">
        <v>63.6</v>
      </c>
      <c r="G30" s="22">
        <v>71.7</v>
      </c>
      <c r="H30" s="22">
        <v>80.6</v>
      </c>
      <c r="I30" s="22">
        <v>78</v>
      </c>
      <c r="J30" s="22">
        <v>84.6</v>
      </c>
      <c r="K30" s="22">
        <v>90.4</v>
      </c>
      <c r="L30" s="22">
        <v>95.6</v>
      </c>
      <c r="M30" s="22">
        <v>102.6</v>
      </c>
      <c r="N30">
        <v>119.1</v>
      </c>
      <c r="O30" s="110">
        <f>SUM(C30:N30)</f>
        <v>944.8</v>
      </c>
      <c r="Q30" s="113">
        <v>45323</v>
      </c>
      <c r="R30" s="118">
        <v>0.6034</v>
      </c>
      <c r="S30" s="118">
        <v>0.3944</v>
      </c>
      <c r="Y30" s="113">
        <v>45323</v>
      </c>
      <c r="Z30" s="114">
        <v>0.616</v>
      </c>
      <c r="AA30" s="114">
        <v>0.384</v>
      </c>
    </row>
    <row r="31" ht="14.25" spans="1:27">
      <c r="A31" s="111" t="s">
        <v>175</v>
      </c>
      <c r="B31" s="112" t="s">
        <v>172</v>
      </c>
      <c r="C31" s="22">
        <v>29.9</v>
      </c>
      <c r="D31" s="22">
        <v>38.9</v>
      </c>
      <c r="E31" s="22">
        <v>51.1</v>
      </c>
      <c r="F31" s="22">
        <v>48.3</v>
      </c>
      <c r="G31" s="22">
        <v>51.7</v>
      </c>
      <c r="H31" s="22">
        <v>54.8</v>
      </c>
      <c r="I31" s="22">
        <v>55.5</v>
      </c>
      <c r="J31" s="22">
        <v>58.9</v>
      </c>
      <c r="K31" s="22">
        <v>58.9</v>
      </c>
      <c r="L31" s="22">
        <v>65.6</v>
      </c>
      <c r="M31" s="22">
        <v>72.7</v>
      </c>
      <c r="N31">
        <v>81.1</v>
      </c>
      <c r="Q31" s="113">
        <v>45352</v>
      </c>
      <c r="R31" s="118">
        <v>0.632676709154114</v>
      </c>
      <c r="S31" s="118">
        <v>0.367323290845886</v>
      </c>
      <c r="Y31" s="113">
        <v>45352</v>
      </c>
      <c r="Z31" s="114">
        <v>0.640996602491506</v>
      </c>
      <c r="AA31" s="114">
        <v>0.359003397508494</v>
      </c>
    </row>
    <row r="32" ht="14.25" spans="1:27">
      <c r="A32" s="111"/>
      <c r="B32" s="115" t="s">
        <v>69</v>
      </c>
      <c r="C32" s="114">
        <v>-0.196</v>
      </c>
      <c r="D32" s="114">
        <v>0.352</v>
      </c>
      <c r="E32" s="114">
        <v>0.358</v>
      </c>
      <c r="F32" s="114">
        <v>0.994</v>
      </c>
      <c r="G32" s="114">
        <v>0.42</v>
      </c>
      <c r="H32" s="114">
        <v>0.175</v>
      </c>
      <c r="I32" s="114">
        <v>0.175</v>
      </c>
      <c r="J32" s="114">
        <v>0.099</v>
      </c>
      <c r="K32" s="114">
        <v>0.015</v>
      </c>
      <c r="L32" s="114">
        <v>0.124</v>
      </c>
      <c r="M32" s="114">
        <v>0.227</v>
      </c>
      <c r="N32" s="118">
        <f>(N31-N5)/N5</f>
        <v>0.351666666666667</v>
      </c>
      <c r="Q32" s="113">
        <v>45384</v>
      </c>
      <c r="R32" s="118">
        <v>0.614942528735632</v>
      </c>
      <c r="S32" s="118">
        <v>0.383908045977012</v>
      </c>
      <c r="Y32" s="113">
        <v>45384</v>
      </c>
      <c r="Z32" s="114">
        <v>0.610588235294118</v>
      </c>
      <c r="AA32" s="114">
        <v>0.389411764705882</v>
      </c>
    </row>
    <row r="33" ht="14.25" spans="1:30">
      <c r="A33" s="111"/>
      <c r="B33" s="115" t="s">
        <v>64</v>
      </c>
      <c r="C33" s="114">
        <f>(C31-N5)/N5</f>
        <v>-0.501666666666667</v>
      </c>
      <c r="D33" s="114">
        <f t="shared" ref="D33:N33" si="12">(D31-C31)/C31</f>
        <v>0.301003344481605</v>
      </c>
      <c r="E33" s="114">
        <f t="shared" si="12"/>
        <v>0.313624678663239</v>
      </c>
      <c r="F33" s="114">
        <f t="shared" si="12"/>
        <v>-0.0547945205479453</v>
      </c>
      <c r="G33" s="114">
        <f t="shared" si="12"/>
        <v>0.070393374741201</v>
      </c>
      <c r="H33" s="114">
        <f t="shared" si="12"/>
        <v>0.0599613152804641</v>
      </c>
      <c r="I33" s="114">
        <f t="shared" si="12"/>
        <v>0.0127737226277373</v>
      </c>
      <c r="J33" s="114">
        <f t="shared" si="12"/>
        <v>0.0612612612612612</v>
      </c>
      <c r="K33" s="114">
        <f t="shared" si="12"/>
        <v>0</v>
      </c>
      <c r="L33" s="114">
        <f t="shared" si="12"/>
        <v>0.113752122241087</v>
      </c>
      <c r="M33" s="114">
        <f t="shared" si="12"/>
        <v>0.108231707317073</v>
      </c>
      <c r="N33" s="114">
        <f t="shared" si="12"/>
        <v>0.11554332874828</v>
      </c>
      <c r="Q33" s="113">
        <v>45413</v>
      </c>
      <c r="R33" s="114">
        <v>0.593</v>
      </c>
      <c r="S33" s="114">
        <v>0.407</v>
      </c>
      <c r="T33" s="114"/>
      <c r="U33" s="114"/>
      <c r="V33" s="114"/>
      <c r="W33" s="114"/>
      <c r="X33" s="114"/>
      <c r="Y33" s="113">
        <v>45413</v>
      </c>
      <c r="Z33" s="114">
        <v>0.61</v>
      </c>
      <c r="AA33" s="114">
        <v>0.388</v>
      </c>
      <c r="AB33" s="114"/>
      <c r="AC33" s="114"/>
      <c r="AD33" s="114"/>
    </row>
    <row r="34" ht="14.25" spans="1:30">
      <c r="A34" s="111"/>
      <c r="B34" s="116" t="s">
        <v>176</v>
      </c>
      <c r="C34" s="117">
        <f>C31/C$29</f>
        <v>0.703529411764706</v>
      </c>
      <c r="D34" s="117">
        <f>D31/D$29</f>
        <v>0.704710144927536</v>
      </c>
      <c r="E34" s="117">
        <f t="shared" ref="E34:N34" si="13">E31/E$29</f>
        <v>0.758160237388724</v>
      </c>
      <c r="F34" s="117">
        <f t="shared" si="13"/>
        <v>0.7546875</v>
      </c>
      <c r="G34" s="117">
        <f t="shared" si="13"/>
        <v>0.725105189340814</v>
      </c>
      <c r="H34" s="117">
        <f t="shared" si="13"/>
        <v>0.698979591836735</v>
      </c>
      <c r="I34" s="117">
        <f t="shared" si="13"/>
        <v>0.68944099378882</v>
      </c>
      <c r="J34" s="117">
        <f t="shared" si="13"/>
        <v>0.698695136417556</v>
      </c>
      <c r="K34" s="117">
        <f t="shared" si="13"/>
        <v>0.670079635949943</v>
      </c>
      <c r="L34" s="117">
        <f t="shared" si="13"/>
        <v>0.66329625884732</v>
      </c>
      <c r="M34" s="117">
        <f t="shared" si="13"/>
        <v>0.676908752327747</v>
      </c>
      <c r="N34" s="117">
        <f t="shared" si="13"/>
        <v>0.6919795221843</v>
      </c>
      <c r="Q34" s="113">
        <v>45444</v>
      </c>
      <c r="R34" s="118">
        <v>0.578</v>
      </c>
      <c r="S34" s="114">
        <v>0.421</v>
      </c>
      <c r="T34" s="114"/>
      <c r="U34" s="114"/>
      <c r="V34" s="114"/>
      <c r="W34" s="114"/>
      <c r="X34" s="114"/>
      <c r="Y34" s="113">
        <v>45444</v>
      </c>
      <c r="Z34" s="118">
        <v>0.583</v>
      </c>
      <c r="AA34" s="114">
        <v>0.416</v>
      </c>
      <c r="AB34" s="114"/>
      <c r="AC34" s="114"/>
      <c r="AD34" s="114"/>
    </row>
    <row r="35" ht="14.25" spans="1:30">
      <c r="A35" s="111"/>
      <c r="B35" s="112" t="s">
        <v>174</v>
      </c>
      <c r="C35" s="22">
        <v>28.7</v>
      </c>
      <c r="D35" s="22">
        <v>37.6</v>
      </c>
      <c r="E35" s="22">
        <v>49</v>
      </c>
      <c r="F35" s="22">
        <v>47.1</v>
      </c>
      <c r="G35" s="22">
        <v>52.2</v>
      </c>
      <c r="H35" s="22">
        <v>57.3</v>
      </c>
      <c r="I35" s="22">
        <v>54.1</v>
      </c>
      <c r="J35" s="22">
        <v>59.7</v>
      </c>
      <c r="K35" s="22">
        <v>62.7</v>
      </c>
      <c r="L35" s="22">
        <v>64.6</v>
      </c>
      <c r="M35" s="22">
        <v>70.2</v>
      </c>
      <c r="N35">
        <v>82.5</v>
      </c>
      <c r="Q35" s="113">
        <v>45474</v>
      </c>
      <c r="R35" s="118">
        <v>0.578</v>
      </c>
      <c r="S35" s="118">
        <v>0.419</v>
      </c>
      <c r="Y35" s="113">
        <v>45474</v>
      </c>
      <c r="Z35" s="118">
        <v>0.556</v>
      </c>
      <c r="AA35" s="118">
        <v>0.442</v>
      </c>
    </row>
    <row r="36" ht="14.25" spans="1:30">
      <c r="A36" s="111"/>
      <c r="B36" s="115" t="s">
        <v>69</v>
      </c>
      <c r="C36" s="114">
        <v>-0.182</v>
      </c>
      <c r="D36" s="114">
        <v>0.439</v>
      </c>
      <c r="E36" s="114">
        <v>0.238</v>
      </c>
      <c r="F36" s="114">
        <v>1.037</v>
      </c>
      <c r="G36" s="114">
        <v>0.504</v>
      </c>
      <c r="H36" s="114">
        <v>0.205</v>
      </c>
      <c r="I36" s="114">
        <v>0.182</v>
      </c>
      <c r="J36" s="114">
        <v>0.144</v>
      </c>
      <c r="K36" s="114">
        <v>0.162</v>
      </c>
      <c r="L36" s="114">
        <v>0.188</v>
      </c>
      <c r="M36" s="114">
        <v>0.135</v>
      </c>
      <c r="N36" s="118">
        <f>(N35-N9)/N9</f>
        <v>0.322115384615385</v>
      </c>
      <c r="Q36" s="113">
        <v>45505</v>
      </c>
      <c r="R36" s="118">
        <v>0.587272727272727</v>
      </c>
      <c r="S36" s="118">
        <v>0.408</v>
      </c>
      <c r="Y36" s="113">
        <v>45505</v>
      </c>
      <c r="Z36" s="118">
        <v>0.587</v>
      </c>
      <c r="AA36" s="118">
        <v>0.412</v>
      </c>
    </row>
    <row r="37" ht="14.25" spans="1:30">
      <c r="A37" s="111"/>
      <c r="B37" s="115" t="s">
        <v>64</v>
      </c>
      <c r="C37" s="114">
        <f>(C35-N9)/N9</f>
        <v>-0.540064102564103</v>
      </c>
      <c r="D37" s="114">
        <f t="shared" ref="D37:N37" si="14">(D35-C35)/C35</f>
        <v>0.310104529616725</v>
      </c>
      <c r="E37" s="114">
        <f t="shared" si="14"/>
        <v>0.303191489361702</v>
      </c>
      <c r="F37" s="114">
        <f t="shared" si="14"/>
        <v>-0.0387755102040816</v>
      </c>
      <c r="G37" s="114">
        <f t="shared" si="14"/>
        <v>0.10828025477707</v>
      </c>
      <c r="H37" s="114">
        <f t="shared" si="14"/>
        <v>0.0977011494252872</v>
      </c>
      <c r="I37" s="114">
        <f t="shared" si="14"/>
        <v>-0.0558464223385689</v>
      </c>
      <c r="J37" s="114">
        <f t="shared" si="14"/>
        <v>0.103512014787431</v>
      </c>
      <c r="K37" s="114">
        <f t="shared" si="14"/>
        <v>0.050251256281407</v>
      </c>
      <c r="L37" s="114">
        <f t="shared" si="14"/>
        <v>0.0303030303030302</v>
      </c>
      <c r="M37" s="114">
        <f t="shared" si="14"/>
        <v>0.0866873065015481</v>
      </c>
      <c r="N37" s="114">
        <f t="shared" si="14"/>
        <v>0.175213675213675</v>
      </c>
      <c r="Q37" s="113">
        <v>45536</v>
      </c>
      <c r="R37" s="118">
        <v>0.601377199693956</v>
      </c>
      <c r="S37" s="118">
        <v>0.405594405594406</v>
      </c>
      <c r="Y37" s="113">
        <v>45536</v>
      </c>
      <c r="Z37" s="118">
        <v>0.602175602175602</v>
      </c>
      <c r="AA37" s="118">
        <v>0.397047397047397</v>
      </c>
    </row>
    <row r="38" ht="14.25" spans="1:30">
      <c r="A38" s="111"/>
      <c r="B38" s="116" t="s">
        <v>176</v>
      </c>
      <c r="C38" s="117">
        <f t="shared" ref="C38:N38" si="15">C35/C30</f>
        <v>0.70343137254902</v>
      </c>
      <c r="D38" s="117">
        <f t="shared" si="15"/>
        <v>0.716190476190476</v>
      </c>
      <c r="E38" s="117">
        <f t="shared" si="15"/>
        <v>0.750382848392037</v>
      </c>
      <c r="F38" s="117">
        <f t="shared" si="15"/>
        <v>0.740566037735849</v>
      </c>
      <c r="G38" s="117">
        <f t="shared" si="15"/>
        <v>0.728033472803347</v>
      </c>
      <c r="H38" s="117">
        <f t="shared" si="15"/>
        <v>0.710918114143921</v>
      </c>
      <c r="I38" s="117">
        <f t="shared" si="15"/>
        <v>0.693589743589744</v>
      </c>
      <c r="J38" s="117">
        <f t="shared" si="15"/>
        <v>0.705673758865248</v>
      </c>
      <c r="K38" s="117">
        <f t="shared" si="15"/>
        <v>0.69358407079646</v>
      </c>
      <c r="L38" s="117">
        <f t="shared" si="15"/>
        <v>0.675732217573222</v>
      </c>
      <c r="M38" s="117">
        <f t="shared" si="15"/>
        <v>0.684210526315789</v>
      </c>
      <c r="N38" s="117">
        <f t="shared" si="15"/>
        <v>0.692695214105793</v>
      </c>
      <c r="Q38" s="113">
        <v>45566</v>
      </c>
      <c r="R38" s="118">
        <v>0.594668489405331</v>
      </c>
      <c r="S38" s="118">
        <v>0.414685314685315</v>
      </c>
      <c r="T38" s="114"/>
      <c r="U38" s="114"/>
      <c r="V38" s="114"/>
      <c r="W38" s="114"/>
      <c r="X38" s="114"/>
      <c r="Y38" s="113">
        <v>45566</v>
      </c>
      <c r="Z38" s="118">
        <v>0.588811188811189</v>
      </c>
      <c r="AA38" s="118">
        <v>0.41048951048951</v>
      </c>
      <c r="AB38" s="114"/>
    </row>
    <row r="39" ht="14.25" spans="1:30">
      <c r="A39" s="111" t="s">
        <v>177</v>
      </c>
      <c r="B39" s="112" t="s">
        <v>172</v>
      </c>
      <c r="C39" s="22">
        <v>12.6</v>
      </c>
      <c r="D39" s="22">
        <v>16.3</v>
      </c>
      <c r="E39" s="22">
        <v>16.3</v>
      </c>
      <c r="F39" s="22">
        <v>15.7</v>
      </c>
      <c r="G39" s="22">
        <v>19.5</v>
      </c>
      <c r="H39" s="22">
        <v>23.5</v>
      </c>
      <c r="I39" s="22">
        <v>25</v>
      </c>
      <c r="J39" s="22">
        <v>25.3</v>
      </c>
      <c r="K39" s="22">
        <v>29</v>
      </c>
      <c r="L39" s="22">
        <v>33.2</v>
      </c>
      <c r="M39" s="22">
        <v>34.7</v>
      </c>
      <c r="N39">
        <v>36</v>
      </c>
      <c r="Q39" s="113">
        <v>45597</v>
      </c>
      <c r="R39" s="118">
        <v>0.602171136653895</v>
      </c>
      <c r="S39" s="118">
        <v>0.412037037037037</v>
      </c>
      <c r="Y39" s="113">
        <v>45597</v>
      </c>
      <c r="Z39" s="118">
        <v>0.600529100529101</v>
      </c>
      <c r="AA39" s="118">
        <v>0.399470899470899</v>
      </c>
    </row>
    <row r="40" ht="14.25" spans="1:30">
      <c r="A40" s="111"/>
      <c r="B40" s="115" t="s">
        <v>69</v>
      </c>
      <c r="C40" s="114">
        <v>0.485</v>
      </c>
      <c r="D40" s="114">
        <v>0.965</v>
      </c>
      <c r="E40" s="114">
        <v>0.834</v>
      </c>
      <c r="F40" s="114">
        <v>1.259</v>
      </c>
      <c r="G40" s="114">
        <v>0.917</v>
      </c>
      <c r="H40" s="114">
        <v>0.905</v>
      </c>
      <c r="I40" s="114">
        <v>0.733</v>
      </c>
      <c r="J40" s="114">
        <v>0.639</v>
      </c>
      <c r="K40" s="114">
        <v>0.641</v>
      </c>
      <c r="L40" s="114">
        <v>0.834</v>
      </c>
      <c r="M40" s="114">
        <v>0.937</v>
      </c>
      <c r="N40" s="118">
        <f>(N39-N13)/N13</f>
        <v>0.855670103092784</v>
      </c>
      <c r="Q40" s="113">
        <v>45627</v>
      </c>
      <c r="R40" s="118">
        <f>N60</f>
        <v>0.615686274509804</v>
      </c>
      <c r="S40" s="118">
        <f>N68</f>
        <v>0.384313725490196</v>
      </c>
      <c r="T40" s="114"/>
      <c r="U40" s="114"/>
      <c r="V40" s="114"/>
      <c r="W40" s="114"/>
      <c r="X40" s="114"/>
      <c r="Y40" s="113">
        <v>45627</v>
      </c>
      <c r="Z40" s="118">
        <f>N64</f>
        <v>0.609649122807018</v>
      </c>
      <c r="AA40" s="118">
        <f>N72</f>
        <v>0.389724310776942</v>
      </c>
    </row>
    <row r="41" ht="14.25" spans="1:30">
      <c r="A41" s="111"/>
      <c r="B41" s="115" t="s">
        <v>64</v>
      </c>
      <c r="C41" s="114">
        <f>(C39-N13)/N13</f>
        <v>-0.350515463917526</v>
      </c>
      <c r="D41" s="114">
        <f t="shared" ref="D41:N41" si="16">(D39-C39)/C39</f>
        <v>0.293650793650794</v>
      </c>
      <c r="E41" s="114">
        <f t="shared" si="16"/>
        <v>0</v>
      </c>
      <c r="F41" s="114">
        <f t="shared" si="16"/>
        <v>-0.0368098159509203</v>
      </c>
      <c r="G41" s="114">
        <f t="shared" si="16"/>
        <v>0.24203821656051</v>
      </c>
      <c r="H41" s="114">
        <f t="shared" si="16"/>
        <v>0.205128205128205</v>
      </c>
      <c r="I41" s="114">
        <f t="shared" si="16"/>
        <v>0.0638297872340425</v>
      </c>
      <c r="J41" s="114">
        <f t="shared" si="16"/>
        <v>0.012</v>
      </c>
      <c r="K41" s="114">
        <f t="shared" si="16"/>
        <v>0.146245059288538</v>
      </c>
      <c r="L41" s="114">
        <f t="shared" si="16"/>
        <v>0.144827586206897</v>
      </c>
      <c r="M41" s="114">
        <f t="shared" si="16"/>
        <v>0.0451807228915663</v>
      </c>
      <c r="N41" s="114">
        <f t="shared" si="16"/>
        <v>0.0374639769452449</v>
      </c>
    </row>
    <row r="42" ht="14.25" spans="1:30">
      <c r="A42" s="111"/>
      <c r="B42" s="116" t="s">
        <v>176</v>
      </c>
      <c r="C42" s="117">
        <f>C39/C29</f>
        <v>0.296470588235294</v>
      </c>
      <c r="D42" s="117">
        <f t="shared" ref="D42:N42" si="17">D39/D29</f>
        <v>0.295289855072464</v>
      </c>
      <c r="E42" s="117">
        <f t="shared" si="17"/>
        <v>0.241839762611276</v>
      </c>
      <c r="F42" s="117">
        <f t="shared" si="17"/>
        <v>0.2453125</v>
      </c>
      <c r="G42" s="117">
        <f t="shared" si="17"/>
        <v>0.273492286115007</v>
      </c>
      <c r="H42" s="117">
        <f t="shared" si="17"/>
        <v>0.299744897959184</v>
      </c>
      <c r="I42" s="117">
        <f t="shared" si="17"/>
        <v>0.31055900621118</v>
      </c>
      <c r="J42" s="117">
        <f t="shared" si="17"/>
        <v>0.30011862396204</v>
      </c>
      <c r="K42" s="117">
        <f t="shared" si="17"/>
        <v>0.329920364050057</v>
      </c>
      <c r="L42" s="117">
        <f t="shared" si="17"/>
        <v>0.335692618806876</v>
      </c>
      <c r="M42" s="117">
        <f t="shared" si="17"/>
        <v>0.323091247672253</v>
      </c>
      <c r="N42" s="117">
        <f t="shared" si="17"/>
        <v>0.307167235494881</v>
      </c>
    </row>
    <row r="43" ht="14.25" spans="1:30">
      <c r="A43" s="111"/>
      <c r="B43" s="112" t="s">
        <v>174</v>
      </c>
      <c r="C43" s="22">
        <v>12.1</v>
      </c>
      <c r="D43" s="22">
        <v>14.9</v>
      </c>
      <c r="E43" s="22">
        <v>16.3</v>
      </c>
      <c r="F43" s="22">
        <v>16.5</v>
      </c>
      <c r="G43" s="22">
        <v>19.4</v>
      </c>
      <c r="H43" s="22">
        <v>23.2</v>
      </c>
      <c r="I43" s="22">
        <v>23.9</v>
      </c>
      <c r="J43" s="22">
        <v>24.9</v>
      </c>
      <c r="K43" s="22">
        <v>27.7</v>
      </c>
      <c r="L43" s="22">
        <v>31</v>
      </c>
      <c r="M43" s="22">
        <v>32.3</v>
      </c>
      <c r="N43">
        <v>36.4</v>
      </c>
    </row>
    <row r="44" ht="14.25" spans="1:30">
      <c r="A44" s="111"/>
      <c r="B44" s="115" t="s">
        <v>69</v>
      </c>
      <c r="C44" s="114">
        <v>0.425</v>
      </c>
      <c r="D44" s="114">
        <v>0.98</v>
      </c>
      <c r="E44" s="114">
        <v>0.843</v>
      </c>
      <c r="F44" s="114">
        <v>1.445</v>
      </c>
      <c r="G44" s="114">
        <v>0.944</v>
      </c>
      <c r="H44" s="114">
        <v>0.93</v>
      </c>
      <c r="I44" s="114">
        <v>0.77</v>
      </c>
      <c r="J44" s="114">
        <v>0.728</v>
      </c>
      <c r="K44" s="114">
        <v>0.644</v>
      </c>
      <c r="L44" s="114">
        <v>0.802</v>
      </c>
      <c r="M44" s="114">
        <v>0.895</v>
      </c>
      <c r="N44" s="118">
        <f>(N43-N17)/N17</f>
        <v>0.925925925925926</v>
      </c>
    </row>
    <row r="45" ht="14.25" spans="1:30">
      <c r="A45" s="111"/>
      <c r="B45" s="115" t="s">
        <v>64</v>
      </c>
      <c r="C45" s="114">
        <f>(C43-N17)/N17</f>
        <v>-0.35978835978836</v>
      </c>
      <c r="D45" s="114">
        <f t="shared" ref="D45:N45" si="18">(D43-C43)/C43</f>
        <v>0.231404958677686</v>
      </c>
      <c r="E45" s="114">
        <f t="shared" si="18"/>
        <v>0.0939597315436242</v>
      </c>
      <c r="F45" s="114">
        <f t="shared" si="18"/>
        <v>0.0122699386503067</v>
      </c>
      <c r="G45" s="114">
        <f t="shared" si="18"/>
        <v>0.175757575757576</v>
      </c>
      <c r="H45" s="114">
        <f t="shared" si="18"/>
        <v>0.195876288659794</v>
      </c>
      <c r="I45" s="114">
        <f t="shared" si="18"/>
        <v>0.0301724137931034</v>
      </c>
      <c r="J45" s="114">
        <f t="shared" si="18"/>
        <v>0.0418410041841004</v>
      </c>
      <c r="K45" s="114">
        <f t="shared" si="18"/>
        <v>0.112449799196787</v>
      </c>
      <c r="L45" s="114">
        <f t="shared" si="18"/>
        <v>0.11913357400722</v>
      </c>
      <c r="M45" s="114">
        <f t="shared" si="18"/>
        <v>0.0419354838709676</v>
      </c>
      <c r="N45" s="114">
        <f t="shared" si="18"/>
        <v>0.126934984520124</v>
      </c>
    </row>
    <row r="46" ht="14.25" spans="1:30">
      <c r="A46" s="111"/>
      <c r="B46" s="116" t="s">
        <v>176</v>
      </c>
      <c r="C46" s="117">
        <f>C43/C$30</f>
        <v>0.29656862745098</v>
      </c>
      <c r="D46" s="117">
        <f t="shared" ref="D46:N46" si="19">D43/D$30</f>
        <v>0.283809523809524</v>
      </c>
      <c r="E46" s="117">
        <f t="shared" si="19"/>
        <v>0.249617151607963</v>
      </c>
      <c r="F46" s="117">
        <f t="shared" si="19"/>
        <v>0.259433962264151</v>
      </c>
      <c r="G46" s="117">
        <f t="shared" si="19"/>
        <v>0.270571827057183</v>
      </c>
      <c r="H46" s="117">
        <f t="shared" si="19"/>
        <v>0.287841191066998</v>
      </c>
      <c r="I46" s="117">
        <f t="shared" si="19"/>
        <v>0.306410256410256</v>
      </c>
      <c r="J46" s="117">
        <f t="shared" si="19"/>
        <v>0.294326241134752</v>
      </c>
      <c r="K46" s="117">
        <f t="shared" si="19"/>
        <v>0.30641592920354</v>
      </c>
      <c r="L46" s="117">
        <f t="shared" si="19"/>
        <v>0.324267782426778</v>
      </c>
      <c r="M46" s="117">
        <f t="shared" si="19"/>
        <v>0.314814814814815</v>
      </c>
      <c r="N46" s="117">
        <f t="shared" si="19"/>
        <v>0.305625524769102</v>
      </c>
    </row>
    <row r="47" ht="14.25" spans="1:30">
      <c r="A47" s="111" t="s">
        <v>178</v>
      </c>
      <c r="B47" s="112" t="s">
        <v>172</v>
      </c>
      <c r="C47" s="22">
        <v>0.01</v>
      </c>
      <c r="D47" s="22">
        <v>0.01</v>
      </c>
      <c r="E47" s="22">
        <v>0.04</v>
      </c>
      <c r="F47" s="22">
        <v>0.04</v>
      </c>
      <c r="G47" s="22">
        <v>0.1</v>
      </c>
      <c r="H47" s="22">
        <v>0.1</v>
      </c>
      <c r="I47" s="22">
        <v>0.02</v>
      </c>
      <c r="J47" s="22">
        <v>0.01</v>
      </c>
      <c r="K47" s="22">
        <v>0.01</v>
      </c>
      <c r="L47" s="22">
        <v>0.04</v>
      </c>
      <c r="M47" s="22">
        <v>0.1</v>
      </c>
      <c r="N47">
        <v>0.1</v>
      </c>
    </row>
    <row r="48" ht="14.25" spans="1:30">
      <c r="A48" s="111"/>
      <c r="B48" s="115" t="s">
        <v>69</v>
      </c>
      <c r="C48" s="114">
        <v>-0.542</v>
      </c>
      <c r="D48" s="114">
        <v>-0.531</v>
      </c>
      <c r="E48" s="114">
        <v>-0.198</v>
      </c>
      <c r="F48" s="114">
        <v>1.281</v>
      </c>
      <c r="G48" s="114">
        <v>2.062</v>
      </c>
      <c r="H48" s="114">
        <v>0.271</v>
      </c>
      <c r="I48" s="114">
        <v>-0.172</v>
      </c>
      <c r="J48" s="114">
        <v>0.052</v>
      </c>
      <c r="K48" s="114">
        <v>-0.213</v>
      </c>
      <c r="L48" s="114">
        <v>0.482</v>
      </c>
      <c r="M48" s="114">
        <v>1.239</v>
      </c>
      <c r="N48">
        <f>(N47-N21)/N21</f>
        <v>0</v>
      </c>
    </row>
    <row r="49" ht="14.25" spans="1:24">
      <c r="A49" s="111"/>
      <c r="B49" s="115" t="s">
        <v>64</v>
      </c>
      <c r="C49" s="114">
        <f>(C47-N21)/N21</f>
        <v>-0.9</v>
      </c>
      <c r="D49" s="114">
        <f t="shared" ref="D49:N49" si="20">(D47-C47)/C47</f>
        <v>0</v>
      </c>
      <c r="E49" s="114">
        <f t="shared" si="20"/>
        <v>3</v>
      </c>
      <c r="F49" s="114">
        <f t="shared" si="20"/>
        <v>0</v>
      </c>
      <c r="G49" s="114">
        <f t="shared" si="20"/>
        <v>1.5</v>
      </c>
      <c r="H49" s="114">
        <f t="shared" si="20"/>
        <v>0</v>
      </c>
      <c r="I49" s="114">
        <f t="shared" si="20"/>
        <v>-0.8</v>
      </c>
      <c r="J49" s="114">
        <f t="shared" si="20"/>
        <v>-0.5</v>
      </c>
      <c r="K49" s="114">
        <f t="shared" si="20"/>
        <v>0</v>
      </c>
      <c r="L49" s="114">
        <f t="shared" si="20"/>
        <v>3</v>
      </c>
      <c r="M49" s="114">
        <f t="shared" si="20"/>
        <v>1.5</v>
      </c>
      <c r="N49" s="114">
        <f t="shared" si="20"/>
        <v>0</v>
      </c>
    </row>
    <row r="50" ht="14.25" spans="1:24">
      <c r="A50" s="111"/>
      <c r="B50" s="116" t="s">
        <v>176</v>
      </c>
      <c r="C50" s="117">
        <f>C47/C$29</f>
        <v>0.000235294117647059</v>
      </c>
      <c r="D50" s="117">
        <f t="shared" ref="D50:N50" si="21">D47/D$29</f>
        <v>0.000181159420289855</v>
      </c>
      <c r="E50" s="117">
        <f t="shared" si="21"/>
        <v>0.000593471810089021</v>
      </c>
      <c r="F50" s="117">
        <f t="shared" si="21"/>
        <v>0.000625</v>
      </c>
      <c r="G50" s="117">
        <f t="shared" si="21"/>
        <v>0.00140252454417952</v>
      </c>
      <c r="H50" s="117">
        <f t="shared" si="21"/>
        <v>0.00127551020408163</v>
      </c>
      <c r="I50" s="117">
        <f t="shared" si="21"/>
        <v>0.000248447204968944</v>
      </c>
      <c r="J50" s="117">
        <f t="shared" si="21"/>
        <v>0.000118623962040332</v>
      </c>
      <c r="K50" s="117">
        <f t="shared" si="21"/>
        <v>0.000113765642775882</v>
      </c>
      <c r="L50" s="117">
        <f t="shared" si="21"/>
        <v>0.000404448938321537</v>
      </c>
      <c r="M50" s="117">
        <f t="shared" si="21"/>
        <v>0.000931098696461825</v>
      </c>
      <c r="N50" s="117">
        <f t="shared" si="21"/>
        <v>0.000853242320819113</v>
      </c>
    </row>
    <row r="51" ht="14.25" spans="1:24">
      <c r="A51" s="111"/>
      <c r="B51" s="112" t="s">
        <v>174</v>
      </c>
      <c r="C51" s="22">
        <v>0.02</v>
      </c>
      <c r="D51" s="22">
        <v>0.004</v>
      </c>
      <c r="E51" s="22">
        <v>0.05</v>
      </c>
      <c r="F51" s="22">
        <v>0.03</v>
      </c>
      <c r="G51" s="22">
        <v>0.04</v>
      </c>
      <c r="H51" s="22">
        <v>0.1</v>
      </c>
      <c r="I51" s="22">
        <v>0.03</v>
      </c>
      <c r="J51" s="22">
        <v>0.02</v>
      </c>
      <c r="K51" s="22">
        <v>0.001</v>
      </c>
      <c r="L51" s="22">
        <v>0.05</v>
      </c>
      <c r="M51" s="22">
        <v>0.1</v>
      </c>
      <c r="N51">
        <v>0.2</v>
      </c>
    </row>
    <row r="52" ht="14.25" spans="1:24">
      <c r="A52" s="111"/>
      <c r="B52" s="115" t="s">
        <v>69</v>
      </c>
      <c r="C52" s="114">
        <v>-0.156</v>
      </c>
      <c r="D52" s="114">
        <v>-0.775</v>
      </c>
      <c r="E52" s="114">
        <v>0.27</v>
      </c>
      <c r="F52" s="114">
        <v>2.223</v>
      </c>
      <c r="G52" s="114">
        <v>3.107</v>
      </c>
      <c r="H52" s="114">
        <v>1.099</v>
      </c>
      <c r="I52" s="114">
        <v>0.131</v>
      </c>
      <c r="J52" s="114">
        <v>-0.306</v>
      </c>
      <c r="K52" s="114">
        <v>-0.93</v>
      </c>
      <c r="L52" s="114">
        <v>0.564</v>
      </c>
      <c r="M52" s="114">
        <v>0.763</v>
      </c>
      <c r="N52">
        <f>(N51-N25)/N25</f>
        <v>1</v>
      </c>
    </row>
    <row r="53" ht="14.25" spans="1:24">
      <c r="A53" s="111"/>
      <c r="B53" s="115" t="s">
        <v>64</v>
      </c>
      <c r="C53" s="114">
        <f>(C51-N25)/N25</f>
        <v>-0.8</v>
      </c>
      <c r="D53" s="114">
        <f t="shared" ref="D53:N53" si="22">(D51-C51)/C51</f>
        <v>-0.8</v>
      </c>
      <c r="E53" s="114">
        <f t="shared" si="22"/>
        <v>11.5</v>
      </c>
      <c r="F53" s="114">
        <f t="shared" si="22"/>
        <v>-0.4</v>
      </c>
      <c r="G53" s="114">
        <f t="shared" si="22"/>
        <v>0.333333333333333</v>
      </c>
      <c r="H53" s="114">
        <f t="shared" si="22"/>
        <v>1.5</v>
      </c>
      <c r="I53" s="114">
        <f t="shared" si="22"/>
        <v>-0.7</v>
      </c>
      <c r="J53" s="114">
        <f t="shared" si="22"/>
        <v>-0.333333333333333</v>
      </c>
      <c r="K53" s="114">
        <f t="shared" si="22"/>
        <v>-0.95</v>
      </c>
      <c r="L53" s="114">
        <f t="shared" si="22"/>
        <v>49</v>
      </c>
      <c r="M53" s="114">
        <f t="shared" si="22"/>
        <v>1</v>
      </c>
      <c r="N53" s="114">
        <f t="shared" si="22"/>
        <v>1</v>
      </c>
    </row>
    <row r="54" ht="14.25" spans="1:24">
      <c r="A54" s="111"/>
      <c r="B54" s="116" t="s">
        <v>176</v>
      </c>
      <c r="C54" s="117">
        <f t="shared" ref="C54:N54" si="23">C51/C$30</f>
        <v>0.000490196078431373</v>
      </c>
      <c r="D54" s="117">
        <f t="shared" si="23"/>
        <v>7.61904761904762e-5</v>
      </c>
      <c r="E54" s="117">
        <f t="shared" si="23"/>
        <v>0.000765696784073507</v>
      </c>
      <c r="F54" s="117">
        <f t="shared" si="23"/>
        <v>0.000471698113207547</v>
      </c>
      <c r="G54" s="117">
        <f t="shared" si="23"/>
        <v>0.000557880055788006</v>
      </c>
      <c r="H54" s="117">
        <f t="shared" si="23"/>
        <v>0.00124069478908189</v>
      </c>
      <c r="I54" s="117">
        <f t="shared" si="23"/>
        <v>0.000384615384615385</v>
      </c>
      <c r="J54" s="117">
        <f t="shared" si="23"/>
        <v>0.000236406619385343</v>
      </c>
      <c r="K54" s="117">
        <f t="shared" si="23"/>
        <v>1.10619469026549e-5</v>
      </c>
      <c r="L54" s="117">
        <f t="shared" si="23"/>
        <v>0.000523012552301255</v>
      </c>
      <c r="M54" s="117">
        <f t="shared" si="23"/>
        <v>0.000974658869395712</v>
      </c>
      <c r="N54" s="117">
        <f t="shared" si="23"/>
        <v>0.00167926112510495</v>
      </c>
    </row>
    <row r="55" ht="14.25" spans="1:24">
      <c r="A55" s="111"/>
      <c r="B55" s="47" t="s">
        <v>181</v>
      </c>
      <c r="C55" s="109">
        <v>78.7</v>
      </c>
      <c r="D55" s="109">
        <v>46.4</v>
      </c>
      <c r="E55" s="109">
        <v>86.3</v>
      </c>
      <c r="F55" s="109">
        <v>87</v>
      </c>
      <c r="G55" s="109">
        <v>94</v>
      </c>
      <c r="H55" s="109">
        <v>100.3</v>
      </c>
      <c r="I55" s="109">
        <v>98.4</v>
      </c>
      <c r="J55" s="109">
        <v>109.2</v>
      </c>
      <c r="K55" s="109">
        <v>130.7</v>
      </c>
      <c r="L55" s="109">
        <v>146.3</v>
      </c>
      <c r="M55" s="109">
        <v>156.6</v>
      </c>
      <c r="N55" s="109">
        <v>153</v>
      </c>
      <c r="O55" s="110">
        <f>SUM(C55:N55)</f>
        <v>1286.9</v>
      </c>
    </row>
    <row r="56" ht="14.25" spans="1:24">
      <c r="B56" s="47" t="s">
        <v>182</v>
      </c>
      <c r="C56" s="22">
        <v>72.9</v>
      </c>
      <c r="D56" s="22">
        <v>47.7</v>
      </c>
      <c r="E56" s="22">
        <v>88.3</v>
      </c>
      <c r="F56" s="22">
        <v>85</v>
      </c>
      <c r="G56" s="22">
        <v>95.5</v>
      </c>
      <c r="H56" s="22">
        <v>104.9</v>
      </c>
      <c r="I56" s="22">
        <v>99.1</v>
      </c>
      <c r="J56" s="22">
        <v>110</v>
      </c>
      <c r="K56" s="22">
        <v>128.7</v>
      </c>
      <c r="L56" s="22">
        <v>143</v>
      </c>
      <c r="M56" s="22">
        <v>151.2</v>
      </c>
      <c r="N56" s="22">
        <v>159.6</v>
      </c>
      <c r="O56" s="110">
        <f>SUM(C56:N56)</f>
        <v>1285.9</v>
      </c>
    </row>
    <row r="57" ht="14.25" spans="1:24">
      <c r="A57" s="111" t="s">
        <v>175</v>
      </c>
      <c r="B57" s="112" t="s">
        <v>172</v>
      </c>
      <c r="C57" s="22">
        <v>48.9</v>
      </c>
      <c r="D57" s="22">
        <v>28</v>
      </c>
      <c r="E57" s="22">
        <v>54.6</v>
      </c>
      <c r="F57" s="22">
        <v>53.5</v>
      </c>
      <c r="G57" s="22">
        <v>55.7</v>
      </c>
      <c r="H57" s="22">
        <v>58</v>
      </c>
      <c r="I57" s="22">
        <v>56.9</v>
      </c>
      <c r="J57" s="22">
        <v>64.6</v>
      </c>
      <c r="K57" s="22">
        <v>78.6</v>
      </c>
      <c r="L57" s="22">
        <v>87</v>
      </c>
      <c r="M57" s="22">
        <v>94.3</v>
      </c>
      <c r="N57" s="22">
        <v>94.2</v>
      </c>
    </row>
    <row r="58" ht="14.25" spans="1:24">
      <c r="A58" s="111"/>
      <c r="B58" s="115" t="s">
        <v>69</v>
      </c>
      <c r="C58" s="114">
        <v>0.639</v>
      </c>
      <c r="D58" s="114">
        <v>-0.28</v>
      </c>
      <c r="E58" s="114">
        <v>0.07</v>
      </c>
      <c r="F58" s="114">
        <v>0.116</v>
      </c>
      <c r="G58" s="114">
        <v>0.088</v>
      </c>
      <c r="H58" s="114">
        <v>0.064</v>
      </c>
      <c r="I58" s="114">
        <v>0.033</v>
      </c>
      <c r="J58" s="114">
        <v>0.097</v>
      </c>
      <c r="K58" s="114">
        <v>0.334</v>
      </c>
      <c r="L58" s="114">
        <v>0.326</v>
      </c>
      <c r="M58" s="114">
        <v>0.297</v>
      </c>
      <c r="N58" s="114">
        <v>0.161</v>
      </c>
    </row>
    <row r="59" ht="14.25" spans="1:24">
      <c r="A59" s="111"/>
      <c r="B59" s="115" t="s">
        <v>64</v>
      </c>
      <c r="C59" s="114">
        <f>(C57-N31)/N31</f>
        <v>-0.397040690505549</v>
      </c>
      <c r="D59" s="114">
        <f t="shared" ref="D59:N59" si="24">D57/C57-1</f>
        <v>-0.427402862985685</v>
      </c>
      <c r="E59" s="114">
        <f t="shared" si="24"/>
        <v>0.95</v>
      </c>
      <c r="F59" s="114">
        <f t="shared" si="24"/>
        <v>-0.0201465201465202</v>
      </c>
      <c r="G59" s="114">
        <f t="shared" si="24"/>
        <v>0.0411214953271029</v>
      </c>
      <c r="H59" s="114">
        <f t="shared" si="24"/>
        <v>0.0412926391382404</v>
      </c>
      <c r="I59" s="114">
        <f t="shared" si="24"/>
        <v>-0.0189655172413793</v>
      </c>
      <c r="J59" s="114">
        <f t="shared" si="24"/>
        <v>0.135325131810193</v>
      </c>
      <c r="K59" s="114">
        <f t="shared" si="24"/>
        <v>0.21671826625387</v>
      </c>
      <c r="L59" s="114">
        <f t="shared" si="24"/>
        <v>0.106870229007634</v>
      </c>
      <c r="M59" s="114">
        <f t="shared" si="24"/>
        <v>0.0839080459770114</v>
      </c>
      <c r="N59" s="114">
        <f t="shared" si="24"/>
        <v>-0.00106044538706251</v>
      </c>
      <c r="P59" s="114"/>
      <c r="Q59" s="114"/>
      <c r="R59" s="114"/>
      <c r="S59" s="114"/>
      <c r="T59" s="114"/>
      <c r="U59" s="114"/>
      <c r="V59" s="114"/>
      <c r="W59" s="114"/>
      <c r="X59" s="114"/>
    </row>
    <row r="60" ht="14.25" spans="1:24">
      <c r="A60" s="111"/>
      <c r="B60" s="116" t="s">
        <v>176</v>
      </c>
      <c r="C60" s="117">
        <f>C57/C55</f>
        <v>0.621346886912325</v>
      </c>
      <c r="D60" s="117">
        <f>D57/46.4</f>
        <v>0.603448275862069</v>
      </c>
      <c r="E60" s="117">
        <f>E57/86.3</f>
        <v>0.632676709154114</v>
      </c>
      <c r="F60" s="117">
        <f t="shared" ref="F60:K60" si="25">F57/F55</f>
        <v>0.614942528735632</v>
      </c>
      <c r="G60" s="117">
        <f t="shared" si="25"/>
        <v>0.592553191489362</v>
      </c>
      <c r="H60" s="117">
        <f t="shared" si="25"/>
        <v>0.578265204386839</v>
      </c>
      <c r="I60" s="117">
        <f t="shared" si="25"/>
        <v>0.578252032520325</v>
      </c>
      <c r="J60" s="117">
        <f t="shared" si="25"/>
        <v>0.591575091575091</v>
      </c>
      <c r="K60" s="117">
        <f t="shared" si="25"/>
        <v>0.601377199693956</v>
      </c>
      <c r="L60" s="117">
        <f t="shared" ref="L60:N60" si="26">L57/L55</f>
        <v>0.594668489405331</v>
      </c>
      <c r="M60" s="117">
        <f t="shared" si="26"/>
        <v>0.602171136653895</v>
      </c>
      <c r="N60" s="117">
        <f t="shared" si="26"/>
        <v>0.615686274509804</v>
      </c>
      <c r="P60" s="114"/>
      <c r="Q60" s="114"/>
      <c r="R60" s="114"/>
      <c r="S60" s="114"/>
      <c r="T60" s="114"/>
      <c r="U60" s="114"/>
      <c r="V60" s="114"/>
      <c r="W60" s="114"/>
      <c r="X60" s="114"/>
    </row>
    <row r="61" ht="14.25" spans="1:24">
      <c r="A61" s="111"/>
      <c r="B61" s="112" t="s">
        <v>174</v>
      </c>
      <c r="C61" s="22">
        <v>44.5</v>
      </c>
      <c r="D61" s="22">
        <v>29.4</v>
      </c>
      <c r="E61" s="22">
        <v>56.6</v>
      </c>
      <c r="F61" s="22">
        <v>51.9</v>
      </c>
      <c r="G61" s="22">
        <v>58.3</v>
      </c>
      <c r="H61" s="22">
        <v>61.2</v>
      </c>
      <c r="I61" s="22">
        <v>55.1</v>
      </c>
      <c r="J61" s="22">
        <v>64.6</v>
      </c>
      <c r="K61" s="22">
        <v>77.5</v>
      </c>
      <c r="L61" s="22">
        <v>84.2</v>
      </c>
      <c r="M61" s="22">
        <v>90.8</v>
      </c>
      <c r="N61" s="22">
        <v>97.3</v>
      </c>
      <c r="P61" s="114"/>
      <c r="Q61" s="114"/>
      <c r="R61" s="114"/>
      <c r="S61" s="114"/>
      <c r="T61" s="114"/>
      <c r="U61" s="114"/>
      <c r="V61" s="114"/>
      <c r="W61" s="114"/>
      <c r="X61" s="114"/>
    </row>
    <row r="62" ht="14.25" spans="1:24">
      <c r="A62" s="111"/>
      <c r="B62" s="115" t="s">
        <v>69</v>
      </c>
      <c r="C62" s="114">
        <v>0.551</v>
      </c>
      <c r="D62" s="114">
        <v>-0.218</v>
      </c>
      <c r="E62" s="114">
        <v>0.155</v>
      </c>
      <c r="F62" s="114">
        <v>0.111</v>
      </c>
      <c r="G62" s="114">
        <v>0.125</v>
      </c>
      <c r="H62" s="114">
        <v>0.074</v>
      </c>
      <c r="I62" s="114">
        <v>0.026</v>
      </c>
      <c r="J62" s="114">
        <v>0.083</v>
      </c>
      <c r="K62" s="114">
        <v>0.238</v>
      </c>
      <c r="L62" s="114">
        <v>0.304</v>
      </c>
      <c r="M62" s="114">
        <v>0.293</v>
      </c>
      <c r="N62" s="118">
        <v>0.179</v>
      </c>
      <c r="P62" s="114"/>
      <c r="Q62" s="114"/>
      <c r="R62" s="114"/>
      <c r="S62" s="114"/>
      <c r="T62" s="114"/>
      <c r="U62" s="114"/>
      <c r="V62" s="114"/>
      <c r="W62" s="114"/>
      <c r="X62" s="114"/>
    </row>
    <row r="63" ht="14.25" spans="1:24">
      <c r="A63" s="111"/>
      <c r="B63" s="115" t="s">
        <v>64</v>
      </c>
      <c r="C63" s="114">
        <f>(C61-N35)/N35</f>
        <v>-0.460606060606061</v>
      </c>
      <c r="D63" s="114">
        <f t="shared" ref="D63:N63" si="27">D61/C61-1</f>
        <v>-0.339325842696629</v>
      </c>
      <c r="E63" s="114">
        <f t="shared" si="27"/>
        <v>0.925170068027211</v>
      </c>
      <c r="F63" s="114">
        <f t="shared" si="27"/>
        <v>-0.0830388692579506</v>
      </c>
      <c r="G63" s="114">
        <f t="shared" si="27"/>
        <v>0.123314065510597</v>
      </c>
      <c r="H63" s="114">
        <f t="shared" si="27"/>
        <v>0.0497427101200687</v>
      </c>
      <c r="I63" s="114">
        <f t="shared" si="27"/>
        <v>-0.0996732026143791</v>
      </c>
      <c r="J63" s="114">
        <f t="shared" si="27"/>
        <v>0.172413793103448</v>
      </c>
      <c r="K63" s="114">
        <f t="shared" si="27"/>
        <v>0.19969040247678</v>
      </c>
      <c r="L63" s="114">
        <f t="shared" si="27"/>
        <v>0.0864516129032258</v>
      </c>
      <c r="M63" s="114">
        <f t="shared" si="27"/>
        <v>0.0783847980997625</v>
      </c>
      <c r="N63" s="114">
        <f t="shared" si="27"/>
        <v>0.0715859030837005</v>
      </c>
      <c r="P63" s="114"/>
      <c r="Q63" s="114"/>
      <c r="R63" s="114"/>
      <c r="S63" s="114"/>
      <c r="T63" s="114"/>
      <c r="U63" s="114"/>
      <c r="V63" s="114"/>
      <c r="W63" s="114"/>
      <c r="X63" s="114"/>
    </row>
    <row r="64" ht="14.25" spans="1:24">
      <c r="A64" s="111"/>
      <c r="B64" s="116" t="s">
        <v>176</v>
      </c>
      <c r="C64" s="117">
        <f>C61/C56</f>
        <v>0.61042524005487</v>
      </c>
      <c r="D64" s="117">
        <f>D61/47.7</f>
        <v>0.616352201257862</v>
      </c>
      <c r="E64" s="117">
        <f>E61/88.3</f>
        <v>0.640996602491506</v>
      </c>
      <c r="F64" s="117">
        <f t="shared" ref="F64:K64" si="28">F61/F56</f>
        <v>0.610588235294118</v>
      </c>
      <c r="G64" s="117">
        <f t="shared" si="28"/>
        <v>0.610471204188482</v>
      </c>
      <c r="H64" s="117">
        <f t="shared" si="28"/>
        <v>0.583412774070543</v>
      </c>
      <c r="I64" s="117">
        <f t="shared" si="28"/>
        <v>0.556004036326943</v>
      </c>
      <c r="J64" s="117">
        <f t="shared" si="28"/>
        <v>0.587272727272727</v>
      </c>
      <c r="K64" s="117">
        <f t="shared" si="28"/>
        <v>0.602175602175602</v>
      </c>
      <c r="L64" s="117">
        <f t="shared" ref="L64:N64" si="29">L61/L56</f>
        <v>0.588811188811189</v>
      </c>
      <c r="M64" s="117">
        <f t="shared" si="29"/>
        <v>0.600529100529101</v>
      </c>
      <c r="N64" s="117">
        <f t="shared" si="29"/>
        <v>0.609649122807018</v>
      </c>
      <c r="P64" s="114"/>
      <c r="Q64" s="114"/>
      <c r="R64" s="114"/>
      <c r="S64" s="114"/>
      <c r="T64" s="114"/>
      <c r="U64" s="114"/>
      <c r="V64" s="114"/>
      <c r="W64" s="114"/>
      <c r="X64" s="114"/>
    </row>
    <row r="65" ht="14.25" spans="1:14">
      <c r="A65" s="111" t="s">
        <v>177</v>
      </c>
      <c r="B65" s="112" t="s">
        <v>172</v>
      </c>
      <c r="C65" s="22">
        <v>29.7</v>
      </c>
      <c r="D65" s="22">
        <v>18.3</v>
      </c>
      <c r="E65" s="22">
        <v>31.7</v>
      </c>
      <c r="F65" s="22">
        <v>33.4</v>
      </c>
      <c r="G65" s="22">
        <v>38.3</v>
      </c>
      <c r="H65" s="22">
        <v>42.2</v>
      </c>
      <c r="I65" s="22">
        <v>41.5</v>
      </c>
      <c r="J65" s="22">
        <v>44.5</v>
      </c>
      <c r="K65" s="22">
        <v>52.2</v>
      </c>
      <c r="L65" s="22">
        <v>59.3</v>
      </c>
      <c r="M65" s="22">
        <v>62.3</v>
      </c>
      <c r="N65" s="22">
        <v>58.8</v>
      </c>
    </row>
    <row r="66" ht="14.25" spans="1:14">
      <c r="A66" s="111"/>
      <c r="B66" s="115" t="s">
        <v>69</v>
      </c>
      <c r="C66" s="114">
        <v>1.361</v>
      </c>
      <c r="D66" s="114">
        <v>0.125</v>
      </c>
      <c r="E66" s="114">
        <v>0.946</v>
      </c>
      <c r="F66" s="114">
        <v>1.085</v>
      </c>
      <c r="G66" s="114">
        <v>0.912</v>
      </c>
      <c r="H66" s="114">
        <v>0.774</v>
      </c>
      <c r="I66" s="114">
        <v>0.633</v>
      </c>
      <c r="J66" s="114">
        <v>0.756</v>
      </c>
      <c r="K66" s="114">
        <v>0.801</v>
      </c>
      <c r="L66" s="114">
        <v>0.784</v>
      </c>
      <c r="M66" s="114">
        <v>0.797</v>
      </c>
      <c r="N66" s="118">
        <v>0.634</v>
      </c>
    </row>
    <row r="67" ht="14.25" spans="1:14">
      <c r="A67" s="111"/>
      <c r="B67" s="115" t="s">
        <v>64</v>
      </c>
      <c r="C67" s="114">
        <f>(C65-N39)/N39</f>
        <v>-0.175</v>
      </c>
      <c r="D67" s="114">
        <f t="shared" ref="D67:N67" si="30">D65/C65-1</f>
        <v>-0.383838383838384</v>
      </c>
      <c r="E67" s="114">
        <f t="shared" si="30"/>
        <v>0.73224043715847</v>
      </c>
      <c r="F67" s="114">
        <f t="shared" si="30"/>
        <v>0.0536277602523658</v>
      </c>
      <c r="G67" s="114">
        <f t="shared" si="30"/>
        <v>0.146706586826347</v>
      </c>
      <c r="H67" s="114">
        <f t="shared" si="30"/>
        <v>0.101827676240209</v>
      </c>
      <c r="I67" s="114">
        <f t="shared" si="30"/>
        <v>-0.0165876777251186</v>
      </c>
      <c r="J67" s="114">
        <f t="shared" si="30"/>
        <v>0.072289156626506</v>
      </c>
      <c r="K67" s="114">
        <f t="shared" si="30"/>
        <v>0.173033707865169</v>
      </c>
      <c r="L67" s="114">
        <f t="shared" si="30"/>
        <v>0.136015325670498</v>
      </c>
      <c r="M67" s="114">
        <f t="shared" si="30"/>
        <v>0.0505902192242833</v>
      </c>
      <c r="N67" s="114">
        <f t="shared" si="30"/>
        <v>-0.0561797752808989</v>
      </c>
    </row>
    <row r="68" ht="14.25" spans="1:14">
      <c r="A68" s="111"/>
      <c r="B68" s="116" t="s">
        <v>176</v>
      </c>
      <c r="C68" s="117">
        <f>C65/78.7</f>
        <v>0.377382465057179</v>
      </c>
      <c r="D68" s="117">
        <f>D65/46.4</f>
        <v>0.394396551724138</v>
      </c>
      <c r="E68" s="117">
        <f>E65/86.3</f>
        <v>0.367323290845886</v>
      </c>
      <c r="F68" s="117">
        <f>F65/F55</f>
        <v>0.383908045977012</v>
      </c>
      <c r="G68" s="117">
        <f>G65/G55</f>
        <v>0.407446808510638</v>
      </c>
      <c r="H68" s="117">
        <f>H65/H55</f>
        <v>0.42073778664008</v>
      </c>
      <c r="I68" s="117">
        <f>I65/I55</f>
        <v>0.421747967479675</v>
      </c>
      <c r="J68" s="117">
        <f>J65/J55</f>
        <v>0.407509157509158</v>
      </c>
      <c r="K68" s="117">
        <f>K65/K56</f>
        <v>0.405594405594406</v>
      </c>
      <c r="L68" s="117">
        <f>L65/L56</f>
        <v>0.414685314685315</v>
      </c>
      <c r="M68" s="117">
        <f>M65/M56</f>
        <v>0.412037037037037</v>
      </c>
      <c r="N68" s="117">
        <f>N65/N55</f>
        <v>0.384313725490196</v>
      </c>
    </row>
    <row r="69" ht="14.25" spans="1:14">
      <c r="A69" s="111"/>
      <c r="B69" s="112" t="s">
        <v>174</v>
      </c>
      <c r="C69" s="22">
        <v>28.4</v>
      </c>
      <c r="D69" s="22">
        <v>18.3</v>
      </c>
      <c r="E69" s="22">
        <v>31.7</v>
      </c>
      <c r="F69" s="22">
        <v>33.1</v>
      </c>
      <c r="G69" s="22">
        <v>37.1</v>
      </c>
      <c r="H69" s="22">
        <v>43.6</v>
      </c>
      <c r="I69" s="22">
        <v>43.8</v>
      </c>
      <c r="J69" s="22">
        <v>45.3</v>
      </c>
      <c r="K69" s="22">
        <v>51.1</v>
      </c>
      <c r="L69" s="22">
        <v>58.7</v>
      </c>
      <c r="M69" s="22">
        <v>60.4</v>
      </c>
      <c r="N69" s="22">
        <v>62.2</v>
      </c>
    </row>
    <row r="70" ht="14.25" spans="1:14">
      <c r="A70" s="111"/>
      <c r="B70" s="115" t="s">
        <v>69</v>
      </c>
      <c r="C70" s="114">
        <v>1.35</v>
      </c>
      <c r="D70" s="114">
        <v>0.224</v>
      </c>
      <c r="E70" s="114">
        <v>0.951</v>
      </c>
      <c r="F70" s="114">
        <v>0.957</v>
      </c>
      <c r="G70" s="114">
        <v>0.877</v>
      </c>
      <c r="H70" s="114">
        <v>0.851</v>
      </c>
      <c r="I70" s="114">
        <v>0.807</v>
      </c>
      <c r="J70" s="114">
        <v>0.816</v>
      </c>
      <c r="K70" s="114">
        <v>0.842</v>
      </c>
      <c r="L70" s="114">
        <v>0.897</v>
      </c>
      <c r="M70" s="114">
        <v>0.868</v>
      </c>
      <c r="N70" s="118">
        <v>0.708</v>
      </c>
    </row>
    <row r="71" ht="14.25" spans="1:14">
      <c r="A71" s="111"/>
      <c r="B71" s="115" t="s">
        <v>64</v>
      </c>
      <c r="C71" s="114">
        <f>(C69-N43)/N43</f>
        <v>-0.21978021978022</v>
      </c>
      <c r="D71" s="114">
        <f t="shared" ref="D71:N71" si="31">D69/C69-1</f>
        <v>-0.355633802816901</v>
      </c>
      <c r="E71" s="114">
        <f t="shared" si="31"/>
        <v>0.73224043715847</v>
      </c>
      <c r="F71" s="114">
        <f t="shared" si="31"/>
        <v>0.0441640378548898</v>
      </c>
      <c r="G71" s="114">
        <f t="shared" si="31"/>
        <v>0.120845921450151</v>
      </c>
      <c r="H71" s="114">
        <f t="shared" si="31"/>
        <v>0.175202156334232</v>
      </c>
      <c r="I71" s="114">
        <f t="shared" si="31"/>
        <v>0.00458715596330261</v>
      </c>
      <c r="J71" s="114">
        <f t="shared" si="31"/>
        <v>0.0342465753424657</v>
      </c>
      <c r="K71" s="114">
        <f t="shared" si="31"/>
        <v>0.1280353200883</v>
      </c>
      <c r="L71" s="114">
        <f t="shared" si="31"/>
        <v>0.148727984344423</v>
      </c>
      <c r="M71" s="114">
        <f t="shared" si="31"/>
        <v>0.028960817717206</v>
      </c>
      <c r="N71" s="114">
        <f t="shared" si="31"/>
        <v>0.0298013245033113</v>
      </c>
    </row>
    <row r="72" ht="14.25" spans="1:14">
      <c r="A72" s="111"/>
      <c r="B72" s="116" t="s">
        <v>176</v>
      </c>
      <c r="C72" s="117">
        <f>C69/72.9</f>
        <v>0.38957475994513</v>
      </c>
      <c r="D72" s="117">
        <f>D69/47.7</f>
        <v>0.383647798742138</v>
      </c>
      <c r="E72" s="117">
        <f>E69/88.3</f>
        <v>0.359003397508494</v>
      </c>
      <c r="F72" s="117">
        <f t="shared" ref="F72:K72" si="32">F69/F56</f>
        <v>0.389411764705882</v>
      </c>
      <c r="G72" s="117">
        <f t="shared" si="32"/>
        <v>0.38848167539267</v>
      </c>
      <c r="H72" s="117">
        <f t="shared" si="32"/>
        <v>0.415633937082936</v>
      </c>
      <c r="I72" s="117">
        <f t="shared" si="32"/>
        <v>0.441977800201816</v>
      </c>
      <c r="J72" s="117">
        <f t="shared" si="32"/>
        <v>0.411818181818182</v>
      </c>
      <c r="K72" s="117">
        <f t="shared" si="32"/>
        <v>0.397047397047397</v>
      </c>
      <c r="L72" s="117">
        <f t="shared" ref="L72:N72" si="33">L69/L56</f>
        <v>0.41048951048951</v>
      </c>
      <c r="M72" s="117">
        <f t="shared" si="33"/>
        <v>0.399470899470899</v>
      </c>
      <c r="N72" s="117">
        <f t="shared" si="33"/>
        <v>0.389724310776942</v>
      </c>
    </row>
    <row r="73" ht="14.25" spans="1:14">
      <c r="A73" s="111" t="s">
        <v>178</v>
      </c>
      <c r="B73" s="112" t="s">
        <v>172</v>
      </c>
      <c r="C73" s="22">
        <v>0.03</v>
      </c>
      <c r="D73" s="22">
        <v>0.03</v>
      </c>
      <c r="E73" s="22">
        <v>0.03</v>
      </c>
      <c r="F73" s="22">
        <v>0.03</v>
      </c>
      <c r="G73" s="22">
        <v>0.04</v>
      </c>
      <c r="H73" s="22">
        <v>0.1</v>
      </c>
      <c r="I73" s="22">
        <v>0.1</v>
      </c>
      <c r="J73" s="22">
        <v>0.1</v>
      </c>
      <c r="K73" s="22">
        <v>0.0161</v>
      </c>
      <c r="L73" s="22">
        <v>0.00491</v>
      </c>
      <c r="M73" s="22">
        <v>0.0393</v>
      </c>
      <c r="N73" s="22">
        <v>0.0302</v>
      </c>
    </row>
    <row r="74" ht="14.25" spans="1:14">
      <c r="A74" s="111"/>
      <c r="B74" s="115" t="s">
        <v>69</v>
      </c>
      <c r="C74" s="114">
        <v>3.738</v>
      </c>
      <c r="D74" s="114">
        <v>1.87</v>
      </c>
      <c r="E74" s="114">
        <v>-0.332</v>
      </c>
      <c r="F74" s="114">
        <v>-0.185</v>
      </c>
      <c r="G74" s="114">
        <v>-0.465</v>
      </c>
      <c r="H74" s="114">
        <v>0.516</v>
      </c>
      <c r="I74" s="114">
        <v>2.72</v>
      </c>
      <c r="J74" s="114">
        <v>4.176</v>
      </c>
      <c r="K74" s="114">
        <v>0.118</v>
      </c>
      <c r="L74" s="114">
        <v>0.192</v>
      </c>
      <c r="M74" s="114">
        <v>-0.455</v>
      </c>
      <c r="N74" s="118">
        <v>-0.767</v>
      </c>
    </row>
    <row r="75" ht="14.25" spans="1:14">
      <c r="A75" s="111"/>
      <c r="B75" s="115" t="s">
        <v>64</v>
      </c>
      <c r="C75" s="114">
        <f>(C73-N47)/N47</f>
        <v>-0.7</v>
      </c>
      <c r="D75" s="114">
        <f t="shared" ref="D75:N75" si="34">D73/C73-1</f>
        <v>0</v>
      </c>
      <c r="E75" s="114">
        <f t="shared" si="34"/>
        <v>0</v>
      </c>
      <c r="F75" s="114">
        <f t="shared" si="34"/>
        <v>0</v>
      </c>
      <c r="G75" s="114">
        <f t="shared" si="34"/>
        <v>0.333333333333333</v>
      </c>
      <c r="H75" s="114">
        <f t="shared" si="34"/>
        <v>1.5</v>
      </c>
      <c r="I75" s="114">
        <f t="shared" si="34"/>
        <v>0</v>
      </c>
      <c r="J75" s="114">
        <f t="shared" si="34"/>
        <v>0</v>
      </c>
      <c r="K75" s="114">
        <f t="shared" si="34"/>
        <v>-0.839</v>
      </c>
      <c r="L75" s="114">
        <f t="shared" si="34"/>
        <v>-0.695031055900621</v>
      </c>
      <c r="M75" s="114">
        <f t="shared" si="34"/>
        <v>7.0040733197556</v>
      </c>
      <c r="N75" s="114">
        <f t="shared" si="34"/>
        <v>-0.231552162849873</v>
      </c>
    </row>
    <row r="76" ht="14.25" spans="1:14">
      <c r="A76" s="111"/>
      <c r="B76" s="116" t="s">
        <v>176</v>
      </c>
      <c r="C76" s="117">
        <f>C73/78.7</f>
        <v>0.000381194409148666</v>
      </c>
      <c r="D76" s="117">
        <f>D73/46.4</f>
        <v>0.000646551724137931</v>
      </c>
      <c r="E76" s="117">
        <f>E73/86.3</f>
        <v>0.000347624565469293</v>
      </c>
      <c r="F76" s="117">
        <f t="shared" ref="F76:K76" si="35">F73/F55</f>
        <v>0.000344827586206897</v>
      </c>
      <c r="G76" s="117">
        <f t="shared" si="35"/>
        <v>0.000425531914893617</v>
      </c>
      <c r="H76" s="117">
        <f t="shared" si="35"/>
        <v>0.000997008973080758</v>
      </c>
      <c r="I76" s="117">
        <f t="shared" si="35"/>
        <v>0.00101626016260163</v>
      </c>
      <c r="J76" s="117">
        <f t="shared" si="35"/>
        <v>0.000915750915750916</v>
      </c>
      <c r="K76" s="117">
        <f t="shared" si="35"/>
        <v>0.00012318286151492</v>
      </c>
      <c r="L76" s="117">
        <f t="shared" ref="L76:N76" si="36">L73/L55</f>
        <v>3.35611756664388e-5</v>
      </c>
      <c r="M76" s="117">
        <f t="shared" si="36"/>
        <v>0.00025095785440613</v>
      </c>
      <c r="N76" s="117">
        <f t="shared" si="36"/>
        <v>0.000197385620915033</v>
      </c>
    </row>
    <row r="77" ht="14.25" spans="1:14">
      <c r="A77" s="111"/>
      <c r="B77" s="112" t="s">
        <v>174</v>
      </c>
      <c r="C77" s="22">
        <v>0.04</v>
      </c>
      <c r="D77" s="22">
        <v>0.02</v>
      </c>
      <c r="E77" s="22">
        <v>0.02</v>
      </c>
      <c r="F77" s="22">
        <v>0.03</v>
      </c>
      <c r="G77" s="22">
        <v>0.04</v>
      </c>
      <c r="H77" s="22">
        <v>0.1</v>
      </c>
      <c r="I77" s="22">
        <v>0.1</v>
      </c>
      <c r="J77" s="22">
        <v>0.1</v>
      </c>
      <c r="K77" s="22">
        <v>0.021</v>
      </c>
      <c r="L77" s="22">
        <v>0.00563</v>
      </c>
      <c r="M77" s="22">
        <v>0.0381</v>
      </c>
      <c r="N77" s="22">
        <v>0.0268</v>
      </c>
    </row>
    <row r="78" ht="14.25" spans="1:14">
      <c r="A78" s="111"/>
      <c r="B78" s="115" t="s">
        <v>69</v>
      </c>
      <c r="C78" s="114">
        <v>1.333</v>
      </c>
      <c r="D78" s="114">
        <v>3.7</v>
      </c>
      <c r="E78" s="114">
        <v>-0.522</v>
      </c>
      <c r="F78" s="114">
        <v>-0.059</v>
      </c>
      <c r="G78" s="114">
        <v>0.052</v>
      </c>
      <c r="H78" s="114">
        <v>0.114</v>
      </c>
      <c r="I78" s="114">
        <v>1.812</v>
      </c>
      <c r="J78" s="114">
        <v>2.169</v>
      </c>
      <c r="K78" s="114">
        <v>1.4</v>
      </c>
      <c r="L78" s="114">
        <v>0.188</v>
      </c>
      <c r="M78" s="114">
        <v>-0.411</v>
      </c>
      <c r="N78" s="118">
        <v>-0.823</v>
      </c>
    </row>
    <row r="79" ht="14.25" spans="1:14">
      <c r="A79" s="111"/>
      <c r="B79" s="115" t="s">
        <v>64</v>
      </c>
      <c r="C79" s="114">
        <f>(C77-N51)/N51</f>
        <v>-0.8</v>
      </c>
      <c r="D79" s="114">
        <f t="shared" ref="D79:N79" si="37">D77/C77-1</f>
        <v>-0.5</v>
      </c>
      <c r="E79" s="114">
        <f t="shared" si="37"/>
        <v>0</v>
      </c>
      <c r="F79" s="114">
        <f t="shared" si="37"/>
        <v>0.5</v>
      </c>
      <c r="G79" s="114">
        <f t="shared" si="37"/>
        <v>0.333333333333333</v>
      </c>
      <c r="H79" s="114">
        <f t="shared" si="37"/>
        <v>1.5</v>
      </c>
      <c r="I79" s="114">
        <f t="shared" si="37"/>
        <v>0</v>
      </c>
      <c r="J79" s="114">
        <f t="shared" si="37"/>
        <v>0</v>
      </c>
      <c r="K79" s="114">
        <f t="shared" si="37"/>
        <v>-0.79</v>
      </c>
      <c r="L79" s="114">
        <f t="shared" si="37"/>
        <v>-0.731904761904762</v>
      </c>
      <c r="M79" s="114">
        <f t="shared" si="37"/>
        <v>5.76731793960924</v>
      </c>
      <c r="N79" s="114">
        <f t="shared" si="37"/>
        <v>-0.296587926509186</v>
      </c>
    </row>
    <row r="80" ht="14.25" spans="1:14">
      <c r="A80" s="111"/>
      <c r="B80" s="116" t="s">
        <v>176</v>
      </c>
      <c r="C80" s="117">
        <f>C77/72.9</f>
        <v>0.000548696844993141</v>
      </c>
      <c r="D80" s="117">
        <f>D77/47.7</f>
        <v>0.000419287211740042</v>
      </c>
      <c r="E80" s="117">
        <f>E77/88.3</f>
        <v>0.000226500566251416</v>
      </c>
      <c r="F80" s="117">
        <f t="shared" ref="F80:K80" si="38">F77/F56</f>
        <v>0.000352941176470588</v>
      </c>
      <c r="G80" s="117">
        <f t="shared" si="38"/>
        <v>0.000418848167539267</v>
      </c>
      <c r="H80" s="117">
        <f t="shared" si="38"/>
        <v>0.000953288846520496</v>
      </c>
      <c r="I80" s="117">
        <f t="shared" si="38"/>
        <v>0.00100908173562059</v>
      </c>
      <c r="J80" s="117">
        <f t="shared" si="38"/>
        <v>0.000909090909090909</v>
      </c>
      <c r="K80" s="117">
        <f t="shared" si="38"/>
        <v>0.000163170163170163</v>
      </c>
      <c r="L80" s="117">
        <f t="shared" ref="L80:N80" si="39">L77/L56</f>
        <v>3.93706293706294e-5</v>
      </c>
      <c r="M80" s="117">
        <f t="shared" si="39"/>
        <v>0.000251984126984127</v>
      </c>
      <c r="N80" s="117">
        <f t="shared" si="39"/>
        <v>0.000167919799498747</v>
      </c>
    </row>
    <row r="81" ht="14.25" spans="1:24">
      <c r="A81" s="111"/>
      <c r="B81" s="47" t="s">
        <v>183</v>
      </c>
      <c r="C81" s="109">
        <v>101.5</v>
      </c>
      <c r="D81" s="109">
        <v>88.8</v>
      </c>
      <c r="E81" s="109">
        <v>127.7</v>
      </c>
      <c r="F81" s="109">
        <f>F83+F91+F99</f>
        <v>125.134</v>
      </c>
      <c r="G81" s="109"/>
      <c r="H81" s="109"/>
      <c r="I81" s="109"/>
      <c r="J81" s="109"/>
      <c r="K81" s="109"/>
      <c r="L81" s="109"/>
      <c r="M81" s="109"/>
      <c r="N81" s="109"/>
      <c r="O81" s="110">
        <f>SUM(C81:N81)</f>
        <v>443.134</v>
      </c>
    </row>
    <row r="82" ht="14.25" spans="1:24">
      <c r="B82" s="47" t="s">
        <v>184</v>
      </c>
      <c r="C82" s="22">
        <v>94.4</v>
      </c>
      <c r="D82" s="22">
        <v>89.2</v>
      </c>
      <c r="E82" s="22">
        <v>123.7</v>
      </c>
      <c r="F82" s="22">
        <f>F87+F95+F103</f>
        <v>122.533</v>
      </c>
      <c r="G82" s="22"/>
      <c r="H82" s="22"/>
      <c r="I82" s="22"/>
      <c r="J82" s="22"/>
      <c r="K82" s="22"/>
      <c r="L82" s="22"/>
      <c r="M82" s="22"/>
      <c r="N82" s="22"/>
      <c r="O82" s="110">
        <f>SUM(C82:N82)</f>
        <v>429.833</v>
      </c>
    </row>
    <row r="83" ht="14.25" spans="1:24">
      <c r="A83" s="111" t="s">
        <v>175</v>
      </c>
      <c r="B83" s="112" t="s">
        <v>172</v>
      </c>
      <c r="C83" s="22">
        <v>63.5</v>
      </c>
      <c r="D83" s="22">
        <v>54.6</v>
      </c>
      <c r="E83" s="22">
        <v>81.3</v>
      </c>
      <c r="F83" s="22">
        <v>85.3</v>
      </c>
      <c r="H83" s="22"/>
      <c r="I83" s="22"/>
      <c r="J83" s="22"/>
      <c r="K83" s="22"/>
      <c r="L83" s="22"/>
      <c r="M83" s="22"/>
      <c r="N83" s="22"/>
    </row>
    <row r="84" ht="14.25" spans="1:24">
      <c r="A84" s="111"/>
      <c r="B84" s="115" t="s">
        <v>69</v>
      </c>
      <c r="C84" s="114">
        <f>C83/C57-1</f>
        <v>0.298568507157464</v>
      </c>
      <c r="D84" s="114">
        <f>D83/D57-1</f>
        <v>0.95</v>
      </c>
      <c r="E84" s="114">
        <f>E83/E57-1</f>
        <v>0.489010989010989</v>
      </c>
      <c r="F84" s="114">
        <f>F83/F57-1</f>
        <v>0.594392523364486</v>
      </c>
      <c r="G84" s="114"/>
      <c r="H84" s="114"/>
      <c r="I84" s="114"/>
      <c r="J84" s="114"/>
      <c r="K84" s="114"/>
      <c r="L84" s="114"/>
      <c r="M84" s="114"/>
      <c r="N84" s="114"/>
    </row>
    <row r="85" ht="14.25" spans="1:24">
      <c r="A85" s="111"/>
      <c r="B85" s="115" t="s">
        <v>64</v>
      </c>
      <c r="C85" s="114">
        <f>C83/N57-1</f>
        <v>-0.325902335456476</v>
      </c>
      <c r="D85" s="114">
        <f>D83/C83-1</f>
        <v>-0.140157480314961</v>
      </c>
      <c r="E85" s="114">
        <f>E83/D83-1</f>
        <v>0.489010989010989</v>
      </c>
      <c r="F85" s="114">
        <f>F83/E83-1</f>
        <v>0.04920049200492</v>
      </c>
      <c r="G85" s="114"/>
      <c r="H85" s="114"/>
      <c r="I85" s="114"/>
      <c r="J85" s="114"/>
      <c r="K85" s="114"/>
      <c r="L85" s="114"/>
      <c r="M85" s="114"/>
      <c r="N85" s="114"/>
      <c r="P85" s="114"/>
      <c r="Q85" s="114"/>
      <c r="R85" s="114"/>
      <c r="S85" s="114"/>
      <c r="T85" s="114"/>
      <c r="U85" s="114"/>
      <c r="V85" s="114"/>
      <c r="W85" s="114"/>
      <c r="X85" s="114"/>
    </row>
    <row r="86" ht="14.25" spans="1:24">
      <c r="A86" s="111"/>
      <c r="B86" s="116" t="s">
        <v>176</v>
      </c>
      <c r="C86" s="117">
        <f>C83/C81</f>
        <v>0.625615763546798</v>
      </c>
      <c r="D86" s="117">
        <f>D83/D81</f>
        <v>0.614864864864865</v>
      </c>
      <c r="E86" s="117">
        <f>E83/E81</f>
        <v>0.63664839467502</v>
      </c>
      <c r="F86" s="117">
        <f>F83/F81</f>
        <v>0.681669250563396</v>
      </c>
      <c r="G86" s="117"/>
      <c r="H86" s="117"/>
      <c r="I86" s="117"/>
      <c r="J86" s="117"/>
      <c r="K86" s="117"/>
      <c r="L86" s="117"/>
      <c r="M86" s="117"/>
      <c r="N86" s="117"/>
      <c r="P86" s="114"/>
      <c r="Q86" s="114"/>
      <c r="R86" s="114"/>
      <c r="S86" s="114"/>
      <c r="T86" s="114"/>
      <c r="U86" s="114"/>
      <c r="V86" s="114"/>
      <c r="W86" s="114"/>
      <c r="X86" s="114"/>
    </row>
    <row r="87" ht="14.25" spans="1:24">
      <c r="A87" s="111"/>
      <c r="B87" s="112" t="s">
        <v>174</v>
      </c>
      <c r="C87" s="22">
        <v>57.4</v>
      </c>
      <c r="D87" s="22">
        <v>54.4</v>
      </c>
      <c r="E87" s="22">
        <v>80.6</v>
      </c>
      <c r="F87" s="22">
        <v>82.2</v>
      </c>
      <c r="G87" s="22"/>
      <c r="H87" s="22"/>
      <c r="I87" s="22"/>
      <c r="J87" s="22"/>
      <c r="K87" s="22"/>
      <c r="L87" s="22"/>
      <c r="M87" s="22"/>
      <c r="N87" s="22"/>
      <c r="P87" s="114"/>
      <c r="Q87" s="114"/>
      <c r="R87" s="114"/>
      <c r="S87" s="114"/>
      <c r="T87" s="114"/>
      <c r="U87" s="114"/>
      <c r="V87" s="114"/>
      <c r="W87" s="114"/>
      <c r="X87" s="114"/>
    </row>
    <row r="88" ht="14.25" spans="1:24">
      <c r="A88" s="111"/>
      <c r="B88" s="115" t="s">
        <v>69</v>
      </c>
      <c r="C88" s="114">
        <f>C87/C61-1</f>
        <v>0.289887640449438</v>
      </c>
      <c r="D88" s="114">
        <f>D87/D61-1</f>
        <v>0.850340136054422</v>
      </c>
      <c r="E88" s="114">
        <f>E87/E61-1</f>
        <v>0.424028268551237</v>
      </c>
      <c r="F88" s="114">
        <f>F87/F61-1</f>
        <v>0.583815028901734</v>
      </c>
      <c r="G88" s="114"/>
      <c r="H88" s="114"/>
      <c r="I88" s="114"/>
      <c r="J88" s="114"/>
      <c r="K88" s="114"/>
      <c r="L88" s="114"/>
      <c r="M88" s="114"/>
      <c r="N88" s="118"/>
      <c r="P88" s="114"/>
      <c r="Q88" s="114"/>
      <c r="R88" s="114"/>
      <c r="S88" s="114"/>
      <c r="T88" s="114"/>
      <c r="U88" s="114"/>
      <c r="V88" s="114"/>
      <c r="W88" s="114"/>
      <c r="X88" s="114"/>
    </row>
    <row r="89" ht="14.25" spans="1:24">
      <c r="A89" s="111"/>
      <c r="B89" s="115" t="s">
        <v>64</v>
      </c>
      <c r="C89" s="114">
        <f>C87/N61-1</f>
        <v>-0.410071942446043</v>
      </c>
      <c r="D89" s="114">
        <f>D87/C87-1</f>
        <v>-0.0522648083623694</v>
      </c>
      <c r="E89" s="114">
        <f>E87/D87-1</f>
        <v>0.481617647058823</v>
      </c>
      <c r="F89" s="114">
        <f>F87/E87-1</f>
        <v>0.0198511166253104</v>
      </c>
      <c r="G89" s="114"/>
      <c r="H89" s="114"/>
      <c r="I89" s="114"/>
      <c r="J89" s="114"/>
      <c r="K89" s="114"/>
      <c r="L89" s="114"/>
      <c r="M89" s="114"/>
      <c r="N89" s="114"/>
      <c r="P89" s="114"/>
      <c r="Q89" s="114"/>
      <c r="R89" s="114"/>
      <c r="S89" s="114"/>
      <c r="T89" s="114"/>
      <c r="U89" s="114"/>
      <c r="V89" s="114"/>
      <c r="W89" s="114"/>
      <c r="X89" s="114"/>
    </row>
    <row r="90" ht="14.25" spans="1:24">
      <c r="A90" s="111"/>
      <c r="B90" s="116" t="s">
        <v>176</v>
      </c>
      <c r="C90" s="117">
        <f>C87/C82</f>
        <v>0.608050847457627</v>
      </c>
      <c r="D90" s="117">
        <f>D87/D82</f>
        <v>0.609865470852018</v>
      </c>
      <c r="E90" s="117">
        <f>E87/E82</f>
        <v>0.651576394502829</v>
      </c>
      <c r="F90" s="117">
        <f>F87/F82</f>
        <v>0.67083969216456</v>
      </c>
      <c r="G90" s="117"/>
      <c r="H90" s="117"/>
      <c r="I90" s="117"/>
      <c r="J90" s="117"/>
      <c r="K90" s="117"/>
      <c r="L90" s="117"/>
      <c r="M90" s="117"/>
      <c r="N90" s="117"/>
      <c r="P90" s="114"/>
      <c r="Q90" s="114"/>
      <c r="R90" s="114"/>
      <c r="S90" s="114"/>
      <c r="T90" s="114"/>
      <c r="U90" s="114"/>
      <c r="V90" s="114"/>
      <c r="W90" s="114"/>
      <c r="X90" s="114"/>
    </row>
    <row r="91" ht="14.25" spans="1:24">
      <c r="A91" s="111" t="s">
        <v>177</v>
      </c>
      <c r="B91" s="112" t="s">
        <v>172</v>
      </c>
      <c r="C91" s="22">
        <v>38</v>
      </c>
      <c r="D91" s="22">
        <v>34.1</v>
      </c>
      <c r="E91" s="22">
        <v>46.4</v>
      </c>
      <c r="F91" s="22">
        <v>39.8</v>
      </c>
      <c r="G91" s="22"/>
      <c r="H91" s="22"/>
      <c r="I91" s="22"/>
      <c r="J91" s="22"/>
      <c r="K91" s="22"/>
      <c r="L91" s="22"/>
      <c r="M91" s="22"/>
      <c r="N91" s="22"/>
    </row>
    <row r="92" ht="14.25" spans="1:24">
      <c r="A92" s="111"/>
      <c r="B92" s="115" t="s">
        <v>69</v>
      </c>
      <c r="C92" s="114">
        <f>C91/C65-1</f>
        <v>0.279461279461279</v>
      </c>
      <c r="D92" s="114">
        <f>D91/D65-1</f>
        <v>0.863387978142077</v>
      </c>
      <c r="E92" s="114">
        <f>E91/E65-1</f>
        <v>0.463722397476341</v>
      </c>
      <c r="F92" s="114">
        <f>F91/F65-1</f>
        <v>0.191616766467066</v>
      </c>
      <c r="G92" s="114"/>
      <c r="H92" s="114"/>
      <c r="I92" s="114"/>
      <c r="J92" s="114"/>
      <c r="K92" s="114"/>
      <c r="L92" s="114"/>
      <c r="M92" s="114"/>
      <c r="N92" s="118"/>
    </row>
    <row r="93" ht="14.25" spans="1:24">
      <c r="A93" s="111"/>
      <c r="B93" s="115" t="s">
        <v>64</v>
      </c>
      <c r="C93" s="114">
        <f>C91/N65-1</f>
        <v>-0.353741496598639</v>
      </c>
      <c r="D93" s="114">
        <f>D91/C91-1</f>
        <v>-0.102631578947368</v>
      </c>
      <c r="E93" s="114">
        <f>E91/D91-1</f>
        <v>0.360703812316715</v>
      </c>
      <c r="F93" s="114">
        <f>F91/E91-1</f>
        <v>-0.142241379310345</v>
      </c>
      <c r="G93" s="114"/>
      <c r="H93" s="114"/>
      <c r="I93" s="114"/>
      <c r="J93" s="114"/>
      <c r="K93" s="114"/>
      <c r="L93" s="114"/>
      <c r="M93" s="114"/>
      <c r="N93" s="114"/>
    </row>
    <row r="94" ht="14.25" spans="1:24">
      <c r="A94" s="111"/>
      <c r="B94" s="116" t="s">
        <v>176</v>
      </c>
      <c r="C94" s="117">
        <f>C91/C81</f>
        <v>0.374384236453202</v>
      </c>
      <c r="D94" s="117">
        <f>D91/D81</f>
        <v>0.384009009009009</v>
      </c>
      <c r="E94" s="117">
        <f>E91/E81</f>
        <v>0.36335160532498</v>
      </c>
      <c r="F94" s="117">
        <f>F91/F81</f>
        <v>0.318059040708361</v>
      </c>
      <c r="G94" s="117"/>
      <c r="H94" s="117"/>
      <c r="I94" s="117"/>
      <c r="J94" s="117"/>
      <c r="K94" s="117"/>
      <c r="L94" s="117"/>
      <c r="M94" s="117"/>
      <c r="N94" s="117"/>
    </row>
    <row r="95" ht="14.25" spans="1:24">
      <c r="A95" s="111"/>
      <c r="B95" s="112" t="s">
        <v>174</v>
      </c>
      <c r="C95" s="22">
        <v>37</v>
      </c>
      <c r="D95" s="22">
        <v>34.8</v>
      </c>
      <c r="E95" s="22">
        <v>43.1</v>
      </c>
      <c r="F95" s="22">
        <v>40.3</v>
      </c>
      <c r="G95" s="22"/>
      <c r="H95" s="22"/>
      <c r="I95" s="22"/>
      <c r="J95" s="22"/>
      <c r="K95" s="22"/>
      <c r="L95" s="22"/>
      <c r="M95" s="22"/>
      <c r="N95" s="22"/>
    </row>
    <row r="96" ht="14.25" spans="1:24">
      <c r="A96" s="111"/>
      <c r="B96" s="115" t="s">
        <v>69</v>
      </c>
      <c r="C96" s="114">
        <v>1.35</v>
      </c>
      <c r="D96" s="114">
        <v>0.224</v>
      </c>
      <c r="E96" s="114">
        <v>1.224</v>
      </c>
      <c r="F96" s="114">
        <v>2.224</v>
      </c>
      <c r="G96" s="114"/>
      <c r="H96" s="114"/>
      <c r="I96" s="114"/>
      <c r="J96" s="114"/>
      <c r="K96" s="114"/>
      <c r="L96" s="114"/>
      <c r="M96" s="114"/>
      <c r="N96" s="118"/>
    </row>
    <row r="97" ht="14.25" spans="1:14">
      <c r="A97" s="111"/>
      <c r="B97" s="115" t="s">
        <v>64</v>
      </c>
      <c r="C97" s="114">
        <f>(C95-N69)/N69</f>
        <v>-0.405144694533762</v>
      </c>
      <c r="D97" s="114">
        <f>D95/C95-1</f>
        <v>-0.0594594594594595</v>
      </c>
      <c r="E97" s="114">
        <f>E95/D95-1</f>
        <v>0.238505747126437</v>
      </c>
      <c r="F97" s="114">
        <f>F95/E95-1</f>
        <v>-0.0649651972157773</v>
      </c>
      <c r="G97" s="114"/>
      <c r="H97" s="114"/>
      <c r="I97" s="114"/>
      <c r="J97" s="114"/>
      <c r="K97" s="114"/>
      <c r="L97" s="114"/>
      <c r="M97" s="114"/>
      <c r="N97" s="114"/>
    </row>
    <row r="98" ht="14.25" spans="1:14">
      <c r="A98" s="111"/>
      <c r="B98" s="116" t="s">
        <v>176</v>
      </c>
      <c r="C98" s="117">
        <f>C95/C82</f>
        <v>0.391949152542373</v>
      </c>
      <c r="D98" s="117">
        <f>D95/D82</f>
        <v>0.390134529147982</v>
      </c>
      <c r="E98" s="117">
        <f>E95/E82</f>
        <v>0.348423605497171</v>
      </c>
      <c r="F98" s="117">
        <f>F95/F82</f>
        <v>0.328890992630557</v>
      </c>
      <c r="G98" s="117"/>
      <c r="H98" s="117"/>
      <c r="I98" s="117"/>
      <c r="J98" s="117"/>
      <c r="K98" s="117"/>
      <c r="L98" s="117"/>
      <c r="M98" s="117"/>
      <c r="N98" s="117"/>
    </row>
    <row r="99" ht="14.25" spans="1:14">
      <c r="A99" s="111" t="s">
        <v>178</v>
      </c>
      <c r="B99" s="112" t="s">
        <v>172</v>
      </c>
      <c r="C99" s="22">
        <v>0.0059</v>
      </c>
      <c r="D99" s="22">
        <v>0.016</v>
      </c>
      <c r="E99" s="22">
        <v>0.0365</v>
      </c>
      <c r="F99" s="22">
        <v>0.034</v>
      </c>
      <c r="G99" s="22"/>
      <c r="H99" s="22"/>
      <c r="I99" s="22"/>
      <c r="J99" s="22"/>
      <c r="K99" s="22"/>
      <c r="L99" s="22"/>
      <c r="M99" s="22"/>
      <c r="N99" s="22"/>
    </row>
    <row r="100" ht="14.25" spans="1:14">
      <c r="A100" s="111"/>
      <c r="B100" s="115" t="s">
        <v>69</v>
      </c>
      <c r="C100" s="114">
        <f>C99/C73-1</f>
        <v>-0.803333333333333</v>
      </c>
      <c r="D100" s="114">
        <f>D99/D73-1</f>
        <v>-0.466666666666667</v>
      </c>
      <c r="E100" s="114">
        <f>E99/E73-1</f>
        <v>0.216666666666667</v>
      </c>
      <c r="F100" s="114">
        <f>F99/F73-1</f>
        <v>0.133333333333334</v>
      </c>
      <c r="G100" s="114"/>
      <c r="H100" s="114"/>
      <c r="I100" s="114"/>
      <c r="J100" s="114"/>
      <c r="K100" s="114"/>
      <c r="L100" s="114"/>
      <c r="M100" s="114"/>
      <c r="N100" s="118"/>
    </row>
    <row r="101" ht="14.25" spans="1:14">
      <c r="A101" s="111"/>
      <c r="B101" s="115" t="s">
        <v>64</v>
      </c>
      <c r="C101" s="114">
        <f>(C99-N73)/N73</f>
        <v>-0.804635761589404</v>
      </c>
      <c r="D101" s="114">
        <f>D99/C99-1</f>
        <v>1.71186440677966</v>
      </c>
      <c r="E101" s="114">
        <f>E99/D99-1</f>
        <v>1.28125</v>
      </c>
      <c r="F101" s="114">
        <f>F99/E99-1</f>
        <v>-0.0684931506849313</v>
      </c>
      <c r="G101" s="114"/>
      <c r="H101" s="114"/>
      <c r="I101" s="114"/>
      <c r="J101" s="114"/>
      <c r="K101" s="114"/>
      <c r="L101" s="114"/>
      <c r="M101" s="114"/>
      <c r="N101" s="114"/>
    </row>
    <row r="102" ht="14.25" spans="1:14">
      <c r="A102" s="111"/>
      <c r="B102" s="116" t="s">
        <v>176</v>
      </c>
      <c r="C102" s="117">
        <f>C99/C81</f>
        <v>5.8128078817734e-5</v>
      </c>
      <c r="D102" s="117">
        <f>D99/D81</f>
        <v>0.00018018018018018</v>
      </c>
      <c r="E102" s="117">
        <f>E99/E81</f>
        <v>0.000285826155050901</v>
      </c>
      <c r="F102" s="117">
        <f>F99/F81</f>
        <v>0.000271708728243323</v>
      </c>
      <c r="G102" s="117"/>
      <c r="H102" s="117"/>
      <c r="I102" s="117"/>
      <c r="J102" s="117"/>
      <c r="K102" s="117"/>
      <c r="L102" s="117"/>
      <c r="M102" s="117"/>
      <c r="N102" s="117"/>
    </row>
    <row r="103" ht="14.25" spans="1:14">
      <c r="A103" s="111"/>
      <c r="B103" s="112" t="s">
        <v>174</v>
      </c>
      <c r="C103" s="22">
        <v>0.0132</v>
      </c>
      <c r="D103" s="22">
        <v>0.012</v>
      </c>
      <c r="E103" s="22">
        <v>0.0377</v>
      </c>
      <c r="F103" s="22">
        <v>0.033</v>
      </c>
      <c r="G103" s="22"/>
      <c r="H103" s="22"/>
      <c r="I103" s="22"/>
      <c r="J103" s="22"/>
      <c r="K103" s="22"/>
      <c r="L103" s="22"/>
      <c r="M103" s="22"/>
      <c r="N103" s="22"/>
    </row>
    <row r="104" ht="14.25" spans="1:14">
      <c r="A104" s="111"/>
      <c r="B104" s="115" t="s">
        <v>69</v>
      </c>
      <c r="C104" s="114">
        <f>C103/C77-1</f>
        <v>-0.67</v>
      </c>
      <c r="D104" s="114">
        <f>D103/D77-1</f>
        <v>-0.4</v>
      </c>
      <c r="E104" s="114">
        <f>E103/E77-1</f>
        <v>0.885</v>
      </c>
      <c r="F104" s="114">
        <f>F103/F77-1</f>
        <v>0.1</v>
      </c>
      <c r="G104" s="114"/>
      <c r="H104" s="114"/>
      <c r="I104" s="114"/>
      <c r="J104" s="114"/>
      <c r="K104" s="114"/>
      <c r="L104" s="114"/>
      <c r="M104" s="114"/>
      <c r="N104" s="118"/>
    </row>
    <row r="105" ht="14.25" spans="1:14">
      <c r="A105" s="111"/>
      <c r="B105" s="115" t="s">
        <v>64</v>
      </c>
      <c r="C105" s="114">
        <f>C103/N77-1</f>
        <v>-0.507462686567164</v>
      </c>
      <c r="D105" s="114">
        <f>D103/C103-1</f>
        <v>-0.0909090909090909</v>
      </c>
      <c r="E105" s="114">
        <f>E103/D103-1</f>
        <v>2.14166666666667</v>
      </c>
      <c r="F105" s="114">
        <f>F103/E103-1</f>
        <v>-0.124668435013263</v>
      </c>
      <c r="G105" s="114"/>
      <c r="H105" s="114"/>
      <c r="I105" s="114"/>
      <c r="J105" s="114"/>
      <c r="K105" s="114"/>
      <c r="L105" s="114"/>
      <c r="M105" s="114"/>
      <c r="N105" s="114"/>
    </row>
    <row r="106" ht="14.25" spans="1:14">
      <c r="A106" s="111"/>
      <c r="B106" s="116" t="s">
        <v>176</v>
      </c>
      <c r="C106" s="117">
        <f>C103/C82</f>
        <v>0.000139830508474576</v>
      </c>
      <c r="D106" s="117">
        <f>D103/D82</f>
        <v>0.000134529147982063</v>
      </c>
      <c r="E106" s="117">
        <f>E103/E82</f>
        <v>0.000304769603880356</v>
      </c>
      <c r="F106" s="117">
        <f>F103/F82</f>
        <v>0.000269315204883582</v>
      </c>
      <c r="G106" s="117"/>
      <c r="H106" s="117"/>
      <c r="I106" s="117"/>
      <c r="J106" s="117"/>
      <c r="K106" s="117"/>
      <c r="L106" s="117"/>
      <c r="M106" s="117"/>
      <c r="N106" s="117"/>
    </row>
  </sheetData>
  <mergeCells count="12">
    <mergeCell ref="A5:A12"/>
    <mergeCell ref="A13:A20"/>
    <mergeCell ref="A21:A28"/>
    <mergeCell ref="A31:A38"/>
    <mergeCell ref="A39:A46"/>
    <mergeCell ref="A47:A54"/>
    <mergeCell ref="A57:A64"/>
    <mergeCell ref="A65:A72"/>
    <mergeCell ref="A73:A80"/>
    <mergeCell ref="A83:A90"/>
    <mergeCell ref="A91:A98"/>
    <mergeCell ref="A99:A106"/>
  </mergeCells>
  <pageMargins left="0.75" right="0.75" top="1" bottom="1" header="0.5" footer="0.5"/>
  <headerFooter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08"/>
  <sheetViews>
    <sheetView zoomScale="86" zoomScaleNormal="86" workbookViewId="0">
      <pane xSplit="1" topLeftCell="B1" activePane="topRight" state="frozen"/>
      <selection/>
      <selection pane="topRight" activeCell="R41" sqref="R41:R43"/>
    </sheetView>
  </sheetViews>
  <sheetFormatPr defaultColWidth="9.5" defaultRowHeight="14.25"/>
  <cols>
    <col min="1" max="1" width="20.5" style="25" customWidth="1"/>
    <col min="2" max="2" width="12.875" style="25" customWidth="1"/>
    <col min="3" max="4" width="11.375" style="25" customWidth="1"/>
    <col min="5" max="5" width="11.625" style="25" customWidth="1"/>
    <col min="6" max="6" width="12.125" style="25" customWidth="1"/>
    <col min="7" max="7" width="13.875" style="25" customWidth="1"/>
    <col min="8" max="8" width="14" style="25" customWidth="1"/>
    <col min="9" max="9" width="14.375" style="25" customWidth="1"/>
    <col min="10" max="10" width="13.125" style="25" customWidth="1"/>
    <col min="11" max="12" width="10.875" style="25" customWidth="1"/>
    <col min="13" max="13" width="12" style="25" customWidth="1"/>
    <col min="14" max="14" width="14.625" style="25" customWidth="1"/>
    <col min="15" max="15" width="12.625" style="25" customWidth="1"/>
    <col min="16" max="16" width="9.875" style="25" customWidth="1"/>
    <col min="17" max="28" width="9.75" style="25" customWidth="1"/>
    <col min="29" max="16384" width="9.5" style="25"/>
  </cols>
  <sheetData>
    <row r="1" spans="1:18">
      <c r="A1" s="26" t="s">
        <v>185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8">
      <c r="A2" s="27" t="s">
        <v>186</v>
      </c>
      <c r="B2" s="28">
        <v>44562</v>
      </c>
      <c r="C2" s="28">
        <v>44593</v>
      </c>
      <c r="D2" s="28">
        <v>44621</v>
      </c>
      <c r="E2" s="28">
        <v>44652</v>
      </c>
      <c r="F2" s="28">
        <v>44682</v>
      </c>
      <c r="G2" s="28">
        <v>44713</v>
      </c>
      <c r="H2" s="28">
        <v>44743</v>
      </c>
      <c r="I2" s="28">
        <v>44774</v>
      </c>
      <c r="J2" s="28">
        <v>44805</v>
      </c>
      <c r="K2" s="28">
        <v>44835</v>
      </c>
      <c r="L2" s="28">
        <v>44866</v>
      </c>
      <c r="M2" s="28">
        <v>44896</v>
      </c>
      <c r="N2" s="27" t="s">
        <v>63</v>
      </c>
      <c r="P2" s="25" t="s">
        <v>187</v>
      </c>
      <c r="Q2" s="25" t="s">
        <v>75</v>
      </c>
    </row>
    <row r="3" spans="1:18">
      <c r="A3" s="29" t="s">
        <v>188</v>
      </c>
      <c r="B3" s="29">
        <v>92926</v>
      </c>
      <c r="C3" s="29">
        <v>87473</v>
      </c>
      <c r="D3" s="29">
        <v>104388</v>
      </c>
      <c r="E3" s="29">
        <v>105475</v>
      </c>
      <c r="F3" s="29">
        <v>114183</v>
      </c>
      <c r="G3" s="30">
        <v>132553</v>
      </c>
      <c r="H3" s="31">
        <v>158957</v>
      </c>
      <c r="I3" s="32">
        <v>168885</v>
      </c>
      <c r="J3" s="32">
        <v>201259</v>
      </c>
      <c r="K3" s="32">
        <v>205789</v>
      </c>
      <c r="L3" s="32">
        <v>217624</v>
      </c>
      <c r="M3" s="32">
        <v>235197</v>
      </c>
      <c r="N3" s="29">
        <f t="shared" ref="N3:N19" si="0">SUM(B3:M3)</f>
        <v>1824709</v>
      </c>
      <c r="Q3" s="25" t="s">
        <v>51</v>
      </c>
      <c r="R3" s="25">
        <v>10409</v>
      </c>
    </row>
    <row r="4" spans="1:18">
      <c r="A4" s="29" t="s">
        <v>189</v>
      </c>
      <c r="B4" s="29">
        <v>16031</v>
      </c>
      <c r="C4" s="29">
        <v>8526</v>
      </c>
      <c r="D4" s="29">
        <v>20317</v>
      </c>
      <c r="E4" s="29">
        <v>10212</v>
      </c>
      <c r="F4" s="29">
        <v>21056</v>
      </c>
      <c r="G4" s="29">
        <v>24109</v>
      </c>
      <c r="H4" s="29">
        <v>25033</v>
      </c>
      <c r="I4" s="32">
        <v>27021</v>
      </c>
      <c r="J4" s="32">
        <v>30016</v>
      </c>
      <c r="K4" s="32">
        <v>30063</v>
      </c>
      <c r="L4" s="32">
        <v>28765</v>
      </c>
      <c r="M4" s="32">
        <v>30007</v>
      </c>
      <c r="N4" s="29">
        <f t="shared" si="0"/>
        <v>271156</v>
      </c>
      <c r="Q4" s="25" t="s">
        <v>52</v>
      </c>
      <c r="R4" s="25">
        <v>15002</v>
      </c>
    </row>
    <row r="5" spans="1:18">
      <c r="A5" s="29" t="s">
        <v>190</v>
      </c>
      <c r="B5" s="29">
        <v>3530</v>
      </c>
      <c r="C5" s="29">
        <v>2916</v>
      </c>
      <c r="D5" s="29">
        <v>1795</v>
      </c>
      <c r="E5" s="29">
        <v>2137</v>
      </c>
      <c r="F5" s="29">
        <v>4330</v>
      </c>
      <c r="G5" s="30">
        <v>4302</v>
      </c>
      <c r="H5" s="31">
        <v>5022</v>
      </c>
      <c r="I5" s="31">
        <v>7166</v>
      </c>
      <c r="J5" s="31">
        <v>8276</v>
      </c>
      <c r="K5" s="33">
        <v>10119</v>
      </c>
      <c r="L5" s="33">
        <v>11011</v>
      </c>
      <c r="M5" s="33">
        <v>11337</v>
      </c>
      <c r="N5" s="29">
        <f t="shared" si="0"/>
        <v>71941</v>
      </c>
      <c r="Q5" s="25" t="s">
        <v>53</v>
      </c>
      <c r="R5" s="25">
        <v>13312</v>
      </c>
    </row>
    <row r="6" spans="1:18">
      <c r="A6" s="29" t="s">
        <v>191</v>
      </c>
      <c r="B6" s="29">
        <v>12922</v>
      </c>
      <c r="C6" s="29">
        <v>6225</v>
      </c>
      <c r="D6" s="29">
        <v>15414</v>
      </c>
      <c r="E6" s="29">
        <v>9002</v>
      </c>
      <c r="F6" s="29">
        <v>10125</v>
      </c>
      <c r="G6" s="29">
        <v>15295</v>
      </c>
      <c r="H6" s="29">
        <v>11524</v>
      </c>
      <c r="I6" s="32">
        <v>9578</v>
      </c>
      <c r="J6" s="32">
        <v>8468</v>
      </c>
      <c r="K6" s="32">
        <v>5101</v>
      </c>
      <c r="L6" s="32">
        <v>5811</v>
      </c>
      <c r="M6" s="32">
        <v>11292</v>
      </c>
      <c r="N6" s="29">
        <f t="shared" si="0"/>
        <v>120757</v>
      </c>
      <c r="Q6" s="25" t="s">
        <v>54</v>
      </c>
      <c r="R6" s="25">
        <v>14827</v>
      </c>
    </row>
    <row r="7" spans="1:18">
      <c r="A7" s="29" t="s">
        <v>192</v>
      </c>
      <c r="B7" s="29">
        <v>9652</v>
      </c>
      <c r="C7" s="29">
        <v>6131</v>
      </c>
      <c r="D7" s="29">
        <v>9985</v>
      </c>
      <c r="E7" s="29">
        <v>5074</v>
      </c>
      <c r="F7" s="29">
        <v>7024</v>
      </c>
      <c r="G7" s="29">
        <v>12961</v>
      </c>
      <c r="H7" s="29">
        <v>10051</v>
      </c>
      <c r="I7" s="32">
        <v>10677</v>
      </c>
      <c r="J7" s="32">
        <v>10878</v>
      </c>
      <c r="K7" s="32">
        <v>10059</v>
      </c>
      <c r="L7" s="32">
        <v>14178</v>
      </c>
      <c r="M7" s="32">
        <v>15815</v>
      </c>
      <c r="N7" s="29">
        <f t="shared" si="0"/>
        <v>122485</v>
      </c>
      <c r="Q7" s="25" t="s">
        <v>55</v>
      </c>
      <c r="R7" s="25">
        <v>10203</v>
      </c>
    </row>
    <row r="8" spans="1:18">
      <c r="A8" s="29" t="s">
        <v>193</v>
      </c>
      <c r="B8" s="29">
        <v>12268</v>
      </c>
      <c r="C8" s="29">
        <v>8414</v>
      </c>
      <c r="D8" s="29">
        <v>11034</v>
      </c>
      <c r="E8" s="29">
        <v>4167</v>
      </c>
      <c r="F8" s="29">
        <v>11496</v>
      </c>
      <c r="G8" s="29">
        <v>13024</v>
      </c>
      <c r="H8" s="29">
        <v>10422</v>
      </c>
      <c r="I8" s="32">
        <v>4571</v>
      </c>
      <c r="J8" s="32">
        <v>11531</v>
      </c>
      <c r="K8" s="32">
        <v>10052</v>
      </c>
      <c r="L8" s="32">
        <v>15034</v>
      </c>
      <c r="M8" s="32">
        <v>21233</v>
      </c>
      <c r="N8" s="29">
        <f t="shared" si="0"/>
        <v>133246</v>
      </c>
      <c r="Q8" s="25" t="s">
        <v>56</v>
      </c>
      <c r="R8" s="25">
        <v>10536</v>
      </c>
    </row>
    <row r="9" spans="1:18">
      <c r="A9" s="29" t="s">
        <v>194</v>
      </c>
      <c r="B9" s="29">
        <v>11009</v>
      </c>
      <c r="C9" s="29">
        <v>7117</v>
      </c>
      <c r="D9" s="29">
        <v>12026</v>
      </c>
      <c r="E9" s="29">
        <v>8813</v>
      </c>
      <c r="F9" s="29">
        <v>11009</v>
      </c>
      <c r="G9" s="29">
        <v>13133</v>
      </c>
      <c r="H9" s="29">
        <v>12655</v>
      </c>
      <c r="I9" s="32">
        <v>16017</v>
      </c>
      <c r="J9" s="32">
        <v>18005</v>
      </c>
      <c r="K9" s="32">
        <v>18016</v>
      </c>
      <c r="L9" s="32">
        <v>15072</v>
      </c>
      <c r="M9" s="32">
        <v>7795</v>
      </c>
      <c r="N9" s="29">
        <f t="shared" si="0"/>
        <v>150667</v>
      </c>
      <c r="Q9" s="25" t="s">
        <v>57</v>
      </c>
      <c r="R9" s="25">
        <v>18169</v>
      </c>
    </row>
    <row r="10" spans="1:18">
      <c r="A10" s="29" t="s">
        <v>195</v>
      </c>
      <c r="B10" s="29">
        <v>8085</v>
      </c>
      <c r="C10" s="29">
        <v>3435</v>
      </c>
      <c r="D10" s="29">
        <v>10059</v>
      </c>
      <c r="E10" s="29">
        <v>9087</v>
      </c>
      <c r="F10" s="29">
        <v>10069</v>
      </c>
      <c r="G10" s="29">
        <v>11259</v>
      </c>
      <c r="H10" s="29">
        <v>12044</v>
      </c>
      <c r="I10" s="32">
        <v>12525</v>
      </c>
      <c r="J10" s="32">
        <v>11039</v>
      </c>
      <c r="K10" s="32">
        <v>7026</v>
      </c>
      <c r="L10" s="32">
        <v>8074</v>
      </c>
      <c r="M10" s="32">
        <v>8493</v>
      </c>
      <c r="N10" s="29">
        <f t="shared" si="0"/>
        <v>111195</v>
      </c>
      <c r="Q10" s="25" t="s">
        <v>58</v>
      </c>
      <c r="R10" s="25">
        <v>25023</v>
      </c>
    </row>
    <row r="11" spans="1:18">
      <c r="A11" s="29" t="s">
        <v>196</v>
      </c>
      <c r="B11" s="29">
        <v>0</v>
      </c>
      <c r="C11" s="29">
        <v>0</v>
      </c>
      <c r="D11" s="29">
        <v>3160</v>
      </c>
      <c r="E11" s="29">
        <v>3439</v>
      </c>
      <c r="F11" s="29">
        <v>5440</v>
      </c>
      <c r="G11" s="29">
        <v>7658</v>
      </c>
      <c r="H11" s="29">
        <v>7807</v>
      </c>
      <c r="I11" s="29">
        <v>10045</v>
      </c>
      <c r="J11" s="29">
        <v>10142</v>
      </c>
      <c r="K11" s="29">
        <v>12047</v>
      </c>
      <c r="L11" s="29">
        <v>8262</v>
      </c>
      <c r="M11" s="29">
        <v>10157</v>
      </c>
      <c r="N11" s="29">
        <f t="shared" si="0"/>
        <v>78157</v>
      </c>
      <c r="Q11" s="25" t="s">
        <v>59</v>
      </c>
      <c r="R11" s="25">
        <v>28039</v>
      </c>
    </row>
    <row r="12" spans="1:18">
      <c r="A12" s="29" t="s">
        <v>197</v>
      </c>
      <c r="B12" s="29">
        <v>72236</v>
      </c>
      <c r="C12" s="29">
        <v>45267</v>
      </c>
      <c r="D12" s="29">
        <v>74509</v>
      </c>
      <c r="E12" s="29">
        <v>37781</v>
      </c>
      <c r="F12" s="29">
        <v>71658</v>
      </c>
      <c r="G12" s="30">
        <v>91297</v>
      </c>
      <c r="H12" s="31">
        <v>105521</v>
      </c>
      <c r="I12" s="33">
        <v>104852</v>
      </c>
      <c r="J12" s="33">
        <v>122000</v>
      </c>
      <c r="K12" s="33">
        <v>101768</v>
      </c>
      <c r="L12" s="33">
        <v>103316</v>
      </c>
      <c r="M12" s="33">
        <v>85632</v>
      </c>
      <c r="N12" s="29">
        <f t="shared" si="0"/>
        <v>1015837</v>
      </c>
      <c r="Q12" s="25" t="s">
        <v>60</v>
      </c>
      <c r="R12" s="25">
        <v>30521</v>
      </c>
    </row>
    <row r="13" spans="1:18">
      <c r="A13" s="29" t="s">
        <v>198</v>
      </c>
      <c r="B13" s="29">
        <v>19346</v>
      </c>
      <c r="C13" s="29">
        <v>23200</v>
      </c>
      <c r="D13" s="29">
        <v>65754</v>
      </c>
      <c r="E13" s="29">
        <v>9245</v>
      </c>
      <c r="F13" s="29">
        <v>9825</v>
      </c>
      <c r="G13" s="30">
        <v>77938</v>
      </c>
      <c r="H13" s="31">
        <v>8461</v>
      </c>
      <c r="I13" s="31">
        <v>34502</v>
      </c>
      <c r="J13" s="31">
        <v>83135</v>
      </c>
      <c r="K13" s="31">
        <v>71700</v>
      </c>
      <c r="L13" s="31">
        <v>62493</v>
      </c>
      <c r="M13" s="31">
        <v>55796</v>
      </c>
      <c r="N13" s="29">
        <f t="shared" si="0"/>
        <v>521395</v>
      </c>
      <c r="Q13" s="25" t="s">
        <v>61</v>
      </c>
      <c r="R13" s="25">
        <v>30629</v>
      </c>
    </row>
    <row r="14" spans="1:18">
      <c r="A14" s="29" t="s">
        <v>199</v>
      </c>
      <c r="B14" s="29">
        <v>19451</v>
      </c>
      <c r="C14" s="29">
        <v>10271</v>
      </c>
      <c r="D14" s="29">
        <v>20350</v>
      </c>
      <c r="E14" s="29">
        <v>15052</v>
      </c>
      <c r="F14" s="29">
        <v>20739</v>
      </c>
      <c r="G14" s="30">
        <v>22500</v>
      </c>
      <c r="H14" s="31">
        <v>24452</v>
      </c>
      <c r="I14" s="31">
        <v>26558</v>
      </c>
      <c r="J14" s="31">
        <v>20508</v>
      </c>
      <c r="K14" s="31">
        <v>19354</v>
      </c>
      <c r="L14" s="31">
        <v>11513</v>
      </c>
      <c r="M14" s="31">
        <v>12506</v>
      </c>
      <c r="N14" s="29">
        <f t="shared" si="0"/>
        <v>223254</v>
      </c>
      <c r="Q14" s="25" t="s">
        <v>62</v>
      </c>
      <c r="R14" s="25">
        <v>57154</v>
      </c>
    </row>
    <row r="15" spans="1:18">
      <c r="A15" s="29" t="s">
        <v>200</v>
      </c>
      <c r="B15" s="29">
        <v>13781</v>
      </c>
      <c r="C15" s="29">
        <v>6565</v>
      </c>
      <c r="D15" s="29">
        <v>15057</v>
      </c>
      <c r="E15" s="29">
        <v>3870</v>
      </c>
      <c r="F15" s="29">
        <v>11637</v>
      </c>
      <c r="G15" s="30">
        <v>12574</v>
      </c>
      <c r="H15" s="31">
        <v>10200</v>
      </c>
      <c r="I15" s="31">
        <v>11453</v>
      </c>
      <c r="J15" s="31">
        <v>10368</v>
      </c>
      <c r="K15" s="31">
        <v>9000</v>
      </c>
      <c r="L15" s="31">
        <v>12207</v>
      </c>
      <c r="M15" s="31">
        <v>10999</v>
      </c>
      <c r="N15" s="29">
        <f t="shared" si="0"/>
        <v>127711</v>
      </c>
    </row>
    <row r="16" spans="1:18">
      <c r="A16" s="29" t="s">
        <v>201</v>
      </c>
      <c r="B16" s="29">
        <v>2122</v>
      </c>
      <c r="C16" s="29">
        <v>1263</v>
      </c>
      <c r="D16" s="29">
        <v>5735</v>
      </c>
      <c r="E16" s="29">
        <v>2017</v>
      </c>
      <c r="F16" s="29">
        <v>2276</v>
      </c>
      <c r="G16" s="30">
        <v>3597</v>
      </c>
      <c r="H16" s="31">
        <v>3640</v>
      </c>
      <c r="I16" s="31">
        <v>3766</v>
      </c>
      <c r="J16" s="31">
        <v>4279</v>
      </c>
      <c r="K16" s="31">
        <v>5569</v>
      </c>
      <c r="L16" s="31">
        <v>6052</v>
      </c>
      <c r="M16" s="31">
        <v>9863</v>
      </c>
      <c r="N16" s="29">
        <f t="shared" si="0"/>
        <v>50179</v>
      </c>
    </row>
    <row r="17" spans="1:16">
      <c r="A17" s="29" t="s">
        <v>202</v>
      </c>
      <c r="B17" s="29">
        <v>1553</v>
      </c>
      <c r="C17" s="29">
        <v>740</v>
      </c>
      <c r="D17" s="29">
        <v>1400</v>
      </c>
      <c r="E17" s="29">
        <v>1049</v>
      </c>
      <c r="F17" s="29">
        <v>843</v>
      </c>
      <c r="G17" s="30">
        <v>613</v>
      </c>
      <c r="H17" s="31">
        <v>1793</v>
      </c>
      <c r="I17" s="32">
        <v>2429</v>
      </c>
      <c r="J17" s="32">
        <v>2519</v>
      </c>
      <c r="K17" s="32">
        <v>2553</v>
      </c>
      <c r="L17" s="32">
        <v>1508</v>
      </c>
      <c r="M17" s="32">
        <v>1729</v>
      </c>
      <c r="N17" s="29">
        <f t="shared" si="0"/>
        <v>18729</v>
      </c>
    </row>
    <row r="18" spans="1:16">
      <c r="A18" s="29" t="s">
        <v>203</v>
      </c>
      <c r="B18" s="29">
        <f t="shared" ref="B18:M18" si="1">SUM(B3:B17)</f>
        <v>294912</v>
      </c>
      <c r="C18" s="29">
        <f t="shared" si="1"/>
        <v>217543</v>
      </c>
      <c r="D18" s="29">
        <f t="shared" si="1"/>
        <v>370983</v>
      </c>
      <c r="E18" s="29">
        <f t="shared" si="1"/>
        <v>226420</v>
      </c>
      <c r="F18" s="29">
        <f t="shared" si="1"/>
        <v>311710</v>
      </c>
      <c r="G18" s="29">
        <f t="shared" si="1"/>
        <v>442813</v>
      </c>
      <c r="H18" s="29">
        <f t="shared" si="1"/>
        <v>407582</v>
      </c>
      <c r="I18" s="29">
        <f t="shared" si="1"/>
        <v>450045</v>
      </c>
      <c r="J18" s="29">
        <f t="shared" si="1"/>
        <v>552423</v>
      </c>
      <c r="K18" s="29">
        <f t="shared" si="1"/>
        <v>518216</v>
      </c>
      <c r="L18" s="29">
        <f t="shared" si="1"/>
        <v>520920</v>
      </c>
      <c r="M18" s="29">
        <f t="shared" si="1"/>
        <v>527851</v>
      </c>
      <c r="N18" s="29">
        <f t="shared" si="0"/>
        <v>4841418</v>
      </c>
    </row>
    <row r="19" spans="1:16">
      <c r="A19" s="27" t="s">
        <v>204</v>
      </c>
      <c r="B19" s="27">
        <v>352329</v>
      </c>
      <c r="C19" s="27">
        <v>272624</v>
      </c>
      <c r="D19" s="27">
        <v>444655</v>
      </c>
      <c r="E19" s="27">
        <v>282487</v>
      </c>
      <c r="F19" s="27">
        <v>359501</v>
      </c>
      <c r="G19" s="27">
        <v>531472</v>
      </c>
      <c r="H19" s="27">
        <v>486044</v>
      </c>
      <c r="I19" s="27">
        <v>529565</v>
      </c>
      <c r="J19" s="27">
        <v>610853</v>
      </c>
      <c r="K19" s="27">
        <v>554664</v>
      </c>
      <c r="L19" s="27">
        <v>598103</v>
      </c>
      <c r="M19" s="27">
        <v>640060</v>
      </c>
      <c r="N19" s="27">
        <f t="shared" si="0"/>
        <v>5662357</v>
      </c>
    </row>
    <row r="20" spans="1:16">
      <c r="A20" s="29" t="s">
        <v>205</v>
      </c>
      <c r="B20" s="34">
        <f t="shared" ref="B20:N20" si="2">B18/B19</f>
        <v>0.837035838662159</v>
      </c>
      <c r="C20" s="34">
        <f t="shared" si="2"/>
        <v>0.797959827454663</v>
      </c>
      <c r="D20" s="34">
        <f t="shared" si="2"/>
        <v>0.834316492561649</v>
      </c>
      <c r="E20" s="34">
        <f t="shared" si="2"/>
        <v>0.801523609936032</v>
      </c>
      <c r="F20" s="34">
        <f t="shared" si="2"/>
        <v>0.867062956709439</v>
      </c>
      <c r="G20" s="35">
        <f t="shared" si="2"/>
        <v>0.83318218081103</v>
      </c>
      <c r="H20" s="36">
        <f t="shared" si="2"/>
        <v>0.838570170601838</v>
      </c>
      <c r="I20" s="36">
        <f t="shared" si="2"/>
        <v>0.849839018817331</v>
      </c>
      <c r="J20" s="36">
        <f t="shared" si="2"/>
        <v>0.904346872324438</v>
      </c>
      <c r="K20" s="36">
        <f t="shared" si="2"/>
        <v>0.934288145616085</v>
      </c>
      <c r="L20" s="36">
        <f t="shared" si="2"/>
        <v>0.870953665171384</v>
      </c>
      <c r="M20" s="36">
        <f t="shared" si="2"/>
        <v>0.824689872824423</v>
      </c>
      <c r="N20" s="34">
        <f t="shared" si="2"/>
        <v>0.855018148802698</v>
      </c>
    </row>
    <row r="21" spans="1:16">
      <c r="A21" s="29" t="s">
        <v>206</v>
      </c>
      <c r="B21" s="27">
        <v>2077739</v>
      </c>
      <c r="C21" s="27">
        <v>1257634</v>
      </c>
      <c r="D21" s="27">
        <v>1579263</v>
      </c>
      <c r="E21" s="27">
        <v>1043874</v>
      </c>
      <c r="F21" s="27">
        <v>1354017</v>
      </c>
      <c r="G21" s="27">
        <v>1943778</v>
      </c>
      <c r="H21" s="27">
        <v>1817840</v>
      </c>
      <c r="I21" s="27">
        <v>1873681</v>
      </c>
      <c r="J21" s="27">
        <v>1922738</v>
      </c>
      <c r="K21" s="27">
        <v>1842762</v>
      </c>
      <c r="L21" s="27">
        <v>1652847</v>
      </c>
      <c r="M21" s="27">
        <v>2170277</v>
      </c>
      <c r="N21" s="27">
        <f>SUM(B21:M21)</f>
        <v>20536450</v>
      </c>
    </row>
    <row r="22" spans="1:16">
      <c r="A22" s="29" t="s">
        <v>207</v>
      </c>
      <c r="B22" s="34">
        <f t="shared" ref="B22:N22" si="3">B19/B21</f>
        <v>0.169573271715071</v>
      </c>
      <c r="C22" s="34">
        <f t="shared" si="3"/>
        <v>0.21677530982782</v>
      </c>
      <c r="D22" s="34">
        <f t="shared" si="3"/>
        <v>0.281558549779232</v>
      </c>
      <c r="E22" s="34">
        <f t="shared" si="3"/>
        <v>0.270614077944273</v>
      </c>
      <c r="F22" s="34">
        <f t="shared" si="3"/>
        <v>0.26550700618973</v>
      </c>
      <c r="G22" s="35">
        <f t="shared" si="3"/>
        <v>0.273422170638828</v>
      </c>
      <c r="H22" s="36">
        <f t="shared" si="3"/>
        <v>0.267374466399683</v>
      </c>
      <c r="I22" s="36">
        <f t="shared" si="3"/>
        <v>0.282633489905699</v>
      </c>
      <c r="J22" s="36">
        <f t="shared" si="3"/>
        <v>0.317699551368933</v>
      </c>
      <c r="K22" s="36">
        <f t="shared" si="3"/>
        <v>0.300996004910021</v>
      </c>
      <c r="L22" s="36">
        <f t="shared" si="3"/>
        <v>0.361862289734017</v>
      </c>
      <c r="M22" s="36">
        <f t="shared" si="3"/>
        <v>0.294920878763402</v>
      </c>
      <c r="N22" s="34">
        <f t="shared" si="3"/>
        <v>0.275722288905824</v>
      </c>
    </row>
    <row r="23" spans="1:16">
      <c r="A23" s="26" t="s">
        <v>208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6">
      <c r="A24" s="26" t="s">
        <v>209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</row>
    <row r="25" spans="1:16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 spans="1:16">
      <c r="A26" s="27" t="s">
        <v>210</v>
      </c>
      <c r="B26" s="28">
        <v>44927</v>
      </c>
      <c r="C26" s="28">
        <v>44958</v>
      </c>
      <c r="D26" s="28">
        <v>44986</v>
      </c>
      <c r="E26" s="28">
        <v>45017</v>
      </c>
      <c r="F26" s="28">
        <v>45047</v>
      </c>
      <c r="G26" s="28">
        <v>45078</v>
      </c>
      <c r="H26" s="28">
        <v>45108</v>
      </c>
      <c r="I26" s="28">
        <v>45139</v>
      </c>
      <c r="J26" s="28">
        <v>45170</v>
      </c>
      <c r="K26" s="28">
        <v>45200</v>
      </c>
      <c r="L26" s="28">
        <v>45231</v>
      </c>
      <c r="M26" s="28">
        <v>45261</v>
      </c>
      <c r="N26" s="27" t="s">
        <v>63</v>
      </c>
    </row>
    <row r="27" spans="1:16">
      <c r="A27" s="29" t="s">
        <v>188</v>
      </c>
      <c r="B27" s="29">
        <v>150164</v>
      </c>
      <c r="C27" s="29">
        <v>191664</v>
      </c>
      <c r="D27" s="29">
        <v>206089</v>
      </c>
      <c r="E27" s="29">
        <v>209467</v>
      </c>
      <c r="F27" s="29">
        <v>239092</v>
      </c>
      <c r="G27" s="29">
        <v>251685</v>
      </c>
      <c r="H27" s="29">
        <v>261105</v>
      </c>
      <c r="I27" s="29">
        <v>274086</v>
      </c>
      <c r="J27" s="29">
        <v>286903</v>
      </c>
      <c r="K27" s="29">
        <v>301095</v>
      </c>
      <c r="L27" s="29">
        <v>301378</v>
      </c>
      <c r="M27" s="29">
        <v>340178</v>
      </c>
      <c r="N27" s="29">
        <f t="shared" ref="N27:N43" si="4">SUM(B27:M27)</f>
        <v>3012906</v>
      </c>
      <c r="P27" s="38"/>
    </row>
    <row r="28" spans="1:16">
      <c r="A28" s="29" t="s">
        <v>189</v>
      </c>
      <c r="B28" s="29">
        <v>8206</v>
      </c>
      <c r="C28" s="29">
        <v>30086</v>
      </c>
      <c r="D28" s="29">
        <v>40016</v>
      </c>
      <c r="E28" s="29">
        <v>41012</v>
      </c>
      <c r="F28" s="29">
        <v>45003</v>
      </c>
      <c r="G28" s="29">
        <v>45013</v>
      </c>
      <c r="H28" s="29">
        <v>45025</v>
      </c>
      <c r="I28" s="39">
        <v>45029</v>
      </c>
      <c r="J28" s="29">
        <v>51596</v>
      </c>
      <c r="K28" s="29">
        <v>41503</v>
      </c>
      <c r="L28" s="29">
        <v>41567</v>
      </c>
      <c r="M28" s="29">
        <v>45947</v>
      </c>
      <c r="N28" s="29">
        <f t="shared" si="4"/>
        <v>480003</v>
      </c>
      <c r="P28" s="38"/>
    </row>
    <row r="29" spans="1:16">
      <c r="A29" s="29" t="s">
        <v>190</v>
      </c>
      <c r="B29" s="29">
        <v>3116</v>
      </c>
      <c r="C29" s="29">
        <v>5455</v>
      </c>
      <c r="D29" s="29">
        <v>6663</v>
      </c>
      <c r="E29" s="29">
        <v>8101</v>
      </c>
      <c r="F29" s="29">
        <v>8678</v>
      </c>
      <c r="G29" s="29">
        <v>10620</v>
      </c>
      <c r="H29" s="29">
        <v>12039</v>
      </c>
      <c r="I29" s="39">
        <v>12303</v>
      </c>
      <c r="J29" s="29">
        <v>12053</v>
      </c>
      <c r="K29" s="29">
        <v>13077</v>
      </c>
      <c r="L29" s="29">
        <v>13104</v>
      </c>
      <c r="M29" s="29">
        <v>13476</v>
      </c>
      <c r="N29" s="29">
        <f t="shared" si="4"/>
        <v>118685</v>
      </c>
      <c r="P29" s="38"/>
    </row>
    <row r="30" spans="1:16">
      <c r="A30" s="29" t="s">
        <v>191</v>
      </c>
      <c r="B30" s="29">
        <v>5218</v>
      </c>
      <c r="C30" s="29">
        <v>6010</v>
      </c>
      <c r="D30" s="29">
        <v>7002</v>
      </c>
      <c r="E30" s="29">
        <v>7079</v>
      </c>
      <c r="F30" s="29">
        <v>7506</v>
      </c>
      <c r="G30" s="29">
        <v>8620</v>
      </c>
      <c r="H30" s="29">
        <v>11008</v>
      </c>
      <c r="I30" s="40">
        <v>13690</v>
      </c>
      <c r="J30" s="29">
        <v>15310</v>
      </c>
      <c r="K30" s="29">
        <v>20002</v>
      </c>
      <c r="L30" s="29">
        <v>20041</v>
      </c>
      <c r="M30" s="29">
        <v>20107</v>
      </c>
      <c r="N30" s="29">
        <f t="shared" si="4"/>
        <v>141593</v>
      </c>
      <c r="P30" s="38"/>
    </row>
    <row r="31" spans="1:16">
      <c r="A31" s="29" t="s">
        <v>192</v>
      </c>
      <c r="B31" s="29">
        <v>8506</v>
      </c>
      <c r="C31" s="29">
        <v>12157</v>
      </c>
      <c r="D31" s="29">
        <v>10378</v>
      </c>
      <c r="E31" s="29">
        <v>6658</v>
      </c>
      <c r="F31" s="29">
        <v>6155</v>
      </c>
      <c r="G31" s="29">
        <v>10707</v>
      </c>
      <c r="H31" s="29">
        <v>20462</v>
      </c>
      <c r="I31" s="40">
        <v>19329</v>
      </c>
      <c r="J31" s="29">
        <v>15641</v>
      </c>
      <c r="K31" s="29">
        <v>16074</v>
      </c>
      <c r="L31" s="29">
        <v>15959</v>
      </c>
      <c r="M31" s="29">
        <v>18012</v>
      </c>
      <c r="N31" s="29">
        <f t="shared" si="4"/>
        <v>160038</v>
      </c>
      <c r="P31" s="38"/>
    </row>
    <row r="32" spans="1:16">
      <c r="A32" s="29" t="s">
        <v>193</v>
      </c>
      <c r="B32" s="29">
        <v>15141</v>
      </c>
      <c r="C32" s="29">
        <v>16620</v>
      </c>
      <c r="D32" s="29">
        <v>20823</v>
      </c>
      <c r="E32" s="29">
        <v>25681</v>
      </c>
      <c r="F32" s="29">
        <v>28277</v>
      </c>
      <c r="G32" s="29">
        <v>32575</v>
      </c>
      <c r="H32" s="29">
        <v>34134</v>
      </c>
      <c r="I32" s="40">
        <v>34914</v>
      </c>
      <c r="J32" s="29">
        <v>36060</v>
      </c>
      <c r="K32" s="29">
        <v>40422</v>
      </c>
      <c r="L32" s="29">
        <v>41020</v>
      </c>
      <c r="M32" s="29">
        <v>50353</v>
      </c>
      <c r="N32" s="29">
        <f t="shared" si="4"/>
        <v>376020</v>
      </c>
      <c r="P32" s="38"/>
    </row>
    <row r="33" spans="1:18">
      <c r="A33" s="29" t="s">
        <v>194</v>
      </c>
      <c r="B33" s="29">
        <v>6016</v>
      </c>
      <c r="C33" s="29">
        <v>10073</v>
      </c>
      <c r="D33" s="29">
        <v>10087</v>
      </c>
      <c r="E33" s="29">
        <v>11080</v>
      </c>
      <c r="F33" s="29">
        <v>13029</v>
      </c>
      <c r="G33" s="29">
        <v>12132</v>
      </c>
      <c r="H33" s="29">
        <v>10039</v>
      </c>
      <c r="I33" s="40">
        <v>12103</v>
      </c>
      <c r="J33" s="29">
        <v>13211</v>
      </c>
      <c r="K33" s="29">
        <v>12085</v>
      </c>
      <c r="L33" s="29">
        <v>12506</v>
      </c>
      <c r="M33" s="29">
        <v>5135</v>
      </c>
      <c r="N33" s="29">
        <f t="shared" si="4"/>
        <v>127496</v>
      </c>
      <c r="P33" s="38"/>
    </row>
    <row r="34" spans="1:18">
      <c r="A34" s="29" t="s">
        <v>195</v>
      </c>
      <c r="B34" s="29">
        <v>1139</v>
      </c>
      <c r="C34" s="29">
        <v>3198</v>
      </c>
      <c r="D34" s="29">
        <v>6172</v>
      </c>
      <c r="E34" s="29">
        <v>8726</v>
      </c>
      <c r="F34" s="29">
        <v>12058</v>
      </c>
      <c r="G34" s="29">
        <v>13209</v>
      </c>
      <c r="H34" s="29">
        <v>14335</v>
      </c>
      <c r="I34" s="40">
        <v>14190</v>
      </c>
      <c r="J34" s="29">
        <v>15800</v>
      </c>
      <c r="K34" s="29">
        <v>18202</v>
      </c>
      <c r="L34" s="29">
        <v>18508</v>
      </c>
      <c r="M34" s="29">
        <v>18618</v>
      </c>
      <c r="N34" s="29">
        <f t="shared" si="4"/>
        <v>144155</v>
      </c>
      <c r="P34" s="38"/>
    </row>
    <row r="35" spans="1:18">
      <c r="A35" s="29" t="s">
        <v>196</v>
      </c>
      <c r="B35" s="29">
        <v>4490</v>
      </c>
      <c r="C35" s="29">
        <v>3505</v>
      </c>
      <c r="D35" s="29">
        <v>3679</v>
      </c>
      <c r="E35" s="29">
        <v>2953</v>
      </c>
      <c r="F35" s="29">
        <v>5466</v>
      </c>
      <c r="G35" s="29">
        <v>5668</v>
      </c>
      <c r="H35" s="29">
        <v>4240</v>
      </c>
      <c r="I35" s="39">
        <v>3263</v>
      </c>
      <c r="J35" s="29">
        <v>7125</v>
      </c>
      <c r="K35" s="29">
        <v>14506</v>
      </c>
      <c r="L35" s="29">
        <v>21170</v>
      </c>
      <c r="M35" s="29">
        <v>36270</v>
      </c>
      <c r="N35" s="29">
        <f t="shared" si="4"/>
        <v>112335</v>
      </c>
      <c r="P35" s="38"/>
    </row>
    <row r="36" spans="1:18">
      <c r="A36" s="29" t="s">
        <v>197</v>
      </c>
      <c r="B36" s="29">
        <v>18178</v>
      </c>
      <c r="C36" s="29">
        <v>23289</v>
      </c>
      <c r="D36" s="29">
        <v>31154</v>
      </c>
      <c r="E36" s="29">
        <v>26278</v>
      </c>
      <c r="F36" s="29">
        <v>29126</v>
      </c>
      <c r="G36" s="29">
        <v>27449</v>
      </c>
      <c r="H36" s="29">
        <v>23750</v>
      </c>
      <c r="I36" s="29">
        <v>26615</v>
      </c>
      <c r="J36" s="29">
        <v>27057</v>
      </c>
      <c r="K36" s="29">
        <v>20472</v>
      </c>
      <c r="L36" s="29">
        <v>28280</v>
      </c>
      <c r="M36" s="29">
        <v>35024</v>
      </c>
      <c r="N36" s="29">
        <f t="shared" si="4"/>
        <v>316672</v>
      </c>
      <c r="P36" s="38"/>
    </row>
    <row r="37" spans="1:18">
      <c r="A37" s="29" t="s">
        <v>198</v>
      </c>
      <c r="B37" s="29">
        <v>66051</v>
      </c>
      <c r="C37" s="29">
        <v>74402</v>
      </c>
      <c r="D37" s="29">
        <v>88869</v>
      </c>
      <c r="E37" s="29">
        <v>75842</v>
      </c>
      <c r="F37" s="29">
        <v>77695</v>
      </c>
      <c r="G37" s="29">
        <v>93680</v>
      </c>
      <c r="H37" s="29">
        <v>64285</v>
      </c>
      <c r="I37" s="29">
        <v>84159</v>
      </c>
      <c r="J37" s="29">
        <v>74073</v>
      </c>
      <c r="K37" s="29">
        <v>72115</v>
      </c>
      <c r="L37" s="29">
        <v>82432</v>
      </c>
      <c r="M37" s="29">
        <v>94139</v>
      </c>
      <c r="N37" s="29">
        <f t="shared" si="4"/>
        <v>947742</v>
      </c>
      <c r="P37" s="38"/>
    </row>
    <row r="38" spans="1:18">
      <c r="A38" s="29" t="s">
        <v>199</v>
      </c>
      <c r="B38" s="29">
        <v>5859</v>
      </c>
      <c r="C38" s="29">
        <v>8086</v>
      </c>
      <c r="D38" s="29">
        <v>10000</v>
      </c>
      <c r="E38" s="29">
        <v>7354</v>
      </c>
      <c r="F38" s="29">
        <v>8000</v>
      </c>
      <c r="G38" s="29">
        <v>10573</v>
      </c>
      <c r="H38" s="29">
        <v>8500</v>
      </c>
      <c r="I38" s="29">
        <v>10579</v>
      </c>
      <c r="J38" s="29">
        <v>13385</v>
      </c>
      <c r="K38" s="29">
        <v>11307</v>
      </c>
      <c r="L38" s="29">
        <v>15188</v>
      </c>
      <c r="M38" s="29">
        <v>20887</v>
      </c>
      <c r="N38" s="29">
        <f t="shared" si="4"/>
        <v>129718</v>
      </c>
      <c r="P38" s="38"/>
    </row>
    <row r="39" spans="1:18">
      <c r="A39" s="29" t="s">
        <v>200</v>
      </c>
      <c r="B39" s="29">
        <v>6313</v>
      </c>
      <c r="C39" s="29">
        <v>8340</v>
      </c>
      <c r="D39" s="29">
        <v>13155</v>
      </c>
      <c r="E39" s="29">
        <v>14863</v>
      </c>
      <c r="F39" s="29">
        <v>23755</v>
      </c>
      <c r="G39" s="29">
        <v>26643</v>
      </c>
      <c r="H39" s="29">
        <v>28896</v>
      </c>
      <c r="I39" s="29">
        <v>26266</v>
      </c>
      <c r="J39" s="29">
        <v>21868</v>
      </c>
      <c r="K39" s="29">
        <v>30461</v>
      </c>
      <c r="L39" s="29">
        <v>31170</v>
      </c>
      <c r="M39" s="29">
        <v>29816</v>
      </c>
      <c r="N39" s="29">
        <f t="shared" si="4"/>
        <v>261546</v>
      </c>
      <c r="P39" s="38"/>
    </row>
    <row r="40" spans="1:18">
      <c r="A40" s="29" t="s">
        <v>211</v>
      </c>
      <c r="B40" s="29">
        <v>24960</v>
      </c>
      <c r="C40" s="29">
        <v>19389</v>
      </c>
      <c r="D40" s="29">
        <v>33484</v>
      </c>
      <c r="E40" s="29">
        <v>20459</v>
      </c>
      <c r="F40" s="29">
        <v>26914</v>
      </c>
      <c r="G40" s="29">
        <v>36622</v>
      </c>
      <c r="H40" s="29">
        <v>36897</v>
      </c>
      <c r="I40" s="29">
        <v>36919</v>
      </c>
      <c r="J40" s="29">
        <v>42812</v>
      </c>
      <c r="K40" s="29">
        <v>53990</v>
      </c>
      <c r="L40" s="29">
        <v>42099</v>
      </c>
      <c r="M40" s="29">
        <v>47330</v>
      </c>
      <c r="N40" s="29">
        <f t="shared" si="4"/>
        <v>421875</v>
      </c>
      <c r="P40" s="38"/>
    </row>
    <row r="41" spans="1:18">
      <c r="A41" s="29" t="s">
        <v>212</v>
      </c>
      <c r="B41" s="29">
        <v>4598</v>
      </c>
      <c r="C41" s="29">
        <v>11068</v>
      </c>
      <c r="D41" s="29">
        <v>15880</v>
      </c>
      <c r="E41" s="29">
        <v>24166</v>
      </c>
      <c r="F41" s="29">
        <v>24373</v>
      </c>
      <c r="G41" s="29">
        <v>30441</v>
      </c>
      <c r="H41" s="29">
        <v>34531</v>
      </c>
      <c r="I41" s="29">
        <v>35612</v>
      </c>
      <c r="J41" s="29">
        <v>29129</v>
      </c>
      <c r="K41" s="29">
        <v>46000</v>
      </c>
      <c r="L41" s="29">
        <v>71143</v>
      </c>
      <c r="M41" s="29">
        <v>117533</v>
      </c>
      <c r="N41" s="29">
        <f t="shared" si="4"/>
        <v>444474</v>
      </c>
      <c r="P41" s="38"/>
      <c r="R41" s="25" t="s">
        <v>104</v>
      </c>
    </row>
    <row r="42" spans="1:18">
      <c r="A42" s="29" t="s">
        <v>203</v>
      </c>
      <c r="B42" s="29">
        <f t="shared" ref="B42:M42" si="5">SUM(B27:B41)</f>
        <v>327955</v>
      </c>
      <c r="C42" s="29">
        <f t="shared" si="5"/>
        <v>423342</v>
      </c>
      <c r="D42" s="29">
        <f t="shared" si="5"/>
        <v>503451</v>
      </c>
      <c r="E42" s="29">
        <f t="shared" si="5"/>
        <v>489719</v>
      </c>
      <c r="F42" s="29">
        <f t="shared" si="5"/>
        <v>555127</v>
      </c>
      <c r="G42" s="29">
        <f t="shared" si="5"/>
        <v>615637</v>
      </c>
      <c r="H42" s="29">
        <f t="shared" si="5"/>
        <v>609246</v>
      </c>
      <c r="I42" s="29">
        <f t="shared" si="5"/>
        <v>649057</v>
      </c>
      <c r="J42" s="29">
        <f t="shared" si="5"/>
        <v>662023</v>
      </c>
      <c r="K42" s="29">
        <f t="shared" si="5"/>
        <v>711311</v>
      </c>
      <c r="L42" s="29">
        <f t="shared" si="5"/>
        <v>755565</v>
      </c>
      <c r="M42" s="29">
        <f t="shared" si="5"/>
        <v>892825</v>
      </c>
      <c r="N42" s="29">
        <f t="shared" si="4"/>
        <v>7195258</v>
      </c>
      <c r="R42" s="25" t="s">
        <v>105</v>
      </c>
    </row>
    <row r="43" spans="1:18">
      <c r="A43" s="27" t="s">
        <v>204</v>
      </c>
      <c r="B43" s="27">
        <v>389000</v>
      </c>
      <c r="C43" s="27">
        <v>496000</v>
      </c>
      <c r="D43" s="41">
        <v>617000</v>
      </c>
      <c r="E43" s="41">
        <v>607000</v>
      </c>
      <c r="F43" s="41">
        <v>673000</v>
      </c>
      <c r="G43" s="41">
        <v>761000</v>
      </c>
      <c r="H43" s="41">
        <v>737000</v>
      </c>
      <c r="I43" s="41">
        <v>798000</v>
      </c>
      <c r="J43" s="41">
        <v>829000</v>
      </c>
      <c r="K43" s="41">
        <v>883000</v>
      </c>
      <c r="L43" s="41">
        <v>815352</v>
      </c>
      <c r="M43" s="41">
        <v>1095000</v>
      </c>
      <c r="N43" s="41">
        <f t="shared" si="4"/>
        <v>8700352</v>
      </c>
      <c r="R43" s="25" t="s">
        <v>106</v>
      </c>
    </row>
    <row r="44" spans="1:18">
      <c r="A44" s="29" t="s">
        <v>205</v>
      </c>
      <c r="B44" s="34">
        <f t="shared" ref="B44:N44" si="6">B42/B43</f>
        <v>0.843071979434447</v>
      </c>
      <c r="C44" s="34">
        <f t="shared" si="6"/>
        <v>0.853512096774194</v>
      </c>
      <c r="D44" s="34">
        <f t="shared" si="6"/>
        <v>0.815965964343598</v>
      </c>
      <c r="E44" s="34">
        <f t="shared" si="6"/>
        <v>0.806785831960461</v>
      </c>
      <c r="F44" s="34">
        <f t="shared" si="6"/>
        <v>0.824854383358098</v>
      </c>
      <c r="G44" s="34">
        <f t="shared" si="6"/>
        <v>0.808984231274639</v>
      </c>
      <c r="H44" s="34">
        <f t="shared" si="6"/>
        <v>0.82665671641791</v>
      </c>
      <c r="I44" s="34">
        <f t="shared" si="6"/>
        <v>0.813354636591479</v>
      </c>
      <c r="J44" s="34">
        <f t="shared" si="6"/>
        <v>0.798580217129071</v>
      </c>
      <c r="K44" s="34">
        <f t="shared" si="6"/>
        <v>0.805561721404303</v>
      </c>
      <c r="L44" s="34">
        <f t="shared" si="6"/>
        <v>0.926673387690225</v>
      </c>
      <c r="M44" s="34">
        <f t="shared" si="6"/>
        <v>0.815365296803653</v>
      </c>
      <c r="N44" s="34">
        <f t="shared" si="6"/>
        <v>0.827007688884312</v>
      </c>
      <c r="O44" s="34"/>
    </row>
    <row r="45" spans="1:18">
      <c r="A45" s="29" t="s">
        <v>206</v>
      </c>
      <c r="B45" s="27">
        <v>1448000</v>
      </c>
      <c r="C45" s="27">
        <v>1616908</v>
      </c>
      <c r="D45" s="41">
        <v>1988004</v>
      </c>
      <c r="E45" s="27">
        <v>1776780</v>
      </c>
      <c r="F45" s="27">
        <v>1997000</v>
      </c>
      <c r="G45" s="27">
        <v>2236000</v>
      </c>
      <c r="H45" s="27">
        <v>2065000</v>
      </c>
      <c r="I45" s="27">
        <v>2237000</v>
      </c>
      <c r="J45" s="27">
        <v>2449000</v>
      </c>
      <c r="K45" s="27">
        <v>2033000</v>
      </c>
      <c r="L45" s="27">
        <v>2549000</v>
      </c>
      <c r="M45" s="27">
        <v>2353000</v>
      </c>
      <c r="N45" s="41">
        <f>SUM(B45:M45)</f>
        <v>24748692</v>
      </c>
      <c r="O45" s="27"/>
    </row>
    <row r="46" spans="1:18">
      <c r="A46" s="29" t="s">
        <v>207</v>
      </c>
      <c r="B46" s="34">
        <f t="shared" ref="B46:N46" si="7">B43/B45</f>
        <v>0.268646408839779</v>
      </c>
      <c r="C46" s="34">
        <f t="shared" si="7"/>
        <v>0.306758331333632</v>
      </c>
      <c r="D46" s="34">
        <f t="shared" si="7"/>
        <v>0.310361548568313</v>
      </c>
      <c r="E46" s="34">
        <f t="shared" si="7"/>
        <v>0.341629239410619</v>
      </c>
      <c r="F46" s="34">
        <f t="shared" si="7"/>
        <v>0.337005508262394</v>
      </c>
      <c r="G46" s="34">
        <f t="shared" si="7"/>
        <v>0.340339892665474</v>
      </c>
      <c r="H46" s="34">
        <f t="shared" si="7"/>
        <v>0.356900726392252</v>
      </c>
      <c r="I46" s="34">
        <f t="shared" si="7"/>
        <v>0.356727760393384</v>
      </c>
      <c r="J46" s="34">
        <f t="shared" si="7"/>
        <v>0.338505512454063</v>
      </c>
      <c r="K46" s="34">
        <f t="shared" si="7"/>
        <v>0.434333497294638</v>
      </c>
      <c r="L46" s="34">
        <f t="shared" si="7"/>
        <v>0.319871322087093</v>
      </c>
      <c r="M46" s="34">
        <f t="shared" si="7"/>
        <v>0.465363365915852</v>
      </c>
      <c r="N46" s="34">
        <f t="shared" si="7"/>
        <v>0.351547952514016</v>
      </c>
      <c r="O46" s="34"/>
    </row>
    <row r="47" spans="1:18">
      <c r="A47" s="26" t="s">
        <v>208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</row>
    <row r="48" spans="1:18">
      <c r="A48" s="26" t="s">
        <v>209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spans="1:16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</row>
    <row r="50" spans="1:16">
      <c r="A50" s="27" t="s">
        <v>210</v>
      </c>
      <c r="B50" s="28">
        <v>45292</v>
      </c>
      <c r="C50" s="28">
        <v>45323</v>
      </c>
      <c r="D50" s="28">
        <v>45352</v>
      </c>
      <c r="E50" s="28">
        <v>45383</v>
      </c>
      <c r="F50" s="28">
        <v>45413</v>
      </c>
      <c r="G50" s="28">
        <v>45444</v>
      </c>
      <c r="H50" s="28">
        <v>45474</v>
      </c>
      <c r="I50" s="28">
        <v>45505</v>
      </c>
      <c r="J50" s="28">
        <v>45536</v>
      </c>
      <c r="K50" s="28">
        <v>45566</v>
      </c>
      <c r="L50" s="28">
        <v>45597</v>
      </c>
      <c r="M50" s="28">
        <v>45627</v>
      </c>
      <c r="N50" s="27" t="s">
        <v>63</v>
      </c>
    </row>
    <row r="51" spans="1:16">
      <c r="A51" s="29" t="s">
        <v>188</v>
      </c>
      <c r="B51" s="29">
        <v>201019</v>
      </c>
      <c r="C51" s="29">
        <v>121748</v>
      </c>
      <c r="D51" s="29">
        <v>301631</v>
      </c>
      <c r="E51" s="29">
        <v>312048</v>
      </c>
      <c r="F51" s="29">
        <v>330488</v>
      </c>
      <c r="G51" s="29">
        <v>340211</v>
      </c>
      <c r="H51" s="29">
        <v>340799</v>
      </c>
      <c r="I51" s="29">
        <v>370854</v>
      </c>
      <c r="J51" s="29">
        <v>417603</v>
      </c>
      <c r="K51" s="29">
        <v>500526</v>
      </c>
      <c r="L51" s="29">
        <v>504003</v>
      </c>
      <c r="M51" s="29">
        <v>509440</v>
      </c>
      <c r="N51" s="29">
        <f t="shared" ref="N51:N67" si="8">SUM(B51:M51)</f>
        <v>4250370</v>
      </c>
      <c r="P51" s="38"/>
    </row>
    <row r="52" spans="1:16">
      <c r="A52" s="29" t="s">
        <v>189</v>
      </c>
      <c r="B52" s="29">
        <v>24947</v>
      </c>
      <c r="C52" s="29">
        <v>16676</v>
      </c>
      <c r="D52" s="29">
        <v>32530</v>
      </c>
      <c r="E52" s="29">
        <v>28113</v>
      </c>
      <c r="F52" s="29">
        <v>40073</v>
      </c>
      <c r="G52" s="29">
        <v>25692</v>
      </c>
      <c r="H52" s="29">
        <v>28287</v>
      </c>
      <c r="I52" s="39">
        <v>35355</v>
      </c>
      <c r="J52" s="29">
        <v>40360</v>
      </c>
      <c r="K52" s="29">
        <v>40052</v>
      </c>
      <c r="L52" s="29">
        <v>42301</v>
      </c>
      <c r="M52" s="29">
        <v>46851</v>
      </c>
      <c r="N52" s="29">
        <f t="shared" si="8"/>
        <v>401237</v>
      </c>
      <c r="P52" s="38"/>
    </row>
    <row r="53" spans="1:16">
      <c r="A53" s="29" t="s">
        <v>213</v>
      </c>
      <c r="B53" s="29">
        <v>65826</v>
      </c>
      <c r="C53" s="29">
        <v>33508</v>
      </c>
      <c r="D53" s="29">
        <v>44791</v>
      </c>
      <c r="E53" s="29">
        <v>51428</v>
      </c>
      <c r="F53" s="29">
        <v>58673</v>
      </c>
      <c r="G53" s="29">
        <v>65959</v>
      </c>
      <c r="H53" s="29">
        <v>59051</v>
      </c>
      <c r="I53" s="39">
        <v>75484</v>
      </c>
      <c r="J53" s="29">
        <v>91134</v>
      </c>
      <c r="K53" s="29">
        <v>108722</v>
      </c>
      <c r="L53" s="29">
        <v>122453</v>
      </c>
      <c r="M53" s="29">
        <v>111206</v>
      </c>
      <c r="N53" s="29">
        <f t="shared" si="8"/>
        <v>888235</v>
      </c>
      <c r="P53" s="38"/>
    </row>
    <row r="54" spans="1:16">
      <c r="A54" s="29" t="s">
        <v>191</v>
      </c>
      <c r="B54" s="29">
        <v>8250</v>
      </c>
      <c r="C54" s="29">
        <v>4545</v>
      </c>
      <c r="D54" s="29">
        <v>9026</v>
      </c>
      <c r="E54" s="29">
        <v>9393</v>
      </c>
      <c r="F54" s="29">
        <v>10146</v>
      </c>
      <c r="G54" s="29">
        <v>12508</v>
      </c>
      <c r="H54" s="29">
        <v>13003</v>
      </c>
      <c r="I54" s="40">
        <v>14036</v>
      </c>
      <c r="J54" s="29">
        <v>21352</v>
      </c>
      <c r="K54" s="29">
        <v>23917</v>
      </c>
      <c r="L54" s="29">
        <v>30895</v>
      </c>
      <c r="M54" s="29">
        <v>36695</v>
      </c>
      <c r="N54" s="29">
        <f t="shared" si="8"/>
        <v>193766</v>
      </c>
      <c r="P54" s="38"/>
    </row>
    <row r="55" spans="1:16">
      <c r="A55" s="29" t="s">
        <v>192</v>
      </c>
      <c r="B55" s="29">
        <v>10055</v>
      </c>
      <c r="C55" s="29">
        <v>8132</v>
      </c>
      <c r="D55" s="29">
        <v>11866</v>
      </c>
      <c r="E55" s="29">
        <v>15620</v>
      </c>
      <c r="F55" s="29">
        <v>20544</v>
      </c>
      <c r="G55" s="29">
        <v>21209</v>
      </c>
      <c r="H55" s="29">
        <v>20498</v>
      </c>
      <c r="I55" s="40">
        <v>20176</v>
      </c>
      <c r="J55" s="29">
        <v>21181</v>
      </c>
      <c r="K55" s="29">
        <v>20976</v>
      </c>
      <c r="L55" s="29">
        <v>20575</v>
      </c>
      <c r="M55" s="29">
        <v>31138</v>
      </c>
      <c r="N55" s="29">
        <f t="shared" si="8"/>
        <v>221970</v>
      </c>
      <c r="P55" s="38"/>
    </row>
    <row r="56" spans="1:16">
      <c r="A56" s="29" t="s">
        <v>193</v>
      </c>
      <c r="B56" s="29">
        <v>31165</v>
      </c>
      <c r="C56" s="29">
        <v>20251</v>
      </c>
      <c r="D56" s="29">
        <v>28984</v>
      </c>
      <c r="E56" s="29">
        <v>25787</v>
      </c>
      <c r="F56" s="29">
        <v>35020</v>
      </c>
      <c r="G56" s="29">
        <v>47774</v>
      </c>
      <c r="H56" s="29">
        <v>51000</v>
      </c>
      <c r="I56" s="40">
        <v>48122</v>
      </c>
      <c r="J56" s="29">
        <v>53709</v>
      </c>
      <c r="K56" s="29">
        <v>51443</v>
      </c>
      <c r="L56" s="29">
        <v>48740</v>
      </c>
      <c r="M56" s="29">
        <v>58513</v>
      </c>
      <c r="N56" s="29">
        <f t="shared" si="8"/>
        <v>500508</v>
      </c>
      <c r="P56" s="38"/>
    </row>
    <row r="57" spans="1:16">
      <c r="A57" s="29" t="s">
        <v>194</v>
      </c>
      <c r="B57" s="29">
        <v>10032</v>
      </c>
      <c r="C57" s="29">
        <v>6085</v>
      </c>
      <c r="D57" s="29">
        <v>8317</v>
      </c>
      <c r="E57" s="29">
        <v>9017</v>
      </c>
      <c r="F57" s="29">
        <v>10113</v>
      </c>
      <c r="G57" s="29">
        <v>10206</v>
      </c>
      <c r="H57" s="29">
        <v>11015</v>
      </c>
      <c r="I57" s="40">
        <v>11005</v>
      </c>
      <c r="J57" s="29">
        <v>10118</v>
      </c>
      <c r="K57" s="42">
        <v>8000</v>
      </c>
      <c r="L57" s="29">
        <v>1500</v>
      </c>
      <c r="M57" s="29">
        <v>219</v>
      </c>
      <c r="N57" s="29">
        <f t="shared" si="8"/>
        <v>95627</v>
      </c>
      <c r="P57" s="38"/>
    </row>
    <row r="58" spans="1:16">
      <c r="A58" s="29" t="s">
        <v>195</v>
      </c>
      <c r="B58" s="29">
        <v>12277</v>
      </c>
      <c r="C58" s="29">
        <v>6566</v>
      </c>
      <c r="D58" s="29">
        <v>14567</v>
      </c>
      <c r="E58" s="29">
        <v>15005</v>
      </c>
      <c r="F58" s="29">
        <v>18165</v>
      </c>
      <c r="G58" s="29">
        <v>20116</v>
      </c>
      <c r="H58" s="29">
        <v>22093</v>
      </c>
      <c r="I58" s="40">
        <v>30305</v>
      </c>
      <c r="J58" s="29">
        <v>33767</v>
      </c>
      <c r="K58" s="29">
        <v>38177</v>
      </c>
      <c r="L58" s="29">
        <v>40169</v>
      </c>
      <c r="M58" s="29">
        <v>42517</v>
      </c>
      <c r="N58" s="29">
        <f t="shared" si="8"/>
        <v>293724</v>
      </c>
      <c r="P58" s="38"/>
    </row>
    <row r="59" spans="1:16">
      <c r="A59" s="29" t="s">
        <v>196</v>
      </c>
      <c r="B59" s="29">
        <v>37105</v>
      </c>
      <c r="C59" s="29">
        <v>28062</v>
      </c>
      <c r="D59" s="29">
        <v>24597</v>
      </c>
      <c r="E59" s="29">
        <v>25496</v>
      </c>
      <c r="F59" s="29">
        <v>32377</v>
      </c>
      <c r="G59" s="29">
        <v>43850</v>
      </c>
      <c r="H59" s="29">
        <v>40968</v>
      </c>
      <c r="I59" s="39">
        <v>33572</v>
      </c>
      <c r="J59" s="29">
        <v>37200</v>
      </c>
      <c r="K59" s="29">
        <v>36011</v>
      </c>
      <c r="L59" s="29">
        <v>36842</v>
      </c>
      <c r="M59" s="29">
        <v>34060</v>
      </c>
      <c r="N59" s="29">
        <f t="shared" si="8"/>
        <v>410140</v>
      </c>
      <c r="P59" s="38"/>
    </row>
    <row r="60" spans="1:16">
      <c r="A60" s="29" t="s">
        <v>197</v>
      </c>
      <c r="B60" s="29">
        <v>18739</v>
      </c>
      <c r="C60" s="29">
        <v>6934</v>
      </c>
      <c r="D60" s="29">
        <v>23684</v>
      </c>
      <c r="E60" s="29">
        <v>8961</v>
      </c>
      <c r="F60" s="29">
        <v>10026</v>
      </c>
      <c r="G60" s="29">
        <v>10944</v>
      </c>
      <c r="H60" s="29">
        <v>11496</v>
      </c>
      <c r="I60" s="29">
        <v>8474</v>
      </c>
      <c r="J60" s="29">
        <v>12208</v>
      </c>
      <c r="K60" s="29">
        <v>14800</v>
      </c>
      <c r="L60" s="29">
        <v>13059</v>
      </c>
      <c r="M60" s="29">
        <v>11847</v>
      </c>
      <c r="N60" s="29">
        <f t="shared" si="8"/>
        <v>151172</v>
      </c>
      <c r="P60" s="38"/>
    </row>
    <row r="61" spans="1:16">
      <c r="A61" s="29" t="s">
        <v>198</v>
      </c>
      <c r="B61" s="29">
        <v>71447</v>
      </c>
      <c r="C61" s="29">
        <v>60365</v>
      </c>
      <c r="D61" s="29">
        <v>89064</v>
      </c>
      <c r="E61" s="29">
        <v>62167</v>
      </c>
      <c r="F61" s="29">
        <v>72573</v>
      </c>
      <c r="G61" s="29">
        <v>71007</v>
      </c>
      <c r="H61" s="29">
        <v>74117</v>
      </c>
      <c r="I61" s="29">
        <v>86697</v>
      </c>
      <c r="J61" s="29">
        <v>88321</v>
      </c>
      <c r="K61" s="29">
        <v>68280</v>
      </c>
      <c r="L61" s="29">
        <v>78856</v>
      </c>
      <c r="M61" s="29">
        <v>93766</v>
      </c>
      <c r="N61" s="29">
        <f t="shared" si="8"/>
        <v>916660</v>
      </c>
      <c r="P61" s="38"/>
    </row>
    <row r="62" spans="1:16">
      <c r="A62" s="29" t="s">
        <v>199</v>
      </c>
      <c r="B62" s="29">
        <v>19700</v>
      </c>
      <c r="C62" s="29">
        <v>7840</v>
      </c>
      <c r="D62" s="29">
        <v>24812</v>
      </c>
      <c r="E62" s="29">
        <v>29761</v>
      </c>
      <c r="F62" s="29">
        <v>38348</v>
      </c>
      <c r="G62" s="29">
        <v>39764</v>
      </c>
      <c r="H62" s="29">
        <v>40121</v>
      </c>
      <c r="I62" s="29">
        <v>43042</v>
      </c>
      <c r="J62" s="29">
        <v>54857</v>
      </c>
      <c r="K62" s="29">
        <v>66868</v>
      </c>
      <c r="L62" s="29">
        <v>72323</v>
      </c>
      <c r="M62" s="29">
        <v>97100</v>
      </c>
      <c r="N62" s="29">
        <f t="shared" si="8"/>
        <v>534536</v>
      </c>
      <c r="P62" s="38"/>
    </row>
    <row r="63" spans="1:16">
      <c r="A63" s="29" t="s">
        <v>200</v>
      </c>
      <c r="B63" s="29">
        <v>24988</v>
      </c>
      <c r="C63" s="29">
        <v>12253</v>
      </c>
      <c r="D63" s="29">
        <v>21813</v>
      </c>
      <c r="E63" s="29">
        <v>22376</v>
      </c>
      <c r="F63" s="29">
        <v>24549</v>
      </c>
      <c r="G63" s="29">
        <v>26034</v>
      </c>
      <c r="H63" s="29">
        <v>24059</v>
      </c>
      <c r="I63" s="29">
        <v>24769</v>
      </c>
      <c r="J63" s="29">
        <v>30068</v>
      </c>
      <c r="K63" s="29">
        <v>31972</v>
      </c>
      <c r="L63" s="29">
        <v>35885</v>
      </c>
      <c r="M63" s="29">
        <v>42082</v>
      </c>
      <c r="N63" s="29">
        <f t="shared" si="8"/>
        <v>320848</v>
      </c>
      <c r="P63" s="38"/>
    </row>
    <row r="64" spans="1:16">
      <c r="A64" s="29" t="s">
        <v>211</v>
      </c>
      <c r="B64" s="29">
        <v>46080</v>
      </c>
      <c r="C64" s="29">
        <v>23226</v>
      </c>
      <c r="D64" s="29">
        <v>52900</v>
      </c>
      <c r="E64" s="29">
        <v>51682</v>
      </c>
      <c r="F64" s="29">
        <v>55800</v>
      </c>
      <c r="G64" s="29">
        <v>53827</v>
      </c>
      <c r="H64" s="29">
        <v>42714</v>
      </c>
      <c r="I64" s="29">
        <v>49000</v>
      </c>
      <c r="J64" s="29">
        <v>47040</v>
      </c>
      <c r="K64" s="29">
        <v>85272</v>
      </c>
      <c r="L64" s="29">
        <v>98494</v>
      </c>
      <c r="M64" s="29">
        <v>88212</v>
      </c>
      <c r="N64" s="29">
        <f t="shared" si="8"/>
        <v>694247</v>
      </c>
      <c r="P64" s="38"/>
    </row>
    <row r="65" spans="1:16">
      <c r="A65" s="29" t="s">
        <v>212</v>
      </c>
      <c r="B65" s="29">
        <v>41066</v>
      </c>
      <c r="C65" s="29">
        <v>32777</v>
      </c>
      <c r="D65" s="29">
        <v>34398</v>
      </c>
      <c r="E65" s="29">
        <v>35124</v>
      </c>
      <c r="F65" s="29">
        <v>33872</v>
      </c>
      <c r="G65" s="29">
        <v>42244</v>
      </c>
      <c r="H65" s="29">
        <v>29791</v>
      </c>
      <c r="I65" s="29">
        <v>41514</v>
      </c>
      <c r="J65" s="29">
        <v>76052</v>
      </c>
      <c r="K65" s="29">
        <v>96172</v>
      </c>
      <c r="L65" s="29">
        <v>113998</v>
      </c>
      <c r="M65" s="29">
        <v>102570</v>
      </c>
      <c r="N65" s="29">
        <f t="shared" si="8"/>
        <v>679578</v>
      </c>
      <c r="P65" s="38"/>
    </row>
    <row r="66" spans="1:16">
      <c r="A66" s="29" t="s">
        <v>203</v>
      </c>
      <c r="B66" s="29">
        <f t="shared" ref="B66:M66" si="9">SUM(B51:B65)</f>
        <v>622696</v>
      </c>
      <c r="C66" s="29">
        <f t="shared" si="9"/>
        <v>388968</v>
      </c>
      <c r="D66" s="29">
        <f t="shared" si="9"/>
        <v>722980</v>
      </c>
      <c r="E66" s="29">
        <f t="shared" si="9"/>
        <v>701978</v>
      </c>
      <c r="F66" s="29">
        <f t="shared" si="9"/>
        <v>790767</v>
      </c>
      <c r="G66" s="29">
        <f t="shared" si="9"/>
        <v>831345</v>
      </c>
      <c r="H66" s="29">
        <f t="shared" si="9"/>
        <v>809012</v>
      </c>
      <c r="I66" s="29">
        <f t="shared" si="9"/>
        <v>892405</v>
      </c>
      <c r="J66" s="29">
        <f t="shared" si="9"/>
        <v>1034970</v>
      </c>
      <c r="K66" s="29">
        <f t="shared" si="9"/>
        <v>1191188</v>
      </c>
      <c r="L66" s="29">
        <f t="shared" si="9"/>
        <v>1260093</v>
      </c>
      <c r="M66" s="29">
        <f t="shared" si="9"/>
        <v>1306216</v>
      </c>
      <c r="N66" s="29">
        <f t="shared" si="8"/>
        <v>10552618</v>
      </c>
    </row>
    <row r="67" spans="1:16">
      <c r="A67" s="27" t="s">
        <v>204</v>
      </c>
      <c r="B67" s="27">
        <v>682000</v>
      </c>
      <c r="C67" s="27">
        <v>447000</v>
      </c>
      <c r="D67" s="41">
        <v>810000</v>
      </c>
      <c r="E67" s="41">
        <v>785000</v>
      </c>
      <c r="F67" s="41">
        <v>897000</v>
      </c>
      <c r="G67" s="41">
        <v>933000</v>
      </c>
      <c r="H67" s="41">
        <v>945000</v>
      </c>
      <c r="I67" s="41">
        <v>1050000</v>
      </c>
      <c r="J67" s="41">
        <v>1231000</v>
      </c>
      <c r="K67" s="41">
        <v>1369000</v>
      </c>
      <c r="L67" s="41">
        <v>1438000</v>
      </c>
      <c r="M67" s="41">
        <v>1512000</v>
      </c>
      <c r="N67" s="41">
        <f t="shared" si="8"/>
        <v>12099000</v>
      </c>
    </row>
    <row r="68" spans="1:16">
      <c r="A68" s="29" t="s">
        <v>205</v>
      </c>
      <c r="B68" s="34">
        <f t="shared" ref="B68:N68" si="10">B66/B67</f>
        <v>0.913043988269795</v>
      </c>
      <c r="C68" s="34">
        <f t="shared" si="10"/>
        <v>0.870174496644295</v>
      </c>
      <c r="D68" s="34">
        <f t="shared" si="10"/>
        <v>0.892567901234568</v>
      </c>
      <c r="E68" s="34">
        <f t="shared" si="10"/>
        <v>0.89423949044586</v>
      </c>
      <c r="F68" s="34">
        <f t="shared" si="10"/>
        <v>0.88156856187291</v>
      </c>
      <c r="G68" s="34">
        <f t="shared" si="10"/>
        <v>0.89104501607717</v>
      </c>
      <c r="H68" s="34">
        <f t="shared" si="10"/>
        <v>0.856097354497354</v>
      </c>
      <c r="I68" s="34">
        <f t="shared" si="10"/>
        <v>0.849909523809524</v>
      </c>
      <c r="J68" s="34">
        <f t="shared" si="10"/>
        <v>0.840755483346872</v>
      </c>
      <c r="K68" s="34">
        <f t="shared" si="10"/>
        <v>0.870115412710007</v>
      </c>
      <c r="L68" s="34">
        <f t="shared" si="10"/>
        <v>0.876281641168289</v>
      </c>
      <c r="M68" s="34">
        <f t="shared" si="10"/>
        <v>0.863899470899471</v>
      </c>
      <c r="N68" s="34">
        <f t="shared" si="10"/>
        <v>0.872189271840648</v>
      </c>
      <c r="O68" s="34"/>
    </row>
    <row r="69" spans="1:16">
      <c r="A69" s="29" t="s">
        <v>206</v>
      </c>
      <c r="B69" s="27">
        <v>2089000</v>
      </c>
      <c r="C69" s="27">
        <v>1303000</v>
      </c>
      <c r="D69" s="41">
        <v>2195000</v>
      </c>
      <c r="E69" s="41">
        <v>1955000</v>
      </c>
      <c r="F69" s="27">
        <v>2029000</v>
      </c>
      <c r="G69" s="27">
        <v>2169000</v>
      </c>
      <c r="H69" s="27">
        <v>1966000</v>
      </c>
      <c r="I69" s="27">
        <v>2156000</v>
      </c>
      <c r="J69" s="27">
        <v>2504000</v>
      </c>
      <c r="K69" s="27">
        <v>2732000</v>
      </c>
      <c r="L69" s="27">
        <v>2940000</v>
      </c>
      <c r="M69" s="27">
        <v>30730000</v>
      </c>
      <c r="N69" s="41">
        <f>SUM(B69:M69)</f>
        <v>54768000</v>
      </c>
      <c r="O69" s="27"/>
    </row>
    <row r="70" spans="1:16">
      <c r="A70" s="29" t="s">
        <v>207</v>
      </c>
      <c r="B70" s="34">
        <f t="shared" ref="B70:N70" si="11">B67/B69</f>
        <v>0.326471996170416</v>
      </c>
      <c r="C70" s="34">
        <f t="shared" si="11"/>
        <v>0.343054489639294</v>
      </c>
      <c r="D70" s="34">
        <f t="shared" si="11"/>
        <v>0.369020501138952</v>
      </c>
      <c r="E70" s="34">
        <f t="shared" si="11"/>
        <v>0.40153452685422</v>
      </c>
      <c r="F70" s="34">
        <f t="shared" si="11"/>
        <v>0.44208969935929</v>
      </c>
      <c r="G70" s="34">
        <f t="shared" si="11"/>
        <v>0.43015214384509</v>
      </c>
      <c r="H70" s="34">
        <f t="shared" si="11"/>
        <v>0.480671414038657</v>
      </c>
      <c r="I70" s="34">
        <f t="shared" si="11"/>
        <v>0.487012987012987</v>
      </c>
      <c r="J70" s="34">
        <f t="shared" si="11"/>
        <v>0.491613418530351</v>
      </c>
      <c r="K70" s="34">
        <f t="shared" si="11"/>
        <v>0.501098096632504</v>
      </c>
      <c r="L70" s="34">
        <f t="shared" si="11"/>
        <v>0.489115646258503</v>
      </c>
      <c r="M70" s="34">
        <f t="shared" si="11"/>
        <v>0.0492027334851936</v>
      </c>
      <c r="N70" s="34">
        <f t="shared" si="11"/>
        <v>0.220913672217353</v>
      </c>
      <c r="O70" s="34"/>
    </row>
    <row r="71" spans="1:16">
      <c r="A71" s="26" t="s">
        <v>208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</row>
    <row r="72" spans="1:16">
      <c r="A72" s="26" t="s">
        <v>209</v>
      </c>
      <c r="B72" s="37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</row>
    <row r="73" spans="1:16">
      <c r="A73" s="26"/>
      <c r="B73" s="37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</row>
    <row r="74" spans="1:16">
      <c r="A74" s="27" t="s">
        <v>210</v>
      </c>
      <c r="B74" s="28">
        <v>45658</v>
      </c>
      <c r="C74" s="28">
        <v>45689</v>
      </c>
      <c r="D74" s="28">
        <v>45717</v>
      </c>
      <c r="E74" s="28">
        <v>45748</v>
      </c>
      <c r="F74" s="28">
        <v>45778</v>
      </c>
      <c r="G74" s="28">
        <v>45809</v>
      </c>
      <c r="H74" s="28">
        <v>45839</v>
      </c>
      <c r="I74" s="28">
        <v>45870</v>
      </c>
      <c r="J74" s="28">
        <v>45901</v>
      </c>
      <c r="K74" s="28">
        <v>45931</v>
      </c>
      <c r="L74" s="28">
        <v>45962</v>
      </c>
      <c r="M74" s="28">
        <v>45992</v>
      </c>
      <c r="N74" s="27" t="s">
        <v>63</v>
      </c>
    </row>
    <row r="75" spans="1:16">
      <c r="A75" s="29" t="s">
        <v>188</v>
      </c>
      <c r="B75" s="29">
        <v>296446</v>
      </c>
      <c r="C75" s="29">
        <v>318223</v>
      </c>
      <c r="D75" s="25">
        <v>371419</v>
      </c>
      <c r="E75" s="29">
        <v>372615</v>
      </c>
      <c r="F75" s="29"/>
      <c r="G75" s="29"/>
      <c r="H75" s="29"/>
      <c r="I75" s="29"/>
      <c r="J75" s="29"/>
      <c r="K75" s="29"/>
      <c r="L75" s="29"/>
      <c r="M75" s="29"/>
      <c r="N75" s="29">
        <f t="shared" ref="N75:N91" si="12">SUM(B75:M75)</f>
        <v>1358703</v>
      </c>
      <c r="P75" s="38"/>
    </row>
    <row r="76" spans="1:16">
      <c r="A76" s="29" t="s">
        <v>189</v>
      </c>
      <c r="B76" s="29">
        <v>14393</v>
      </c>
      <c r="C76" s="29">
        <v>20863</v>
      </c>
      <c r="D76" s="25">
        <v>34082</v>
      </c>
      <c r="E76" s="29">
        <v>28301</v>
      </c>
      <c r="F76" s="29"/>
      <c r="G76" s="29"/>
      <c r="H76" s="29"/>
      <c r="I76" s="39"/>
      <c r="J76" s="29"/>
      <c r="K76" s="29"/>
      <c r="L76" s="29"/>
      <c r="M76" s="29"/>
      <c r="N76" s="29">
        <f t="shared" si="12"/>
        <v>97639</v>
      </c>
      <c r="P76" s="38"/>
    </row>
    <row r="77" spans="1:16">
      <c r="A77" s="29" t="s">
        <v>213</v>
      </c>
      <c r="B77" s="29">
        <v>121071</v>
      </c>
      <c r="C77" s="29">
        <v>98433</v>
      </c>
      <c r="D77" s="25">
        <v>119696</v>
      </c>
      <c r="E77" s="29">
        <v>125563</v>
      </c>
      <c r="F77" s="29"/>
      <c r="G77" s="29"/>
      <c r="H77" s="29"/>
      <c r="I77" s="39"/>
      <c r="J77" s="29"/>
      <c r="K77" s="29"/>
      <c r="L77" s="29"/>
      <c r="M77" s="29"/>
      <c r="N77" s="29">
        <f t="shared" si="12"/>
        <v>464763</v>
      </c>
      <c r="P77" s="38"/>
    </row>
    <row r="78" spans="1:16">
      <c r="A78" s="29" t="s">
        <v>191</v>
      </c>
      <c r="B78" s="29">
        <v>30350</v>
      </c>
      <c r="C78" s="29">
        <v>30453</v>
      </c>
      <c r="D78" s="25">
        <v>33205</v>
      </c>
      <c r="E78" s="29">
        <v>35045</v>
      </c>
      <c r="F78" s="29"/>
      <c r="G78" s="29"/>
      <c r="H78" s="29"/>
      <c r="I78" s="40"/>
      <c r="J78" s="29"/>
      <c r="K78" s="29"/>
      <c r="L78" s="29"/>
      <c r="M78" s="29"/>
      <c r="N78" s="29">
        <f t="shared" si="12"/>
        <v>129053</v>
      </c>
      <c r="P78" s="38"/>
    </row>
    <row r="79" spans="1:16">
      <c r="A79" s="29" t="s">
        <v>192</v>
      </c>
      <c r="B79" s="29">
        <v>13863</v>
      </c>
      <c r="C79" s="29">
        <v>13192</v>
      </c>
      <c r="D79" s="25">
        <v>15037</v>
      </c>
      <c r="E79" s="29">
        <v>23900</v>
      </c>
      <c r="F79" s="29"/>
      <c r="G79" s="29"/>
      <c r="H79" s="29"/>
      <c r="I79" s="40"/>
      <c r="J79" s="29"/>
      <c r="K79" s="29"/>
      <c r="L79" s="29"/>
      <c r="M79" s="29"/>
      <c r="N79" s="29">
        <f t="shared" si="12"/>
        <v>65992</v>
      </c>
      <c r="P79" s="38"/>
    </row>
    <row r="80" spans="1:16">
      <c r="A80" s="29" t="s">
        <v>193</v>
      </c>
      <c r="B80" s="29">
        <v>29927</v>
      </c>
      <c r="C80" s="29">
        <v>26263</v>
      </c>
      <c r="D80" s="25">
        <v>36674</v>
      </c>
      <c r="E80" s="29">
        <v>33939</v>
      </c>
      <c r="F80" s="29"/>
      <c r="G80" s="29"/>
      <c r="H80" s="29"/>
      <c r="I80" s="40"/>
      <c r="J80" s="29"/>
      <c r="K80" s="29"/>
      <c r="L80" s="29"/>
      <c r="M80" s="29"/>
      <c r="N80" s="29">
        <f t="shared" si="12"/>
        <v>126803</v>
      </c>
      <c r="P80" s="38"/>
    </row>
    <row r="81" spans="1:16">
      <c r="A81" s="29" t="s">
        <v>214</v>
      </c>
      <c r="B81" s="29" t="s">
        <v>215</v>
      </c>
      <c r="C81" s="29" t="s">
        <v>215</v>
      </c>
      <c r="D81" s="29">
        <v>29244</v>
      </c>
      <c r="E81" s="29">
        <v>28585</v>
      </c>
      <c r="F81" s="29"/>
      <c r="G81" s="29"/>
      <c r="H81" s="29"/>
      <c r="I81" s="40"/>
      <c r="J81" s="29"/>
      <c r="K81" s="42"/>
      <c r="L81" s="29"/>
      <c r="M81" s="29"/>
      <c r="N81" s="29">
        <f t="shared" si="12"/>
        <v>57829</v>
      </c>
      <c r="P81" s="38"/>
    </row>
    <row r="82" spans="1:16">
      <c r="A82" s="29" t="s">
        <v>195</v>
      </c>
      <c r="B82" s="29">
        <v>25170</v>
      </c>
      <c r="C82" s="29">
        <v>25287</v>
      </c>
      <c r="D82" s="25">
        <v>37095</v>
      </c>
      <c r="E82" s="29">
        <v>41039</v>
      </c>
      <c r="F82" s="29"/>
      <c r="G82" s="29"/>
      <c r="H82" s="29"/>
      <c r="I82" s="40"/>
      <c r="J82" s="29"/>
      <c r="K82" s="29"/>
      <c r="L82" s="29"/>
      <c r="M82" s="29"/>
      <c r="N82" s="29">
        <f t="shared" si="12"/>
        <v>128591</v>
      </c>
      <c r="P82" s="38"/>
    </row>
    <row r="83" spans="1:16">
      <c r="A83" s="29" t="s">
        <v>196</v>
      </c>
      <c r="B83" s="29">
        <v>17906</v>
      </c>
      <c r="C83" s="29">
        <v>15023</v>
      </c>
      <c r="D83" s="25">
        <v>13849</v>
      </c>
      <c r="E83" s="29">
        <v>27048</v>
      </c>
      <c r="F83" s="29"/>
      <c r="G83" s="29"/>
      <c r="H83" s="29"/>
      <c r="I83" s="39"/>
      <c r="J83" s="29"/>
      <c r="K83" s="29"/>
      <c r="L83" s="29"/>
      <c r="M83" s="29"/>
      <c r="N83" s="29">
        <f t="shared" si="12"/>
        <v>73826</v>
      </c>
      <c r="P83" s="38"/>
    </row>
    <row r="84" spans="1:16">
      <c r="A84" s="29" t="s">
        <v>216</v>
      </c>
      <c r="B84" s="29">
        <v>18138</v>
      </c>
      <c r="C84" s="29">
        <v>19600</v>
      </c>
      <c r="D84" s="29">
        <v>26325</v>
      </c>
      <c r="E84" s="29">
        <v>32084</v>
      </c>
      <c r="F84" s="29"/>
      <c r="G84" s="29"/>
      <c r="H84" s="29"/>
      <c r="I84" s="29"/>
      <c r="J84" s="29"/>
      <c r="K84" s="29"/>
      <c r="L84" s="29"/>
      <c r="M84" s="29"/>
      <c r="N84" s="29">
        <f t="shared" si="12"/>
        <v>96147</v>
      </c>
      <c r="P84" s="38"/>
    </row>
    <row r="85" spans="1:16">
      <c r="A85" s="29" t="s">
        <v>198</v>
      </c>
      <c r="B85" s="29">
        <v>63238</v>
      </c>
      <c r="C85" s="29">
        <v>30688</v>
      </c>
      <c r="D85" s="25">
        <v>78828</v>
      </c>
      <c r="E85" s="29">
        <v>58459</v>
      </c>
      <c r="F85" s="29"/>
      <c r="G85" s="29"/>
      <c r="H85" s="29"/>
      <c r="I85" s="29"/>
      <c r="J85" s="29"/>
      <c r="K85" s="29"/>
      <c r="L85" s="29"/>
      <c r="M85" s="29"/>
      <c r="N85" s="29">
        <f t="shared" si="12"/>
        <v>231213</v>
      </c>
      <c r="P85" s="38"/>
    </row>
    <row r="86" spans="1:16">
      <c r="A86" s="29" t="s">
        <v>199</v>
      </c>
      <c r="B86" s="29">
        <v>54960</v>
      </c>
      <c r="C86" s="29">
        <v>44375</v>
      </c>
      <c r="D86" s="25">
        <v>56450</v>
      </c>
      <c r="E86" s="29">
        <v>55213</v>
      </c>
      <c r="F86" s="29"/>
      <c r="G86" s="29"/>
      <c r="H86" s="29"/>
      <c r="I86" s="29"/>
      <c r="J86" s="29"/>
      <c r="K86" s="29"/>
      <c r="L86" s="29"/>
      <c r="M86" s="29"/>
      <c r="N86" s="29">
        <f t="shared" si="12"/>
        <v>210998</v>
      </c>
      <c r="P86" s="38"/>
    </row>
    <row r="87" spans="1:16">
      <c r="A87" s="29" t="s">
        <v>200</v>
      </c>
      <c r="B87" s="29">
        <v>22253</v>
      </c>
      <c r="C87" s="29">
        <v>15121</v>
      </c>
      <c r="D87" s="25">
        <v>78000</v>
      </c>
      <c r="E87" s="29">
        <v>28809</v>
      </c>
      <c r="F87" s="29"/>
      <c r="G87" s="29"/>
      <c r="H87" s="29"/>
      <c r="I87" s="29"/>
      <c r="J87" s="29"/>
      <c r="K87" s="29"/>
      <c r="L87" s="29"/>
      <c r="M87" s="29"/>
      <c r="N87" s="29">
        <f t="shared" si="12"/>
        <v>144183</v>
      </c>
      <c r="P87" s="38"/>
    </row>
    <row r="88" spans="1:16">
      <c r="A88" s="29" t="s">
        <v>211</v>
      </c>
      <c r="B88" s="29">
        <v>65856</v>
      </c>
      <c r="C88" s="29">
        <v>38046</v>
      </c>
      <c r="D88" s="25">
        <v>25168</v>
      </c>
      <c r="E88" s="29">
        <v>56144</v>
      </c>
      <c r="F88" s="29"/>
      <c r="G88" s="29"/>
      <c r="H88" s="29"/>
      <c r="I88" s="29"/>
      <c r="J88" s="29"/>
      <c r="K88" s="29"/>
      <c r="L88" s="29"/>
      <c r="M88" s="29"/>
      <c r="N88" s="29">
        <f t="shared" si="12"/>
        <v>185214</v>
      </c>
      <c r="P88" s="38"/>
    </row>
    <row r="89" spans="1:16">
      <c r="A89" s="29" t="s">
        <v>212</v>
      </c>
      <c r="B89" s="29">
        <v>37710</v>
      </c>
      <c r="C89" s="29">
        <v>57156</v>
      </c>
      <c r="D89" s="25">
        <v>74108</v>
      </c>
      <c r="E89" s="29">
        <v>77878</v>
      </c>
      <c r="F89" s="29"/>
      <c r="G89" s="29"/>
      <c r="H89" s="29"/>
      <c r="I89" s="29"/>
      <c r="J89" s="29"/>
      <c r="K89" s="29"/>
      <c r="L89" s="29"/>
      <c r="M89" s="29"/>
      <c r="N89" s="29">
        <f t="shared" si="12"/>
        <v>246852</v>
      </c>
      <c r="P89" s="38"/>
    </row>
    <row r="90" spans="1:16">
      <c r="A90" s="29" t="s">
        <v>203</v>
      </c>
      <c r="B90" s="29">
        <f>SUM(B75:B89)</f>
        <v>811281</v>
      </c>
      <c r="C90" s="29">
        <f>SUM(C75:C89)</f>
        <v>752723</v>
      </c>
      <c r="D90" s="29">
        <f>SUM(D75:D89)</f>
        <v>1029180</v>
      </c>
      <c r="E90" s="29">
        <f>SUM(E75:E89)</f>
        <v>1024622</v>
      </c>
      <c r="F90" s="29"/>
      <c r="G90" s="29"/>
      <c r="H90" s="29"/>
      <c r="I90" s="29"/>
      <c r="J90" s="29"/>
      <c r="K90" s="29"/>
      <c r="L90" s="29"/>
      <c r="M90" s="29"/>
      <c r="N90" s="29">
        <f t="shared" si="12"/>
        <v>3617806</v>
      </c>
    </row>
    <row r="91" spans="1:16">
      <c r="A91" s="27" t="s">
        <v>204</v>
      </c>
      <c r="B91" s="27">
        <v>889000</v>
      </c>
      <c r="C91" s="27">
        <v>830000</v>
      </c>
      <c r="D91" s="27">
        <v>1128000</v>
      </c>
      <c r="E91" s="41">
        <v>1133000</v>
      </c>
      <c r="F91" s="41"/>
      <c r="G91" s="41"/>
      <c r="H91" s="41"/>
      <c r="I91" s="41"/>
      <c r="J91" s="41"/>
      <c r="K91" s="41"/>
      <c r="L91" s="41"/>
      <c r="M91" s="41"/>
      <c r="N91" s="41">
        <f t="shared" si="12"/>
        <v>3980000</v>
      </c>
    </row>
    <row r="92" spans="1:16">
      <c r="A92" s="29" t="s">
        <v>205</v>
      </c>
      <c r="B92" s="34">
        <f>B90/B91</f>
        <v>0.912577052868391</v>
      </c>
      <c r="C92" s="34">
        <f>C90/C91</f>
        <v>0.906895180722892</v>
      </c>
      <c r="D92" s="34">
        <f>D90/D91</f>
        <v>0.912393617021277</v>
      </c>
      <c r="E92" s="34">
        <f>E90/E91</f>
        <v>0.904344218887908</v>
      </c>
      <c r="F92" s="43"/>
      <c r="G92" s="44"/>
      <c r="H92" s="44"/>
      <c r="I92" s="34"/>
      <c r="J92" s="34"/>
      <c r="K92" s="34"/>
      <c r="L92" s="34"/>
      <c r="M92" s="34"/>
      <c r="N92" s="34">
        <f>N90/N91</f>
        <v>0.90899648241206</v>
      </c>
      <c r="O92" s="34"/>
    </row>
    <row r="93" spans="1:16">
      <c r="A93" s="29" t="s">
        <v>206</v>
      </c>
      <c r="B93" s="27">
        <v>2103000</v>
      </c>
      <c r="C93" s="27">
        <v>1767000</v>
      </c>
      <c r="D93" s="27">
        <v>2413000</v>
      </c>
      <c r="E93" s="41">
        <v>2190000</v>
      </c>
      <c r="F93" s="27"/>
      <c r="G93" s="27"/>
      <c r="H93" s="27"/>
      <c r="I93" s="27"/>
      <c r="J93" s="27"/>
      <c r="K93" s="27"/>
      <c r="L93" s="27"/>
      <c r="M93" s="27"/>
      <c r="N93" s="41">
        <f>SUM(B93:M93)</f>
        <v>8473000</v>
      </c>
      <c r="O93" s="27"/>
    </row>
    <row r="94" spans="1:16">
      <c r="A94" s="29" t="s">
        <v>207</v>
      </c>
      <c r="B94" s="34">
        <f>B91/B93</f>
        <v>0.422729434141702</v>
      </c>
      <c r="C94" s="34">
        <f>C91/C93</f>
        <v>0.469722693831353</v>
      </c>
      <c r="D94" s="34">
        <f>D91/D93</f>
        <v>0.467467882304186</v>
      </c>
      <c r="E94" s="34">
        <f>E91/E93</f>
        <v>0.517351598173516</v>
      </c>
      <c r="F94" s="43"/>
      <c r="G94" s="43"/>
      <c r="H94" s="44"/>
      <c r="I94" s="14"/>
      <c r="J94" s="34"/>
      <c r="K94" s="34"/>
      <c r="L94" s="34"/>
      <c r="M94" s="34"/>
      <c r="N94" s="34">
        <f>N91/N93</f>
        <v>0.469727369290688</v>
      </c>
      <c r="O94" s="34"/>
    </row>
    <row r="95" spans="1:16">
      <c r="A95" s="26" t="s">
        <v>208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</row>
    <row r="96" spans="1:16">
      <c r="A96" s="26" t="s">
        <v>209</v>
      </c>
      <c r="B96" s="37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</row>
    <row r="97" spans="1:14">
      <c r="A97" s="45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</row>
    <row r="98" spans="1:14">
      <c r="A98" s="46" t="s">
        <v>217</v>
      </c>
    </row>
    <row r="99" spans="1:14">
      <c r="A99" s="47" t="s">
        <v>188</v>
      </c>
      <c r="B99" s="47" t="s">
        <v>51</v>
      </c>
      <c r="C99" s="47" t="s">
        <v>52</v>
      </c>
      <c r="D99" s="47" t="s">
        <v>53</v>
      </c>
      <c r="E99" s="47" t="s">
        <v>54</v>
      </c>
      <c r="F99" s="47" t="s">
        <v>55</v>
      </c>
      <c r="G99" s="47" t="s">
        <v>56</v>
      </c>
      <c r="H99" s="47" t="s">
        <v>57</v>
      </c>
      <c r="I99" s="47" t="s">
        <v>58</v>
      </c>
      <c r="J99" s="47" t="s">
        <v>59</v>
      </c>
      <c r="K99" s="47" t="s">
        <v>60</v>
      </c>
      <c r="L99" s="47" t="s">
        <v>61</v>
      </c>
      <c r="M99" s="47" t="s">
        <v>62</v>
      </c>
      <c r="N99" s="47" t="s">
        <v>63</v>
      </c>
    </row>
    <row r="100" spans="1:14">
      <c r="A100" s="48" t="s">
        <v>37</v>
      </c>
      <c r="B100" s="49">
        <v>7330</v>
      </c>
      <c r="C100" s="49">
        <v>8357</v>
      </c>
      <c r="D100" s="49">
        <v>13950</v>
      </c>
      <c r="E100" s="49">
        <v>13918</v>
      </c>
      <c r="F100" s="49">
        <v>14241</v>
      </c>
      <c r="G100" s="49">
        <v>17088</v>
      </c>
      <c r="H100" s="49">
        <v>18793</v>
      </c>
      <c r="I100" s="49">
        <v>21838</v>
      </c>
      <c r="J100" s="49">
        <v>27903</v>
      </c>
      <c r="K100" s="49">
        <v>27667</v>
      </c>
      <c r="L100" s="49">
        <v>30076</v>
      </c>
      <c r="M100" s="49">
        <v>46650</v>
      </c>
      <c r="N100" s="49">
        <f t="shared" ref="N100:N109" si="13">SUM(B100:M100)</f>
        <v>247811</v>
      </c>
    </row>
    <row r="101" spans="1:14">
      <c r="A101" s="50" t="s">
        <v>218</v>
      </c>
      <c r="B101" s="49">
        <v>35008</v>
      </c>
      <c r="C101" s="49">
        <v>17916</v>
      </c>
      <c r="D101" s="49">
        <v>29216</v>
      </c>
      <c r="E101" s="49">
        <v>23445</v>
      </c>
      <c r="F101" s="49">
        <v>23539</v>
      </c>
      <c r="G101" s="49">
        <v>20489</v>
      </c>
      <c r="H101" s="49">
        <v>18522</v>
      </c>
      <c r="I101" s="49">
        <v>20008</v>
      </c>
      <c r="J101" s="49">
        <v>20010</v>
      </c>
      <c r="K101" s="49">
        <v>20830</v>
      </c>
      <c r="L101" s="49">
        <v>20906</v>
      </c>
      <c r="M101" s="49">
        <v>22987</v>
      </c>
      <c r="N101" s="49">
        <f t="shared" si="13"/>
        <v>272876</v>
      </c>
    </row>
    <row r="102" spans="1:14">
      <c r="A102" s="48" t="s">
        <v>38</v>
      </c>
      <c r="B102" s="49">
        <v>28668</v>
      </c>
      <c r="C102" s="49">
        <v>14429</v>
      </c>
      <c r="D102" s="49">
        <v>30075</v>
      </c>
      <c r="E102" s="49">
        <v>24011</v>
      </c>
      <c r="F102" s="49">
        <v>21899</v>
      </c>
      <c r="G102" s="49">
        <v>26571</v>
      </c>
      <c r="H102" s="49">
        <v>16567</v>
      </c>
      <c r="I102" s="49">
        <v>16719</v>
      </c>
      <c r="J102" s="49">
        <v>13681</v>
      </c>
      <c r="K102" s="49">
        <v>12567</v>
      </c>
      <c r="L102" s="49">
        <v>11220</v>
      </c>
      <c r="M102" s="49">
        <v>13099</v>
      </c>
      <c r="N102" s="49">
        <f t="shared" si="13"/>
        <v>229506</v>
      </c>
    </row>
    <row r="103" spans="1:14">
      <c r="A103" s="48" t="s">
        <v>39</v>
      </c>
      <c r="B103" s="49">
        <v>7133</v>
      </c>
      <c r="C103" s="49">
        <v>2803</v>
      </c>
      <c r="D103" s="49">
        <v>12256</v>
      </c>
      <c r="E103" s="49">
        <v>12995</v>
      </c>
      <c r="F103" s="49">
        <v>11325</v>
      </c>
      <c r="G103" s="49">
        <v>14165</v>
      </c>
      <c r="H103" s="49">
        <v>15100</v>
      </c>
      <c r="I103" s="49">
        <v>15283</v>
      </c>
      <c r="J103" s="49">
        <v>19881</v>
      </c>
      <c r="K103" s="49">
        <v>23217</v>
      </c>
      <c r="L103" s="49">
        <v>26690</v>
      </c>
      <c r="M103" s="49">
        <v>28841</v>
      </c>
      <c r="N103" s="49">
        <f t="shared" si="13"/>
        <v>189689</v>
      </c>
    </row>
    <row r="104" spans="1:14">
      <c r="A104" s="48" t="s">
        <v>41</v>
      </c>
      <c r="B104" s="49">
        <v>20178</v>
      </c>
      <c r="C104" s="49">
        <v>10355</v>
      </c>
      <c r="D104" s="49">
        <v>24218</v>
      </c>
      <c r="E104" s="49">
        <v>25662</v>
      </c>
      <c r="F104" s="49">
        <v>32800</v>
      </c>
      <c r="G104" s="49">
        <v>41366</v>
      </c>
      <c r="H104" s="49">
        <v>50492</v>
      </c>
      <c r="I104" s="49">
        <v>61409</v>
      </c>
      <c r="J104" s="49">
        <v>71099</v>
      </c>
      <c r="K104" s="49">
        <v>89935</v>
      </c>
      <c r="L104" s="42">
        <v>91219</v>
      </c>
      <c r="M104" s="42">
        <v>93945</v>
      </c>
      <c r="N104" s="49">
        <f t="shared" si="13"/>
        <v>612678</v>
      </c>
    </row>
    <row r="105" spans="1:14">
      <c r="A105" s="51" t="s">
        <v>206</v>
      </c>
      <c r="B105" s="42">
        <v>19871</v>
      </c>
      <c r="C105" s="42">
        <v>10123</v>
      </c>
      <c r="D105" s="42">
        <v>23386</v>
      </c>
      <c r="E105" s="42">
        <v>25034</v>
      </c>
      <c r="F105" s="42">
        <v>31681</v>
      </c>
      <c r="G105" s="42">
        <v>40116</v>
      </c>
      <c r="H105" s="42">
        <v>50057</v>
      </c>
      <c r="I105" s="42">
        <v>60508</v>
      </c>
      <c r="J105" s="42">
        <v>70022</v>
      </c>
      <c r="K105" s="42">
        <v>80003</v>
      </c>
      <c r="L105" s="42">
        <v>90121</v>
      </c>
      <c r="M105" s="42">
        <v>92823</v>
      </c>
      <c r="N105" s="49">
        <f t="shared" si="13"/>
        <v>593745</v>
      </c>
    </row>
    <row r="106" spans="1:14">
      <c r="A106" s="52" t="s">
        <v>219</v>
      </c>
      <c r="B106" s="42">
        <v>14463</v>
      </c>
      <c r="C106" s="42">
        <v>7835</v>
      </c>
      <c r="D106" s="42">
        <v>16301</v>
      </c>
      <c r="E106" s="42">
        <v>16114</v>
      </c>
      <c r="F106" s="42">
        <v>18711</v>
      </c>
      <c r="G106" s="42">
        <v>20016</v>
      </c>
      <c r="H106" s="42">
        <v>24996</v>
      </c>
      <c r="I106" s="42">
        <v>30382</v>
      </c>
      <c r="J106" s="42">
        <v>36306</v>
      </c>
      <c r="K106" s="42">
        <v>41232</v>
      </c>
      <c r="L106" s="42">
        <v>46137</v>
      </c>
      <c r="M106" s="42">
        <v>48317</v>
      </c>
      <c r="N106" s="49">
        <f t="shared" si="13"/>
        <v>320810</v>
      </c>
    </row>
    <row r="107" spans="1:14">
      <c r="A107" s="52" t="s">
        <v>220</v>
      </c>
      <c r="B107" s="42">
        <v>5408</v>
      </c>
      <c r="C107" s="42">
        <v>2288</v>
      </c>
      <c r="D107" s="42">
        <v>7085</v>
      </c>
      <c r="E107" s="42">
        <v>8920</v>
      </c>
      <c r="F107" s="42">
        <v>12970</v>
      </c>
      <c r="G107" s="42">
        <v>20100</v>
      </c>
      <c r="H107" s="42">
        <v>25061</v>
      </c>
      <c r="I107" s="42">
        <v>30126</v>
      </c>
      <c r="J107" s="42">
        <v>33716</v>
      </c>
      <c r="K107" s="42">
        <v>38771</v>
      </c>
      <c r="L107" s="42">
        <v>43984</v>
      </c>
      <c r="M107" s="42">
        <v>44506</v>
      </c>
      <c r="N107" s="49">
        <f t="shared" si="13"/>
        <v>272935</v>
      </c>
    </row>
    <row r="108" spans="1:14">
      <c r="A108" s="50" t="s">
        <v>218</v>
      </c>
      <c r="B108" s="42">
        <v>22223</v>
      </c>
      <c r="C108" s="42">
        <v>10572</v>
      </c>
      <c r="D108" s="42">
        <v>16599</v>
      </c>
      <c r="E108" s="42">
        <v>19572</v>
      </c>
      <c r="F108" s="42">
        <v>13495</v>
      </c>
      <c r="G108" s="42">
        <v>9649</v>
      </c>
      <c r="H108" s="42">
        <v>6918</v>
      </c>
      <c r="I108" s="42">
        <v>7122</v>
      </c>
      <c r="J108" s="42">
        <v>9015</v>
      </c>
      <c r="K108" s="42">
        <v>8895</v>
      </c>
      <c r="L108" s="42">
        <v>7121</v>
      </c>
      <c r="M108" s="42">
        <v>5167</v>
      </c>
      <c r="N108" s="49">
        <f t="shared" si="13"/>
        <v>136348</v>
      </c>
    </row>
    <row r="109" spans="1:14">
      <c r="A109" s="48" t="s">
        <v>43</v>
      </c>
      <c r="B109" s="49">
        <v>93168</v>
      </c>
      <c r="C109" s="49">
        <v>88283</v>
      </c>
      <c r="D109" s="49">
        <v>104878</v>
      </c>
      <c r="E109" s="49">
        <v>106042</v>
      </c>
      <c r="F109" s="49">
        <v>114943</v>
      </c>
      <c r="G109" s="49">
        <v>134036</v>
      </c>
      <c r="H109" s="49">
        <v>162530</v>
      </c>
      <c r="I109" s="49">
        <v>174915</v>
      </c>
      <c r="J109" s="49">
        <v>201259</v>
      </c>
      <c r="K109" s="49">
        <v>217816</v>
      </c>
      <c r="L109" s="49">
        <v>230427</v>
      </c>
      <c r="M109" s="49">
        <v>235197</v>
      </c>
      <c r="N109" s="49">
        <f t="shared" si="13"/>
        <v>1863494</v>
      </c>
    </row>
    <row r="110" spans="1:14">
      <c r="A110" s="49" t="s">
        <v>221</v>
      </c>
      <c r="B110" s="53">
        <f t="shared" ref="B110:N110" si="14">B109/B104-1</f>
        <v>3.61730597680642</v>
      </c>
      <c r="C110" s="53">
        <f t="shared" si="14"/>
        <v>7.52563978754225</v>
      </c>
      <c r="D110" s="53">
        <f t="shared" si="14"/>
        <v>3.33058055991411</v>
      </c>
      <c r="E110" s="53">
        <f t="shared" si="14"/>
        <v>3.13225781310888</v>
      </c>
      <c r="F110" s="53">
        <f t="shared" si="14"/>
        <v>2.50435975609756</v>
      </c>
      <c r="G110" s="53">
        <f t="shared" si="14"/>
        <v>2.24024561233864</v>
      </c>
      <c r="H110" s="53">
        <f t="shared" si="14"/>
        <v>2.21892577041908</v>
      </c>
      <c r="I110" s="53">
        <f t="shared" si="14"/>
        <v>1.84836098943152</v>
      </c>
      <c r="J110" s="53">
        <f t="shared" si="14"/>
        <v>1.83068678884373</v>
      </c>
      <c r="K110" s="53">
        <f t="shared" si="14"/>
        <v>1.42192694723967</v>
      </c>
      <c r="L110" s="53">
        <f t="shared" si="14"/>
        <v>1.52608557427729</v>
      </c>
      <c r="M110" s="53">
        <f t="shared" si="14"/>
        <v>1.50356059396455</v>
      </c>
      <c r="N110" s="53">
        <f t="shared" si="14"/>
        <v>2.04155527046834</v>
      </c>
    </row>
    <row r="111" spans="1:14">
      <c r="A111" s="49" t="s">
        <v>64</v>
      </c>
      <c r="B111" s="53">
        <f>B109/M104-1</f>
        <v>-0.00827079674277498</v>
      </c>
      <c r="C111" s="53">
        <f t="shared" ref="C111:M111" si="15">C109/B109-1</f>
        <v>-0.0524321655504035</v>
      </c>
      <c r="D111" s="53">
        <f t="shared" si="15"/>
        <v>0.187975034831168</v>
      </c>
      <c r="E111" s="53">
        <f t="shared" si="15"/>
        <v>0.0110986098133068</v>
      </c>
      <c r="F111" s="53">
        <f t="shared" si="15"/>
        <v>0.0839384394862412</v>
      </c>
      <c r="G111" s="53">
        <f t="shared" si="15"/>
        <v>0.166108418955482</v>
      </c>
      <c r="H111" s="53">
        <f t="shared" si="15"/>
        <v>0.212584678743024</v>
      </c>
      <c r="I111" s="53">
        <f t="shared" si="15"/>
        <v>0.0762013166799975</v>
      </c>
      <c r="J111" s="53">
        <f t="shared" si="15"/>
        <v>0.150610296429694</v>
      </c>
      <c r="K111" s="53">
        <f t="shared" si="15"/>
        <v>0.0822671284265548</v>
      </c>
      <c r="L111" s="53">
        <f t="shared" si="15"/>
        <v>0.0578974914606825</v>
      </c>
      <c r="M111" s="53">
        <f t="shared" si="15"/>
        <v>0.0207006991368199</v>
      </c>
      <c r="N111" s="53"/>
    </row>
    <row r="112" spans="1:14">
      <c r="A112" s="51" t="s">
        <v>222</v>
      </c>
      <c r="B112" s="42">
        <v>92926</v>
      </c>
      <c r="C112" s="42">
        <v>87473</v>
      </c>
      <c r="D112" s="42">
        <v>104338</v>
      </c>
      <c r="E112" s="42">
        <v>105475</v>
      </c>
      <c r="F112" s="42">
        <v>114183</v>
      </c>
      <c r="G112" s="42">
        <v>133762</v>
      </c>
      <c r="H112" s="42">
        <v>162214</v>
      </c>
      <c r="I112" s="42">
        <v>173977</v>
      </c>
      <c r="J112" s="42">
        <f>J113+J114</f>
        <v>200973</v>
      </c>
      <c r="K112" s="42">
        <v>217518</v>
      </c>
      <c r="L112" s="42">
        <v>229942</v>
      </c>
      <c r="M112" s="42">
        <v>234598</v>
      </c>
      <c r="N112" s="49">
        <f t="shared" ref="N112:N114" si="16">SUM(B112:M112)</f>
        <v>1857379</v>
      </c>
    </row>
    <row r="113" spans="1:15">
      <c r="A113" s="52" t="s">
        <v>219</v>
      </c>
      <c r="B113" s="42">
        <v>43686</v>
      </c>
      <c r="C113" s="42">
        <v>43173</v>
      </c>
      <c r="D113" s="42">
        <v>53664</v>
      </c>
      <c r="E113" s="42">
        <v>57403</v>
      </c>
      <c r="F113" s="42">
        <v>53349</v>
      </c>
      <c r="G113" s="42">
        <v>69544</v>
      </c>
      <c r="H113" s="42">
        <v>80991</v>
      </c>
      <c r="I113" s="42">
        <v>82678</v>
      </c>
      <c r="J113" s="42">
        <v>94941</v>
      </c>
      <c r="K113" s="42">
        <v>103157</v>
      </c>
      <c r="L113" s="42">
        <v>113915</v>
      </c>
      <c r="M113" s="42">
        <v>111939</v>
      </c>
      <c r="N113" s="49">
        <f t="shared" si="16"/>
        <v>908440</v>
      </c>
    </row>
    <row r="114" spans="1:15">
      <c r="A114" s="52" t="s">
        <v>220</v>
      </c>
      <c r="B114" s="42">
        <v>46540</v>
      </c>
      <c r="C114" s="42">
        <v>44300</v>
      </c>
      <c r="D114" s="42">
        <v>50674</v>
      </c>
      <c r="E114" s="42">
        <v>48072</v>
      </c>
      <c r="F114" s="42">
        <v>60834</v>
      </c>
      <c r="G114" s="42">
        <v>64218</v>
      </c>
      <c r="H114" s="42">
        <v>81223</v>
      </c>
      <c r="I114" s="42">
        <v>91299</v>
      </c>
      <c r="J114" s="42">
        <v>106032</v>
      </c>
      <c r="K114" s="42">
        <v>114361</v>
      </c>
      <c r="L114" s="42">
        <v>116027</v>
      </c>
      <c r="M114" s="42">
        <v>122659</v>
      </c>
      <c r="N114" s="49">
        <f t="shared" si="16"/>
        <v>946239</v>
      </c>
    </row>
    <row r="115" spans="1:15">
      <c r="A115" s="50" t="s">
        <v>218</v>
      </c>
      <c r="B115" s="42">
        <v>2254</v>
      </c>
      <c r="C115" s="42">
        <v>2795</v>
      </c>
      <c r="D115" s="42"/>
      <c r="E115" s="42"/>
      <c r="F115" s="42"/>
      <c r="G115" s="42"/>
      <c r="H115" s="42"/>
      <c r="I115" s="42"/>
      <c r="J115" s="42"/>
      <c r="K115" s="42"/>
      <c r="N115" s="49"/>
    </row>
    <row r="116" spans="1:15">
      <c r="A116" s="48" t="s">
        <v>75</v>
      </c>
      <c r="B116" s="49">
        <v>151341</v>
      </c>
      <c r="C116" s="49">
        <v>193655</v>
      </c>
      <c r="D116" s="49">
        <v>207080</v>
      </c>
      <c r="E116" s="49">
        <v>210295</v>
      </c>
      <c r="F116" s="49">
        <v>240220</v>
      </c>
      <c r="G116" s="49">
        <v>253046</v>
      </c>
      <c r="H116" s="49">
        <v>262161</v>
      </c>
      <c r="I116" s="49">
        <v>274386</v>
      </c>
      <c r="J116" s="49">
        <v>287454</v>
      </c>
      <c r="K116" s="29">
        <v>301833</v>
      </c>
      <c r="L116" s="49">
        <v>301903</v>
      </c>
      <c r="M116" s="49">
        <v>341043</v>
      </c>
      <c r="N116" s="49">
        <f t="shared" ref="N116:N122" si="17">SUM(B116:M116)</f>
        <v>3024417</v>
      </c>
    </row>
    <row r="117" spans="1:15">
      <c r="A117" s="49" t="s">
        <v>221</v>
      </c>
      <c r="B117" s="53">
        <f t="shared" ref="B117:F117" si="18">B116/B109-1</f>
        <v>0.624388201957754</v>
      </c>
      <c r="C117" s="53">
        <f t="shared" si="18"/>
        <v>1.19357067612111</v>
      </c>
      <c r="D117" s="53">
        <f t="shared" si="18"/>
        <v>0.974484639295181</v>
      </c>
      <c r="E117" s="53">
        <f t="shared" si="18"/>
        <v>0.983129326116067</v>
      </c>
      <c r="F117" s="53">
        <f t="shared" si="18"/>
        <v>1.08990543138773</v>
      </c>
      <c r="G117" s="53">
        <v>0.9578</v>
      </c>
      <c r="H117" s="53">
        <v>0.613</v>
      </c>
      <c r="I117" s="53">
        <v>0.568</v>
      </c>
      <c r="J117" s="53">
        <v>0.428</v>
      </c>
      <c r="K117" s="53">
        <f t="shared" ref="K117:N117" si="19">K116/K109-1</f>
        <v>0.385724648327028</v>
      </c>
      <c r="L117" s="53">
        <f t="shared" si="19"/>
        <v>0.310189344130679</v>
      </c>
      <c r="M117" s="53">
        <f t="shared" si="19"/>
        <v>0.450031250398602</v>
      </c>
      <c r="N117" s="53">
        <f t="shared" si="19"/>
        <v>0.622981882420872</v>
      </c>
    </row>
    <row r="118" spans="1:15">
      <c r="A118" s="49" t="s">
        <v>64</v>
      </c>
      <c r="B118" s="53">
        <f>B116/M112-1</f>
        <v>-0.354892198569468</v>
      </c>
      <c r="C118" s="53">
        <f t="shared" ref="C118:G118" si="20">C116/B116-1</f>
        <v>0.279593765073576</v>
      </c>
      <c r="D118" s="53">
        <f t="shared" si="20"/>
        <v>0.0693243138571171</v>
      </c>
      <c r="E118" s="53">
        <f t="shared" si="20"/>
        <v>0.0155254008112806</v>
      </c>
      <c r="F118" s="53">
        <f t="shared" si="20"/>
        <v>0.142300102237333</v>
      </c>
      <c r="G118" s="53">
        <f t="shared" si="20"/>
        <v>0.0533927233369411</v>
      </c>
      <c r="H118" s="53">
        <v>0.036</v>
      </c>
      <c r="I118" s="53">
        <v>0.047</v>
      </c>
      <c r="J118" s="53">
        <v>0.047</v>
      </c>
      <c r="K118" s="53">
        <f t="shared" ref="K118:M118" si="21">K116/J116-1</f>
        <v>0.0500219165501263</v>
      </c>
      <c r="L118" s="53">
        <f t="shared" si="21"/>
        <v>0.000231916324590076</v>
      </c>
      <c r="M118" s="53">
        <f t="shared" si="21"/>
        <v>0.129644289722195</v>
      </c>
      <c r="N118" s="53"/>
    </row>
    <row r="119" spans="1:15">
      <c r="A119" s="54" t="s">
        <v>222</v>
      </c>
      <c r="B119" s="55">
        <v>150164</v>
      </c>
      <c r="C119" s="55">
        <v>191664</v>
      </c>
      <c r="D119" s="55">
        <v>206089</v>
      </c>
      <c r="E119" s="55">
        <v>209467</v>
      </c>
      <c r="F119" s="55">
        <v>239092</v>
      </c>
      <c r="G119" s="55">
        <v>251685</v>
      </c>
      <c r="H119" s="55">
        <v>261105</v>
      </c>
      <c r="I119" s="55">
        <v>274086</v>
      </c>
      <c r="J119" s="55">
        <v>286903</v>
      </c>
      <c r="K119" s="55">
        <v>301095</v>
      </c>
      <c r="L119" s="55">
        <v>301378</v>
      </c>
      <c r="M119" s="55">
        <v>340178</v>
      </c>
      <c r="N119" s="49">
        <f t="shared" si="17"/>
        <v>3012906</v>
      </c>
    </row>
    <row r="120" spans="1:15">
      <c r="A120" s="56" t="s">
        <v>219</v>
      </c>
      <c r="B120" s="55">
        <v>71338</v>
      </c>
      <c r="C120" s="55">
        <v>90639</v>
      </c>
      <c r="D120" s="55">
        <v>102670</v>
      </c>
      <c r="E120" s="55">
        <v>104364</v>
      </c>
      <c r="F120" s="55">
        <v>119603</v>
      </c>
      <c r="G120" s="55">
        <v>128196</v>
      </c>
      <c r="H120" s="55">
        <v>134783</v>
      </c>
      <c r="I120" s="55">
        <v>145627</v>
      </c>
      <c r="J120" s="55">
        <v>151193</v>
      </c>
      <c r="K120" s="55">
        <v>165505</v>
      </c>
      <c r="L120" s="55">
        <v>170150</v>
      </c>
      <c r="M120" s="55">
        <v>190800</v>
      </c>
      <c r="N120" s="49">
        <f t="shared" si="17"/>
        <v>1574868</v>
      </c>
    </row>
    <row r="121" spans="1:15">
      <c r="A121" s="56" t="s">
        <v>220</v>
      </c>
      <c r="B121" s="55">
        <v>78826</v>
      </c>
      <c r="C121" s="55">
        <v>101025</v>
      </c>
      <c r="D121" s="55">
        <v>103419</v>
      </c>
      <c r="E121" s="55">
        <v>105103</v>
      </c>
      <c r="F121" s="55">
        <v>119489</v>
      </c>
      <c r="G121" s="55">
        <v>123489</v>
      </c>
      <c r="H121" s="55">
        <v>126322</v>
      </c>
      <c r="I121" s="55">
        <v>128459</v>
      </c>
      <c r="J121" s="55">
        <v>135710</v>
      </c>
      <c r="K121" s="55">
        <v>135590</v>
      </c>
      <c r="L121" s="55">
        <v>131228</v>
      </c>
      <c r="M121" s="55">
        <v>149400</v>
      </c>
      <c r="N121" s="49">
        <f t="shared" si="17"/>
        <v>1438060</v>
      </c>
    </row>
    <row r="122" spans="1:15">
      <c r="A122" s="48" t="s">
        <v>223</v>
      </c>
      <c r="B122" s="49">
        <v>201493</v>
      </c>
      <c r="C122" s="49">
        <v>122311</v>
      </c>
      <c r="D122" s="49">
        <v>302459</v>
      </c>
      <c r="E122" s="49">
        <v>313245</v>
      </c>
      <c r="F122" s="49">
        <v>331817</v>
      </c>
      <c r="G122" s="49">
        <v>341658</v>
      </c>
      <c r="H122" s="49">
        <v>342383</v>
      </c>
      <c r="I122" s="29">
        <v>373083</v>
      </c>
      <c r="J122" s="49">
        <v>419426</v>
      </c>
      <c r="K122" s="29">
        <v>502657</v>
      </c>
      <c r="L122" s="49">
        <v>506804</v>
      </c>
      <c r="M122" s="49">
        <v>514809</v>
      </c>
      <c r="N122" s="49">
        <f t="shared" si="17"/>
        <v>4272145</v>
      </c>
    </row>
    <row r="123" spans="1:15">
      <c r="A123" s="49" t="s">
        <v>221</v>
      </c>
      <c r="B123" s="53">
        <v>0.3314</v>
      </c>
      <c r="C123" s="53">
        <v>0.3314</v>
      </c>
      <c r="D123" s="53">
        <v>0.4606</v>
      </c>
      <c r="E123" s="53">
        <v>0.4896</v>
      </c>
      <c r="F123" s="57">
        <f t="shared" ref="F123:N123" si="22">F122/F116-1</f>
        <v>0.381304637415702</v>
      </c>
      <c r="G123" s="53">
        <f t="shared" si="22"/>
        <v>0.350181389944911</v>
      </c>
      <c r="H123" s="53">
        <f t="shared" si="22"/>
        <v>0.306002799806226</v>
      </c>
      <c r="I123" s="53">
        <f t="shared" si="22"/>
        <v>0.359701296713389</v>
      </c>
      <c r="J123" s="53">
        <f t="shared" si="22"/>
        <v>0.459106500518344</v>
      </c>
      <c r="K123" s="53">
        <f t="shared" si="22"/>
        <v>0.665348056706854</v>
      </c>
      <c r="L123" s="53">
        <f t="shared" si="22"/>
        <v>0.67869812489442</v>
      </c>
      <c r="M123" s="53">
        <f t="shared" si="22"/>
        <v>0.50951346311169</v>
      </c>
      <c r="N123" s="53">
        <f t="shared" si="22"/>
        <v>0.412551576055815</v>
      </c>
    </row>
    <row r="124" spans="1:15">
      <c r="A124" s="49" t="s">
        <v>64</v>
      </c>
      <c r="B124" s="53">
        <f>B122/M116-1</f>
        <v>-0.409185938430051</v>
      </c>
      <c r="C124" s="53">
        <f t="shared" ref="C124:M124" si="23">C122/B122-1</f>
        <v>-0.39297643094301</v>
      </c>
      <c r="D124" s="53">
        <v>1.4729</v>
      </c>
      <c r="E124" s="53">
        <v>0.0357</v>
      </c>
      <c r="F124" s="57">
        <f t="shared" si="23"/>
        <v>0.0592890548931349</v>
      </c>
      <c r="G124" s="53">
        <f t="shared" si="23"/>
        <v>0.0296579138501041</v>
      </c>
      <c r="H124" s="53">
        <f t="shared" si="23"/>
        <v>0.00212200504598159</v>
      </c>
      <c r="I124" s="53">
        <f t="shared" si="23"/>
        <v>0.0896656668117284</v>
      </c>
      <c r="J124" s="53">
        <f t="shared" si="23"/>
        <v>0.124216327197969</v>
      </c>
      <c r="K124" s="53">
        <f t="shared" si="23"/>
        <v>0.198440249293081</v>
      </c>
      <c r="L124" s="53">
        <f t="shared" si="23"/>
        <v>0.00825015865689727</v>
      </c>
      <c r="M124" s="53">
        <f t="shared" si="23"/>
        <v>0.015795060812464</v>
      </c>
      <c r="N124" s="53"/>
    </row>
    <row r="125" spans="1:15">
      <c r="A125" s="54" t="s">
        <v>222</v>
      </c>
      <c r="B125" s="55">
        <v>201019</v>
      </c>
      <c r="C125" s="55">
        <v>121748</v>
      </c>
      <c r="D125" s="55">
        <v>301631</v>
      </c>
      <c r="E125" s="55">
        <v>312048</v>
      </c>
      <c r="F125" s="55">
        <v>330488</v>
      </c>
      <c r="G125" s="55">
        <v>340211</v>
      </c>
      <c r="H125" s="55">
        <v>340799</v>
      </c>
      <c r="I125" s="55">
        <v>370854</v>
      </c>
      <c r="J125" s="55">
        <v>417603</v>
      </c>
      <c r="K125" s="55">
        <v>500526</v>
      </c>
      <c r="L125" s="55">
        <v>504003</v>
      </c>
      <c r="M125" s="55">
        <v>509440</v>
      </c>
      <c r="N125" s="49">
        <f t="shared" ref="N125:N127" si="24">SUM(B125:M125)</f>
        <v>4250370</v>
      </c>
    </row>
    <row r="126" spans="1:15">
      <c r="A126" s="56" t="s">
        <v>219</v>
      </c>
      <c r="B126" s="55">
        <v>105304</v>
      </c>
      <c r="C126" s="55">
        <v>54908</v>
      </c>
      <c r="D126" s="55">
        <v>139902</v>
      </c>
      <c r="E126" s="55">
        <v>134465</v>
      </c>
      <c r="F126" s="55">
        <v>146395</v>
      </c>
      <c r="G126" s="58">
        <v>141030</v>
      </c>
      <c r="H126" s="55">
        <v>130000</v>
      </c>
      <c r="I126" s="55">
        <v>148470</v>
      </c>
      <c r="J126" s="55">
        <v>164956</v>
      </c>
      <c r="K126" s="55">
        <v>189614</v>
      </c>
      <c r="L126" s="55">
        <v>198065</v>
      </c>
      <c r="M126" s="55">
        <v>207734</v>
      </c>
      <c r="N126" s="49">
        <f t="shared" si="24"/>
        <v>1760843</v>
      </c>
      <c r="O126" s="25" t="s">
        <v>224</v>
      </c>
    </row>
    <row r="127" spans="1:15">
      <c r="A127" s="56" t="s">
        <v>220</v>
      </c>
      <c r="B127" s="55">
        <v>95715</v>
      </c>
      <c r="C127" s="55">
        <v>66840</v>
      </c>
      <c r="D127" s="55">
        <v>161729</v>
      </c>
      <c r="E127" s="55">
        <v>177583</v>
      </c>
      <c r="F127" s="55">
        <v>184093</v>
      </c>
      <c r="G127" s="58">
        <v>199194</v>
      </c>
      <c r="H127" s="55">
        <v>210799</v>
      </c>
      <c r="I127" s="55">
        <v>222384</v>
      </c>
      <c r="J127" s="55">
        <v>252647</v>
      </c>
      <c r="K127" s="55">
        <v>310912</v>
      </c>
      <c r="L127" s="55">
        <v>305938</v>
      </c>
      <c r="M127" s="55">
        <v>301706</v>
      </c>
      <c r="N127" s="49">
        <f t="shared" si="24"/>
        <v>2489540</v>
      </c>
      <c r="O127" s="25" t="s">
        <v>225</v>
      </c>
    </row>
    <row r="128" spans="1:15">
      <c r="A128" s="48" t="s">
        <v>226</v>
      </c>
      <c r="B128" s="49">
        <v>300538</v>
      </c>
      <c r="C128" s="49">
        <v>322846</v>
      </c>
      <c r="D128" s="49">
        <v>377420</v>
      </c>
      <c r="E128" s="49">
        <v>380089</v>
      </c>
      <c r="F128" s="49"/>
      <c r="G128" s="49"/>
      <c r="H128" s="49"/>
      <c r="I128" s="29"/>
      <c r="J128" s="49"/>
      <c r="K128" s="29"/>
      <c r="L128" s="49"/>
      <c r="M128"/>
      <c r="N128" s="49"/>
    </row>
    <row r="129" spans="1:14">
      <c r="A129" s="49" t="s">
        <v>221</v>
      </c>
      <c r="B129" s="53">
        <f>B128/M122-1</f>
        <v>-0.41621455724356</v>
      </c>
      <c r="C129" s="53">
        <f>C128/B128-1</f>
        <v>0.0742268864502991</v>
      </c>
      <c r="D129" s="53">
        <f>D128/C128-1</f>
        <v>0.16904034741022</v>
      </c>
      <c r="E129" s="53">
        <f>E128/D128-1</f>
        <v>0.00707169731333801</v>
      </c>
      <c r="F129" s="57"/>
      <c r="G129" s="53"/>
      <c r="H129" s="53"/>
      <c r="I129" s="53"/>
      <c r="J129" s="53"/>
      <c r="K129" s="53"/>
      <c r="L129" s="53"/>
      <c r="M129" s="53"/>
      <c r="N129" s="53"/>
    </row>
    <row r="130" spans="1:14">
      <c r="A130" s="49" t="s">
        <v>64</v>
      </c>
      <c r="B130" s="53">
        <f>B128/B122-1</f>
        <v>0.491555537909506</v>
      </c>
      <c r="C130" s="53">
        <f>C128/C122-1</f>
        <v>1.63954999959121</v>
      </c>
      <c r="D130" s="53">
        <f>D128/D122-1</f>
        <v>0.24783855001835</v>
      </c>
      <c r="E130" s="53">
        <f>E128/E122-1</f>
        <v>0.213392073297259</v>
      </c>
      <c r="F130" s="57"/>
      <c r="G130" s="53"/>
      <c r="H130" s="53"/>
      <c r="I130" s="53"/>
      <c r="J130" s="53"/>
      <c r="K130" s="53"/>
      <c r="L130" s="53"/>
      <c r="M130" s="53"/>
      <c r="N130" s="53"/>
    </row>
    <row r="131" spans="1:14">
      <c r="A131" s="54" t="s">
        <v>222</v>
      </c>
      <c r="B131" s="55">
        <v>296446</v>
      </c>
      <c r="C131" s="55">
        <v>318233</v>
      </c>
      <c r="D131" s="55">
        <v>371419</v>
      </c>
      <c r="E131" s="55">
        <v>372615</v>
      </c>
      <c r="F131" s="55"/>
      <c r="G131" s="55"/>
      <c r="H131" s="55"/>
      <c r="I131" s="55"/>
      <c r="J131" s="55"/>
      <c r="K131" s="55"/>
      <c r="L131" s="55"/>
      <c r="M131" s="55"/>
      <c r="N131" s="49"/>
    </row>
    <row r="132" spans="1:14">
      <c r="A132" s="56" t="s">
        <v>219</v>
      </c>
      <c r="B132" s="55">
        <v>125377</v>
      </c>
      <c r="C132" s="55">
        <v>124902</v>
      </c>
      <c r="D132" s="55">
        <v>171474</v>
      </c>
      <c r="E132" s="55">
        <v>195740</v>
      </c>
      <c r="F132" s="55"/>
      <c r="G132" s="58"/>
      <c r="H132" s="55"/>
      <c r="I132" s="55"/>
      <c r="J132" s="55"/>
      <c r="K132" s="55"/>
      <c r="L132" s="55"/>
      <c r="M132" s="55"/>
      <c r="N132" s="49"/>
    </row>
    <row r="133" spans="1:14">
      <c r="A133" s="56" t="s">
        <v>220</v>
      </c>
      <c r="B133" s="55">
        <v>171069</v>
      </c>
      <c r="C133" s="55">
        <v>193331</v>
      </c>
      <c r="D133" s="55">
        <v>199945</v>
      </c>
      <c r="E133" s="55">
        <v>176875</v>
      </c>
      <c r="F133" s="55"/>
      <c r="G133" s="58"/>
      <c r="H133" s="55"/>
      <c r="I133" s="55"/>
      <c r="J133" s="55"/>
      <c r="K133" s="55"/>
      <c r="L133" s="55"/>
      <c r="M133" s="55"/>
      <c r="N133" s="49"/>
    </row>
    <row r="134" spans="1:14">
      <c r="A134" s="56"/>
      <c r="B134" s="55"/>
      <c r="C134" s="55"/>
      <c r="D134" s="55"/>
      <c r="E134" s="55"/>
      <c r="F134" s="55"/>
      <c r="G134" s="58"/>
      <c r="H134" s="55"/>
      <c r="I134" s="55"/>
      <c r="J134" s="55"/>
      <c r="K134" s="55"/>
      <c r="L134" s="55"/>
      <c r="M134" s="55"/>
      <c r="N134" s="49"/>
    </row>
    <row r="135" spans="1:14">
      <c r="A135" s="56"/>
      <c r="B135" s="55"/>
      <c r="C135" s="55"/>
      <c r="D135" s="55"/>
      <c r="E135" s="55"/>
      <c r="F135" s="55"/>
      <c r="G135" s="58"/>
      <c r="H135" s="55"/>
      <c r="I135" s="55"/>
      <c r="J135" s="55"/>
      <c r="K135" s="55"/>
      <c r="L135" s="55"/>
      <c r="M135" s="55"/>
      <c r="N135" s="49"/>
    </row>
    <row r="136" spans="1:14">
      <c r="A136" s="56"/>
      <c r="B136" s="55"/>
      <c r="C136" s="55"/>
      <c r="D136" s="55"/>
      <c r="E136" s="55"/>
      <c r="F136" s="55"/>
      <c r="G136" s="58"/>
      <c r="H136" s="55"/>
      <c r="I136" s="55"/>
      <c r="J136" s="55"/>
      <c r="K136" s="55"/>
      <c r="L136" s="55"/>
      <c r="M136" s="55"/>
      <c r="N136" s="49"/>
    </row>
    <row r="137" spans="1:14">
      <c r="A137" s="56"/>
      <c r="B137" s="55"/>
      <c r="C137" s="55"/>
      <c r="D137" s="55"/>
      <c r="E137" s="55"/>
      <c r="F137" s="55"/>
      <c r="G137" s="58"/>
      <c r="H137" s="55"/>
      <c r="I137" s="55"/>
      <c r="J137" s="55"/>
      <c r="K137" s="55"/>
      <c r="L137" s="55"/>
      <c r="M137" s="55"/>
      <c r="N137" s="49"/>
    </row>
    <row r="138" spans="1:14">
      <c r="A138" s="56"/>
      <c r="B138" s="55"/>
      <c r="C138" s="55"/>
      <c r="D138" s="55"/>
      <c r="E138" s="55"/>
      <c r="F138" s="55"/>
      <c r="G138" s="58"/>
      <c r="H138" s="55"/>
      <c r="I138" s="55"/>
      <c r="J138" s="55"/>
      <c r="K138" s="55"/>
      <c r="L138" s="55"/>
      <c r="M138" s="55"/>
      <c r="N138" s="49"/>
    </row>
    <row r="139" spans="1:14">
      <c r="A139" s="56"/>
      <c r="B139" s="55"/>
      <c r="C139" s="55"/>
      <c r="D139" s="55"/>
      <c r="E139" s="55"/>
      <c r="F139" s="55"/>
      <c r="G139" s="58"/>
      <c r="H139" s="55"/>
      <c r="I139" s="55"/>
      <c r="J139" s="55"/>
      <c r="K139" s="55"/>
      <c r="L139" s="55"/>
      <c r="M139" s="55"/>
      <c r="N139" s="49"/>
    </row>
    <row r="140" spans="1:14">
      <c r="A140" s="56"/>
      <c r="B140" s="55"/>
      <c r="C140" s="55"/>
      <c r="D140" s="55"/>
      <c r="E140" s="55"/>
      <c r="F140" s="55"/>
      <c r="G140" s="58"/>
      <c r="H140" s="55"/>
      <c r="I140" s="55"/>
      <c r="J140" s="55"/>
      <c r="K140" s="55"/>
      <c r="L140" s="55"/>
      <c r="M140" s="55"/>
      <c r="N140" s="49"/>
    </row>
    <row r="141" spans="1:14">
      <c r="A141" s="56"/>
      <c r="B141" s="55"/>
      <c r="C141" s="55"/>
      <c r="D141" s="55"/>
      <c r="E141" s="55"/>
      <c r="F141" s="55"/>
      <c r="G141" s="58"/>
      <c r="H141" s="55"/>
      <c r="I141" s="55"/>
      <c r="J141" s="55"/>
      <c r="K141" s="55"/>
      <c r="L141" s="55"/>
      <c r="M141" s="55"/>
      <c r="N141" s="49"/>
    </row>
    <row r="142" spans="1:14">
      <c r="A142" s="56"/>
      <c r="B142" s="55"/>
      <c r="C142" s="55"/>
      <c r="D142" s="55"/>
      <c r="E142" s="55"/>
      <c r="F142" s="55"/>
      <c r="G142" s="58"/>
      <c r="H142" s="55"/>
      <c r="I142" s="55"/>
      <c r="J142" s="55"/>
      <c r="K142" s="55"/>
      <c r="L142" s="55"/>
      <c r="M142" s="55"/>
      <c r="N142" s="49"/>
    </row>
    <row r="143" spans="1:14">
      <c r="A143" s="56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49"/>
    </row>
    <row r="144" spans="1:14">
      <c r="A144" s="47" t="s">
        <v>227</v>
      </c>
      <c r="B144" s="47" t="s">
        <v>228</v>
      </c>
      <c r="C144" s="47" t="s">
        <v>229</v>
      </c>
      <c r="D144" s="47" t="s">
        <v>230</v>
      </c>
      <c r="E144" s="47" t="s">
        <v>231</v>
      </c>
      <c r="F144" s="47" t="s">
        <v>63</v>
      </c>
    </row>
    <row r="145" spans="1:16">
      <c r="A145" s="48" t="s">
        <v>37</v>
      </c>
      <c r="B145" s="42">
        <v>30</v>
      </c>
      <c r="C145" s="42">
        <v>40.7</v>
      </c>
      <c r="D145" s="42">
        <v>83.5</v>
      </c>
      <c r="E145" s="42">
        <v>90.7</v>
      </c>
      <c r="F145" s="42">
        <v>244.9</v>
      </c>
    </row>
    <row r="146" spans="1:16">
      <c r="A146" s="48" t="s">
        <v>38</v>
      </c>
      <c r="B146" s="42">
        <v>63</v>
      </c>
      <c r="C146" s="42">
        <v>95.2</v>
      </c>
      <c r="D146" s="42">
        <v>97</v>
      </c>
      <c r="E146" s="42">
        <v>112</v>
      </c>
      <c r="F146" s="42">
        <v>367.2</v>
      </c>
    </row>
    <row r="147" spans="1:16">
      <c r="A147" s="48" t="s">
        <v>39</v>
      </c>
      <c r="B147" s="42">
        <v>88.4</v>
      </c>
      <c r="C147" s="42">
        <v>90.7</v>
      </c>
      <c r="D147" s="42">
        <v>139.3</v>
      </c>
      <c r="E147" s="42">
        <v>180.6</v>
      </c>
      <c r="F147" s="42">
        <v>499</v>
      </c>
    </row>
    <row r="148" spans="1:16">
      <c r="A148" s="48" t="s">
        <v>41</v>
      </c>
      <c r="B148" s="42">
        <v>184.8</v>
      </c>
      <c r="C148" s="42">
        <v>201.25</v>
      </c>
      <c r="D148" s="42">
        <v>241.3</v>
      </c>
      <c r="E148" s="42">
        <v>308.6</v>
      </c>
      <c r="F148" s="42">
        <v>936.172</v>
      </c>
    </row>
    <row r="149" spans="1:16">
      <c r="A149" s="48" t="s">
        <v>43</v>
      </c>
      <c r="B149" s="42">
        <v>310.048</v>
      </c>
      <c r="C149" s="42">
        <v>254.7</v>
      </c>
      <c r="D149" s="42">
        <v>343.8</v>
      </c>
      <c r="E149" s="59">
        <v>405.3</v>
      </c>
      <c r="F149" s="42">
        <f t="shared" ref="F149:F151" si="25">SUM(B149:E149)</f>
        <v>1313.848</v>
      </c>
    </row>
    <row r="150" spans="1:16">
      <c r="A150" s="48" t="s">
        <v>75</v>
      </c>
      <c r="B150" s="42">
        <v>422.875</v>
      </c>
      <c r="C150" s="42">
        <v>466</v>
      </c>
      <c r="D150" s="42">
        <v>435.1</v>
      </c>
      <c r="E150" s="59">
        <v>484</v>
      </c>
      <c r="F150" s="42">
        <f t="shared" si="25"/>
        <v>1807.975</v>
      </c>
    </row>
    <row r="151" spans="1:16">
      <c r="A151" s="48" t="s">
        <v>223</v>
      </c>
      <c r="B151" s="42">
        <v>387</v>
      </c>
      <c r="C151" s="42">
        <v>444</v>
      </c>
      <c r="D151" s="42">
        <v>463</v>
      </c>
      <c r="E151" s="59">
        <v>495.6</v>
      </c>
      <c r="F151" s="42">
        <f t="shared" si="25"/>
        <v>1789.6</v>
      </c>
    </row>
    <row r="152" spans="1:16">
      <c r="A152" s="48" t="s">
        <v>226</v>
      </c>
      <c r="B152" s="42"/>
      <c r="C152" s="42"/>
      <c r="D152" s="42"/>
      <c r="E152" s="59"/>
      <c r="F152" s="42"/>
    </row>
    <row r="153" spans="1:16">
      <c r="A153" s="42" t="s">
        <v>221</v>
      </c>
      <c r="B153" s="60"/>
      <c r="C153" s="60"/>
      <c r="D153" s="60"/>
      <c r="E153" s="60"/>
      <c r="F153" s="60"/>
      <c r="G153" s="61"/>
      <c r="H153" s="61"/>
      <c r="I153" s="61"/>
      <c r="J153" s="61"/>
      <c r="K153" s="61"/>
      <c r="L153" s="61"/>
      <c r="M153" s="61"/>
      <c r="N153" s="61"/>
      <c r="O153" s="61"/>
      <c r="P153" s="61"/>
    </row>
    <row r="154" spans="1:16">
      <c r="A154" s="42" t="s">
        <v>64</v>
      </c>
      <c r="B154" s="60">
        <f>B151/E150-1</f>
        <v>-0.200413223140496</v>
      </c>
      <c r="C154" s="60">
        <f>C151/B151-1</f>
        <v>0.147286821705426</v>
      </c>
      <c r="D154" s="60">
        <f>D151/C151-1</f>
        <v>0.0427927927927927</v>
      </c>
      <c r="E154" s="60">
        <f>E151/D151-1</f>
        <v>0.0704103671706264</v>
      </c>
      <c r="F154" s="60"/>
    </row>
    <row r="155" spans="1:16">
      <c r="A155" s="25" t="s">
        <v>232</v>
      </c>
      <c r="C155" s="62"/>
    </row>
    <row r="156" spans="1:16">
      <c r="A156" s="63"/>
      <c r="B156" s="64"/>
      <c r="C156" s="64"/>
      <c r="D156" s="64"/>
      <c r="E156" s="64"/>
      <c r="F156" s="64"/>
      <c r="G156" s="64"/>
      <c r="H156" s="64"/>
      <c r="I156" s="64"/>
      <c r="J156" s="64"/>
      <c r="K156" s="65"/>
      <c r="L156" s="65"/>
      <c r="M156" s="65"/>
      <c r="N156" s="65"/>
      <c r="O156" s="61"/>
      <c r="P156" s="61"/>
    </row>
    <row r="157" spans="1:16">
      <c r="A157" s="66" t="s">
        <v>233</v>
      </c>
      <c r="P157" s="61"/>
    </row>
    <row r="158" spans="1:16">
      <c r="A158" s="47" t="s">
        <v>39</v>
      </c>
      <c r="B158" s="47" t="s">
        <v>51</v>
      </c>
      <c r="C158" s="47" t="s">
        <v>52</v>
      </c>
      <c r="D158" s="47" t="s">
        <v>53</v>
      </c>
      <c r="E158" s="47" t="s">
        <v>54</v>
      </c>
      <c r="F158" s="47" t="s">
        <v>55</v>
      </c>
      <c r="G158" s="47" t="s">
        <v>56</v>
      </c>
      <c r="H158" s="47" t="s">
        <v>57</v>
      </c>
      <c r="I158" s="47" t="s">
        <v>58</v>
      </c>
      <c r="J158" s="47" t="s">
        <v>59</v>
      </c>
      <c r="K158" s="47" t="s">
        <v>60</v>
      </c>
      <c r="L158" s="47" t="s">
        <v>61</v>
      </c>
      <c r="M158" s="47" t="s">
        <v>62</v>
      </c>
      <c r="N158" s="47" t="s">
        <v>63</v>
      </c>
      <c r="O158" s="47" t="s">
        <v>69</v>
      </c>
      <c r="P158" s="61"/>
    </row>
    <row r="159" spans="1:16">
      <c r="A159" s="66" t="s">
        <v>234</v>
      </c>
      <c r="B159" s="66">
        <v>0</v>
      </c>
      <c r="C159" s="66">
        <v>3900</v>
      </c>
      <c r="D159" s="66">
        <v>10160</v>
      </c>
      <c r="E159" s="66">
        <v>3635</v>
      </c>
      <c r="F159" s="66">
        <v>11095</v>
      </c>
      <c r="G159" s="66">
        <v>14954</v>
      </c>
      <c r="H159" s="66">
        <v>11014</v>
      </c>
      <c r="I159" s="66">
        <v>11811</v>
      </c>
      <c r="J159" s="66">
        <v>11329</v>
      </c>
      <c r="K159" s="66">
        <v>12143</v>
      </c>
      <c r="L159" s="66">
        <v>21604</v>
      </c>
      <c r="M159" s="66">
        <v>23804</v>
      </c>
      <c r="N159" s="66">
        <v>135449</v>
      </c>
      <c r="O159" s="61"/>
      <c r="P159" s="61"/>
    </row>
    <row r="160" s="24" customFormat="1" spans="1:16">
      <c r="A160" s="47" t="s">
        <v>41</v>
      </c>
      <c r="B160" s="47" t="s">
        <v>51</v>
      </c>
      <c r="C160" s="47" t="s">
        <v>52</v>
      </c>
      <c r="D160" s="47" t="s">
        <v>53</v>
      </c>
      <c r="E160" s="47" t="s">
        <v>54</v>
      </c>
      <c r="F160" s="47" t="s">
        <v>55</v>
      </c>
      <c r="G160" s="47" t="s">
        <v>56</v>
      </c>
      <c r="H160" s="47" t="s">
        <v>57</v>
      </c>
      <c r="I160" s="47" t="s">
        <v>58</v>
      </c>
      <c r="J160" s="47" t="s">
        <v>59</v>
      </c>
      <c r="K160" s="47" t="s">
        <v>60</v>
      </c>
      <c r="L160" s="47" t="s">
        <v>61</v>
      </c>
      <c r="M160" s="47" t="s">
        <v>62</v>
      </c>
      <c r="N160" s="47" t="s">
        <v>63</v>
      </c>
      <c r="O160" s="47" t="s">
        <v>69</v>
      </c>
      <c r="P160" s="67"/>
    </row>
    <row r="161" s="24" customFormat="1" spans="1:16">
      <c r="A161" s="68" t="s">
        <v>235</v>
      </c>
      <c r="B161" s="69">
        <v>15484</v>
      </c>
      <c r="C161" s="69">
        <v>18318</v>
      </c>
      <c r="D161" s="69">
        <v>35478</v>
      </c>
      <c r="E161" s="69">
        <v>25845</v>
      </c>
      <c r="F161" s="69">
        <v>33463</v>
      </c>
      <c r="G161" s="69">
        <v>33155</v>
      </c>
      <c r="H161" s="69">
        <v>32968</v>
      </c>
      <c r="I161" s="69">
        <v>44264</v>
      </c>
      <c r="J161" s="69">
        <v>56006</v>
      </c>
      <c r="K161" s="69">
        <v>54391</v>
      </c>
      <c r="L161" s="69">
        <v>52859</v>
      </c>
      <c r="M161" s="69">
        <v>70847</v>
      </c>
      <c r="N161" s="69">
        <f t="shared" ref="N161:N165" si="26">SUM(B161:M161)</f>
        <v>473078</v>
      </c>
      <c r="O161" s="70"/>
      <c r="P161" s="67"/>
    </row>
    <row r="162" s="24" customFormat="1" spans="1:16">
      <c r="A162" s="68" t="s">
        <v>236</v>
      </c>
      <c r="B162" s="69"/>
      <c r="C162" s="69"/>
      <c r="D162" s="69"/>
      <c r="E162" s="69">
        <v>14174</v>
      </c>
      <c r="F162" s="69">
        <v>11527</v>
      </c>
      <c r="G162" s="69">
        <v>5017</v>
      </c>
      <c r="H162" s="69">
        <v>24374</v>
      </c>
      <c r="I162" s="69">
        <v>31379</v>
      </c>
      <c r="J162" s="69">
        <v>3853</v>
      </c>
      <c r="K162" s="69">
        <v>40666</v>
      </c>
      <c r="L162" s="69">
        <v>21127</v>
      </c>
      <c r="M162" s="69">
        <v>245</v>
      </c>
      <c r="N162" s="69">
        <f t="shared" si="26"/>
        <v>152362</v>
      </c>
      <c r="O162" s="70"/>
      <c r="P162" s="67"/>
    </row>
    <row r="163" s="24" customFormat="1" spans="1:16">
      <c r="A163" s="68" t="s">
        <v>237</v>
      </c>
      <c r="B163" s="69">
        <f t="shared" ref="B163:M163" si="27">B164+B165</f>
        <v>13843</v>
      </c>
      <c r="C163" s="69">
        <f t="shared" si="27"/>
        <v>18318</v>
      </c>
      <c r="D163" s="69">
        <f t="shared" si="27"/>
        <v>35503</v>
      </c>
      <c r="E163" s="69">
        <f t="shared" si="27"/>
        <v>25845</v>
      </c>
      <c r="F163" s="69">
        <f t="shared" si="27"/>
        <v>33463</v>
      </c>
      <c r="G163" s="69">
        <f t="shared" si="27"/>
        <v>33155</v>
      </c>
      <c r="H163" s="69">
        <f t="shared" si="27"/>
        <v>32968</v>
      </c>
      <c r="I163" s="69">
        <f t="shared" si="27"/>
        <v>44264</v>
      </c>
      <c r="J163" s="69">
        <f t="shared" si="27"/>
        <v>56006</v>
      </c>
      <c r="K163" s="69">
        <f t="shared" si="27"/>
        <v>54391</v>
      </c>
      <c r="L163" s="69">
        <f t="shared" si="27"/>
        <v>52859</v>
      </c>
      <c r="M163" s="69">
        <f t="shared" si="27"/>
        <v>70847</v>
      </c>
      <c r="N163" s="69">
        <f>N161-N162</f>
        <v>320716</v>
      </c>
      <c r="O163" s="70"/>
      <c r="P163" s="67"/>
    </row>
    <row r="164" s="24" customFormat="1" spans="1:16">
      <c r="A164" s="68" t="s">
        <v>238</v>
      </c>
      <c r="B164" s="68">
        <v>0</v>
      </c>
      <c r="C164" s="68">
        <v>4630</v>
      </c>
      <c r="D164" s="68">
        <v>10151</v>
      </c>
      <c r="E164" s="68">
        <v>5407</v>
      </c>
      <c r="F164" s="68">
        <v>12728</v>
      </c>
      <c r="G164" s="68">
        <v>11623</v>
      </c>
      <c r="H164" s="68">
        <v>10354</v>
      </c>
      <c r="I164" s="68">
        <v>17198</v>
      </c>
      <c r="J164" s="68">
        <v>33544</v>
      </c>
      <c r="K164" s="68">
        <v>25538</v>
      </c>
      <c r="L164" s="68">
        <v>26759</v>
      </c>
      <c r="M164" s="68">
        <v>40558</v>
      </c>
      <c r="N164" s="68">
        <f t="shared" si="26"/>
        <v>198490</v>
      </c>
      <c r="O164" s="70"/>
      <c r="P164" s="67"/>
    </row>
    <row r="165" s="24" customFormat="1" spans="1:16">
      <c r="A165" s="68" t="s">
        <v>239</v>
      </c>
      <c r="B165" s="68">
        <v>13843</v>
      </c>
      <c r="C165" s="68">
        <v>13688</v>
      </c>
      <c r="D165" s="68">
        <v>25352</v>
      </c>
      <c r="E165" s="68">
        <v>20438</v>
      </c>
      <c r="F165" s="68">
        <v>20735</v>
      </c>
      <c r="G165" s="68">
        <v>21532</v>
      </c>
      <c r="H165" s="68">
        <v>22614</v>
      </c>
      <c r="I165" s="68">
        <v>27066</v>
      </c>
      <c r="J165" s="68">
        <v>22462</v>
      </c>
      <c r="K165" s="68">
        <v>28853</v>
      </c>
      <c r="L165" s="68">
        <v>26100</v>
      </c>
      <c r="M165" s="68">
        <v>30289</v>
      </c>
      <c r="N165" s="68">
        <f t="shared" si="26"/>
        <v>272972</v>
      </c>
      <c r="O165" s="70"/>
      <c r="P165" s="67"/>
    </row>
    <row r="166" spans="1:16">
      <c r="A166" s="47" t="s">
        <v>43</v>
      </c>
      <c r="B166" s="47" t="s">
        <v>51</v>
      </c>
      <c r="C166" s="47" t="s">
        <v>52</v>
      </c>
      <c r="D166" s="47" t="s">
        <v>53</v>
      </c>
      <c r="E166" s="47" t="s">
        <v>54</v>
      </c>
      <c r="F166" s="47" t="s">
        <v>55</v>
      </c>
      <c r="G166" s="47" t="s">
        <v>56</v>
      </c>
      <c r="H166" s="47" t="s">
        <v>57</v>
      </c>
      <c r="I166" s="47" t="s">
        <v>58</v>
      </c>
      <c r="J166" s="47" t="s">
        <v>59</v>
      </c>
      <c r="K166" s="47" t="s">
        <v>60</v>
      </c>
      <c r="L166" s="47" t="s">
        <v>61</v>
      </c>
      <c r="M166" s="47" t="s">
        <v>62</v>
      </c>
      <c r="N166" s="47" t="s">
        <v>63</v>
      </c>
      <c r="O166" s="47" t="s">
        <v>69</v>
      </c>
      <c r="P166" s="61"/>
    </row>
    <row r="167" spans="1:16">
      <c r="A167" s="68" t="s">
        <v>235</v>
      </c>
      <c r="B167" s="69">
        <v>59845</v>
      </c>
      <c r="C167" s="69">
        <v>56515</v>
      </c>
      <c r="D167" s="69">
        <v>65814</v>
      </c>
      <c r="E167" s="69">
        <v>1512</v>
      </c>
      <c r="F167" s="69">
        <v>32165</v>
      </c>
      <c r="G167" s="69">
        <v>78906</v>
      </c>
      <c r="H167" s="69">
        <v>28217</v>
      </c>
      <c r="I167" s="69">
        <v>76965</v>
      </c>
      <c r="J167" s="33">
        <v>83135</v>
      </c>
      <c r="K167" s="33">
        <v>71700</v>
      </c>
      <c r="L167" s="69">
        <v>100291</v>
      </c>
      <c r="M167" s="69">
        <v>55796</v>
      </c>
      <c r="N167" s="68">
        <f t="shared" ref="N167:N171" si="28">SUM(B167:M167)</f>
        <v>710861</v>
      </c>
      <c r="O167" s="71">
        <f t="shared" ref="O167:O171" si="29">N167/N161-1</f>
        <v>0.502629587509882</v>
      </c>
      <c r="P167" s="61"/>
    </row>
    <row r="168" spans="1:16">
      <c r="A168" s="68" t="s">
        <v>236</v>
      </c>
      <c r="B168" s="69">
        <v>40499</v>
      </c>
      <c r="C168" s="72">
        <v>33315</v>
      </c>
      <c r="D168" s="72">
        <v>60</v>
      </c>
      <c r="E168" s="69">
        <v>0</v>
      </c>
      <c r="F168" s="69">
        <v>22340</v>
      </c>
      <c r="G168" s="69">
        <v>968</v>
      </c>
      <c r="H168" s="69">
        <v>19756</v>
      </c>
      <c r="I168" s="69">
        <v>42463</v>
      </c>
      <c r="J168" s="69">
        <v>5522</v>
      </c>
      <c r="K168" s="69">
        <v>54500</v>
      </c>
      <c r="L168" s="69">
        <v>37798</v>
      </c>
      <c r="M168" s="69">
        <v>13870</v>
      </c>
      <c r="N168" s="68">
        <f t="shared" si="28"/>
        <v>271091</v>
      </c>
      <c r="O168" s="73">
        <f t="shared" si="29"/>
        <v>0.779255982462819</v>
      </c>
      <c r="P168" s="61"/>
    </row>
    <row r="169" spans="1:16">
      <c r="A169" s="68" t="s">
        <v>237</v>
      </c>
      <c r="B169" s="69">
        <f>B167-B168</f>
        <v>19346</v>
      </c>
      <c r="C169" s="69">
        <f>C167-C168</f>
        <v>23200</v>
      </c>
      <c r="D169" s="69">
        <f>D167-D168</f>
        <v>65754</v>
      </c>
      <c r="E169" s="69">
        <f t="shared" ref="E169:H169" si="30">E170+E171</f>
        <v>1512</v>
      </c>
      <c r="F169" s="69">
        <f t="shared" si="30"/>
        <v>9825</v>
      </c>
      <c r="G169" s="69">
        <f t="shared" si="30"/>
        <v>77938</v>
      </c>
      <c r="H169" s="69">
        <f t="shared" si="30"/>
        <v>8461</v>
      </c>
      <c r="I169" s="69">
        <f t="shared" ref="I169:L169" si="31">I167-I168</f>
        <v>34502</v>
      </c>
      <c r="J169" s="69">
        <f t="shared" si="31"/>
        <v>77613</v>
      </c>
      <c r="K169" s="69">
        <f t="shared" si="31"/>
        <v>17200</v>
      </c>
      <c r="L169" s="69">
        <f t="shared" si="31"/>
        <v>62493</v>
      </c>
      <c r="M169" s="69">
        <v>41926</v>
      </c>
      <c r="N169" s="68">
        <f t="shared" si="28"/>
        <v>439770</v>
      </c>
      <c r="O169" s="73">
        <f t="shared" si="29"/>
        <v>0.371213160553262</v>
      </c>
      <c r="P169" s="61"/>
    </row>
    <row r="170" spans="1:16">
      <c r="A170" s="74" t="s">
        <v>238</v>
      </c>
      <c r="B170" s="68">
        <v>33297</v>
      </c>
      <c r="C170" s="68">
        <v>32403</v>
      </c>
      <c r="D170" s="68">
        <v>39730</v>
      </c>
      <c r="E170" s="68">
        <v>960</v>
      </c>
      <c r="F170" s="68">
        <v>5875</v>
      </c>
      <c r="G170" s="68">
        <v>52150</v>
      </c>
      <c r="H170" s="68">
        <v>7640</v>
      </c>
      <c r="I170" s="68">
        <v>31112</v>
      </c>
      <c r="J170" s="68">
        <v>46694</v>
      </c>
      <c r="K170" s="68">
        <v>14391</v>
      </c>
      <c r="L170" s="68">
        <v>52424</v>
      </c>
      <c r="M170" s="68">
        <v>29387</v>
      </c>
      <c r="N170" s="68">
        <f t="shared" si="28"/>
        <v>346063</v>
      </c>
      <c r="O170" s="75">
        <f t="shared" si="29"/>
        <v>0.743478260869565</v>
      </c>
      <c r="P170" s="61"/>
    </row>
    <row r="171" spans="1:16">
      <c r="A171" s="74" t="s">
        <v>239</v>
      </c>
      <c r="B171" s="68">
        <v>26548</v>
      </c>
      <c r="C171" s="68">
        <v>24112</v>
      </c>
      <c r="D171" s="68">
        <v>26024</v>
      </c>
      <c r="E171" s="68">
        <v>552</v>
      </c>
      <c r="F171" s="68">
        <v>3950</v>
      </c>
      <c r="G171" s="68">
        <v>25788</v>
      </c>
      <c r="H171" s="68">
        <v>821</v>
      </c>
      <c r="I171" s="68">
        <v>3390</v>
      </c>
      <c r="J171" s="68">
        <v>30919</v>
      </c>
      <c r="K171" s="68">
        <v>2809</v>
      </c>
      <c r="L171" s="68">
        <v>10069</v>
      </c>
      <c r="M171" s="68">
        <v>12539</v>
      </c>
      <c r="N171" s="68">
        <f t="shared" si="28"/>
        <v>167521</v>
      </c>
      <c r="O171" s="75">
        <f t="shared" si="29"/>
        <v>-0.386307020500271</v>
      </c>
      <c r="P171" s="61"/>
    </row>
    <row r="172" spans="1:16">
      <c r="A172" s="47" t="s">
        <v>75</v>
      </c>
      <c r="B172" s="47" t="s">
        <v>51</v>
      </c>
      <c r="C172" s="47" t="s">
        <v>52</v>
      </c>
      <c r="D172" s="47" t="s">
        <v>53</v>
      </c>
      <c r="E172" s="47" t="s">
        <v>54</v>
      </c>
      <c r="F172" s="47" t="s">
        <v>55</v>
      </c>
      <c r="G172" s="47" t="s">
        <v>56</v>
      </c>
      <c r="H172" s="47" t="s">
        <v>57</v>
      </c>
      <c r="I172" s="47" t="s">
        <v>58</v>
      </c>
      <c r="J172" s="47" t="s">
        <v>59</v>
      </c>
      <c r="K172" s="47" t="s">
        <v>60</v>
      </c>
      <c r="L172" s="47" t="s">
        <v>61</v>
      </c>
      <c r="M172" s="47" t="s">
        <v>62</v>
      </c>
      <c r="N172" s="47" t="s">
        <v>63</v>
      </c>
      <c r="O172" s="47" t="s">
        <v>69</v>
      </c>
      <c r="P172" s="61"/>
    </row>
    <row r="173" spans="1:16">
      <c r="A173" s="68" t="s">
        <v>235</v>
      </c>
      <c r="B173" s="69">
        <v>66051</v>
      </c>
      <c r="C173" s="69">
        <v>74402</v>
      </c>
      <c r="D173" s="69">
        <v>88869</v>
      </c>
      <c r="E173" s="29">
        <v>75842</v>
      </c>
      <c r="F173" s="69">
        <v>77695</v>
      </c>
      <c r="G173" s="69">
        <v>93680</v>
      </c>
      <c r="H173" s="69">
        <v>64285</v>
      </c>
      <c r="I173" s="69">
        <v>84159</v>
      </c>
      <c r="J173" s="33">
        <v>74073</v>
      </c>
      <c r="K173" s="29">
        <v>72115</v>
      </c>
      <c r="L173" s="69">
        <v>82432</v>
      </c>
      <c r="M173" s="68">
        <v>94139</v>
      </c>
      <c r="N173" s="68">
        <f t="shared" ref="N173:N177" si="32">SUM(B173:M173)</f>
        <v>947742</v>
      </c>
      <c r="O173" s="71">
        <f t="shared" ref="O173:O177" si="33">N173/N167-1</f>
        <v>0.333231109879428</v>
      </c>
      <c r="P173" s="61"/>
    </row>
    <row r="174" spans="1:16">
      <c r="A174" s="68" t="s">
        <v>236</v>
      </c>
      <c r="B174" s="69">
        <v>39208</v>
      </c>
      <c r="C174" s="72">
        <v>40479</v>
      </c>
      <c r="D174" s="72">
        <v>12206</v>
      </c>
      <c r="E174" s="69">
        <v>35886</v>
      </c>
      <c r="F174" s="69">
        <v>35187</v>
      </c>
      <c r="G174" s="69">
        <v>19468</v>
      </c>
      <c r="H174" s="69">
        <v>32862</v>
      </c>
      <c r="I174" s="69">
        <v>19465</v>
      </c>
      <c r="J174" s="69">
        <v>30566</v>
      </c>
      <c r="K174" s="69">
        <v>43489</v>
      </c>
      <c r="L174" s="69">
        <v>16928</v>
      </c>
      <c r="M174" s="68">
        <v>18334</v>
      </c>
      <c r="N174" s="68">
        <f t="shared" si="32"/>
        <v>344078</v>
      </c>
      <c r="O174" s="73">
        <f t="shared" si="33"/>
        <v>0.269234316152141</v>
      </c>
      <c r="P174" s="61"/>
    </row>
    <row r="175" spans="1:16">
      <c r="A175" s="68" t="s">
        <v>237</v>
      </c>
      <c r="B175" s="69">
        <v>26843</v>
      </c>
      <c r="C175" s="69">
        <v>33923</v>
      </c>
      <c r="D175" s="69">
        <v>76663</v>
      </c>
      <c r="E175" s="69">
        <f t="shared" ref="E175:H175" si="34">E173-E174</f>
        <v>39956</v>
      </c>
      <c r="F175" s="69">
        <f t="shared" si="34"/>
        <v>42508</v>
      </c>
      <c r="G175" s="69">
        <f t="shared" si="34"/>
        <v>74212</v>
      </c>
      <c r="H175" s="69">
        <f t="shared" si="34"/>
        <v>31423</v>
      </c>
      <c r="I175" s="69">
        <v>64694</v>
      </c>
      <c r="J175" s="69">
        <v>43507</v>
      </c>
      <c r="K175" s="69">
        <v>28626</v>
      </c>
      <c r="L175" s="69">
        <v>65504</v>
      </c>
      <c r="M175" s="68">
        <f>M173-M174</f>
        <v>75805</v>
      </c>
      <c r="N175" s="68">
        <f t="shared" si="32"/>
        <v>603664</v>
      </c>
      <c r="O175" s="73">
        <f t="shared" si="33"/>
        <v>0.372681174250176</v>
      </c>
      <c r="P175" s="61"/>
    </row>
    <row r="176" spans="1:16">
      <c r="A176" s="76" t="s">
        <v>238</v>
      </c>
      <c r="B176" s="77">
        <v>14184</v>
      </c>
      <c r="C176" s="77">
        <v>25526</v>
      </c>
      <c r="D176" s="77">
        <v>54937</v>
      </c>
      <c r="E176" s="77">
        <v>26760</v>
      </c>
      <c r="F176" s="77">
        <v>31054</v>
      </c>
      <c r="G176" s="77">
        <v>51471</v>
      </c>
      <c r="H176" s="77">
        <v>23632</v>
      </c>
      <c r="I176" s="77">
        <v>51117</v>
      </c>
      <c r="J176" s="77">
        <v>41428</v>
      </c>
      <c r="K176" s="77">
        <v>26353</v>
      </c>
      <c r="L176" s="77">
        <v>49877</v>
      </c>
      <c r="M176" s="77">
        <v>60055</v>
      </c>
      <c r="N176" s="68">
        <f t="shared" si="32"/>
        <v>456394</v>
      </c>
      <c r="O176" s="75">
        <f t="shared" si="33"/>
        <v>0.318817671926788</v>
      </c>
      <c r="P176" s="61"/>
    </row>
    <row r="177" spans="1:16">
      <c r="A177" s="76" t="s">
        <v>239</v>
      </c>
      <c r="B177" s="77">
        <v>12659</v>
      </c>
      <c r="C177" s="77">
        <v>8397</v>
      </c>
      <c r="D177" s="77">
        <v>21726</v>
      </c>
      <c r="E177" s="77">
        <v>13196</v>
      </c>
      <c r="F177" s="77">
        <v>11454</v>
      </c>
      <c r="G177" s="77">
        <v>22741</v>
      </c>
      <c r="H177" s="77">
        <v>7791</v>
      </c>
      <c r="I177" s="77">
        <v>13577</v>
      </c>
      <c r="J177" s="77">
        <v>2079</v>
      </c>
      <c r="K177" s="77">
        <v>2273</v>
      </c>
      <c r="L177" s="77">
        <v>15627</v>
      </c>
      <c r="M177" s="77">
        <v>15750</v>
      </c>
      <c r="N177" s="68">
        <f t="shared" si="32"/>
        <v>147270</v>
      </c>
      <c r="O177" s="75">
        <f t="shared" si="33"/>
        <v>-0.120886336638392</v>
      </c>
      <c r="P177" s="61"/>
    </row>
    <row r="178" spans="1:16">
      <c r="A178" s="47" t="s">
        <v>223</v>
      </c>
      <c r="B178" s="47" t="s">
        <v>51</v>
      </c>
      <c r="C178" s="47" t="s">
        <v>52</v>
      </c>
      <c r="D178" s="47" t="s">
        <v>53</v>
      </c>
      <c r="E178" s="47" t="s">
        <v>54</v>
      </c>
      <c r="F178" s="47" t="s">
        <v>55</v>
      </c>
      <c r="G178" s="47" t="s">
        <v>56</v>
      </c>
      <c r="H178" s="47" t="s">
        <v>57</v>
      </c>
      <c r="I178" s="47" t="s">
        <v>58</v>
      </c>
      <c r="J178" s="47" t="s">
        <v>59</v>
      </c>
      <c r="K178" s="47" t="s">
        <v>60</v>
      </c>
      <c r="L178" s="47" t="s">
        <v>61</v>
      </c>
      <c r="M178" s="47" t="s">
        <v>62</v>
      </c>
      <c r="N178" s="47" t="s">
        <v>63</v>
      </c>
      <c r="O178" s="47" t="s">
        <v>69</v>
      </c>
      <c r="P178" s="61"/>
    </row>
    <row r="179" spans="1:16">
      <c r="A179" s="68" t="s">
        <v>235</v>
      </c>
      <c r="B179" s="69">
        <v>71447</v>
      </c>
      <c r="C179" s="29">
        <v>60365</v>
      </c>
      <c r="D179" s="69">
        <v>89064</v>
      </c>
      <c r="E179" s="29">
        <v>62167</v>
      </c>
      <c r="F179" s="69">
        <v>72573</v>
      </c>
      <c r="G179" s="69">
        <v>71007</v>
      </c>
      <c r="H179" s="69">
        <v>74117</v>
      </c>
      <c r="I179" s="29">
        <v>86697</v>
      </c>
      <c r="J179" s="33">
        <v>88321</v>
      </c>
      <c r="K179" s="29">
        <v>62280</v>
      </c>
      <c r="L179" s="69">
        <v>78856</v>
      </c>
      <c r="M179" s="29">
        <v>93766</v>
      </c>
      <c r="N179" s="68">
        <f t="shared" ref="N179:N183" si="35">SUM(B179:M179)</f>
        <v>910660</v>
      </c>
      <c r="O179" s="71">
        <f t="shared" ref="O179:O183" si="36">N179/N173-1</f>
        <v>-0.0391266821561143</v>
      </c>
      <c r="P179" s="61"/>
    </row>
    <row r="180" spans="1:16">
      <c r="A180" s="68" t="s">
        <v>236</v>
      </c>
      <c r="B180" s="69">
        <v>33716</v>
      </c>
      <c r="C180" s="72">
        <v>40479</v>
      </c>
      <c r="D180" s="72">
        <v>26666</v>
      </c>
      <c r="E180" s="69">
        <v>30746</v>
      </c>
      <c r="F180" s="69">
        <v>17358</v>
      </c>
      <c r="G180" s="69">
        <v>11746</v>
      </c>
      <c r="H180" s="69">
        <v>27890</v>
      </c>
      <c r="I180" s="69">
        <v>23241</v>
      </c>
      <c r="J180" s="69">
        <v>16121</v>
      </c>
      <c r="K180" s="69">
        <v>27795</v>
      </c>
      <c r="L180" s="69">
        <v>5366</v>
      </c>
      <c r="M180" s="69">
        <v>5366</v>
      </c>
      <c r="N180" s="68">
        <f t="shared" si="35"/>
        <v>266490</v>
      </c>
      <c r="O180" s="73">
        <f t="shared" si="36"/>
        <v>-0.22549538186109</v>
      </c>
      <c r="P180" s="61"/>
    </row>
    <row r="181" spans="1:16">
      <c r="A181" s="68" t="s">
        <v>237</v>
      </c>
      <c r="B181" s="69">
        <f t="shared" ref="B181:F181" si="37">B179-B180</f>
        <v>37731</v>
      </c>
      <c r="C181" s="69">
        <f t="shared" si="37"/>
        <v>19886</v>
      </c>
      <c r="D181" s="69">
        <f t="shared" si="37"/>
        <v>62398</v>
      </c>
      <c r="E181" s="69">
        <f t="shared" si="37"/>
        <v>31421</v>
      </c>
      <c r="F181" s="69">
        <f t="shared" si="37"/>
        <v>55215</v>
      </c>
      <c r="G181" s="69">
        <v>59261</v>
      </c>
      <c r="H181" s="69">
        <f t="shared" ref="H181:L181" si="38">H179-H180</f>
        <v>46227</v>
      </c>
      <c r="I181" s="69">
        <f t="shared" si="38"/>
        <v>63456</v>
      </c>
      <c r="J181" s="69">
        <f t="shared" si="38"/>
        <v>72200</v>
      </c>
      <c r="K181" s="69">
        <f t="shared" si="38"/>
        <v>34485</v>
      </c>
      <c r="L181" s="69">
        <f t="shared" si="38"/>
        <v>73490</v>
      </c>
      <c r="M181" s="68">
        <v>82927</v>
      </c>
      <c r="N181" s="68">
        <f t="shared" si="35"/>
        <v>638697</v>
      </c>
      <c r="O181" s="73">
        <f t="shared" si="36"/>
        <v>0.0580339394100029</v>
      </c>
      <c r="P181" s="61"/>
    </row>
    <row r="182" spans="1:16">
      <c r="A182" s="76" t="s">
        <v>238</v>
      </c>
      <c r="B182" s="77">
        <v>29913</v>
      </c>
      <c r="C182" s="77">
        <v>22537</v>
      </c>
      <c r="D182" s="77">
        <v>47917</v>
      </c>
      <c r="E182" s="77">
        <v>31962</v>
      </c>
      <c r="F182" s="77">
        <v>45359</v>
      </c>
      <c r="G182" s="77">
        <v>41110</v>
      </c>
      <c r="H182" s="77">
        <v>36299</v>
      </c>
      <c r="I182" s="77">
        <v>45330</v>
      </c>
      <c r="J182" s="77">
        <v>48202</v>
      </c>
      <c r="K182" s="77">
        <v>42265</v>
      </c>
      <c r="L182" s="77">
        <v>44576</v>
      </c>
      <c r="M182" s="77">
        <v>61181</v>
      </c>
      <c r="N182" s="68">
        <f t="shared" si="35"/>
        <v>496651</v>
      </c>
      <c r="O182" s="75">
        <f t="shared" si="36"/>
        <v>0.0882066810694269</v>
      </c>
      <c r="P182" s="61"/>
    </row>
    <row r="183" spans="1:16">
      <c r="A183" s="76" t="s">
        <v>239</v>
      </c>
      <c r="B183" s="77">
        <v>9969</v>
      </c>
      <c r="C183" s="77">
        <v>7604</v>
      </c>
      <c r="D183" s="77">
        <v>15230</v>
      </c>
      <c r="E183" s="77">
        <v>30205</v>
      </c>
      <c r="F183" s="77">
        <v>27214</v>
      </c>
      <c r="G183" s="77">
        <v>18151</v>
      </c>
      <c r="H183" s="77">
        <v>9928</v>
      </c>
      <c r="I183" s="77">
        <v>18126</v>
      </c>
      <c r="J183" s="77">
        <v>23998</v>
      </c>
      <c r="K183" s="77">
        <v>26015</v>
      </c>
      <c r="L183" s="77">
        <v>28914</v>
      </c>
      <c r="M183" s="77">
        <v>21046</v>
      </c>
      <c r="N183" s="68">
        <f t="shared" si="35"/>
        <v>236400</v>
      </c>
      <c r="O183" s="75">
        <f t="shared" si="36"/>
        <v>0.605214911387248</v>
      </c>
      <c r="P183" s="61"/>
    </row>
    <row r="184" spans="1:16">
      <c r="A184" s="47" t="s">
        <v>226</v>
      </c>
      <c r="B184" s="47" t="s">
        <v>51</v>
      </c>
      <c r="C184" s="47" t="s">
        <v>52</v>
      </c>
      <c r="D184" s="47" t="s">
        <v>53</v>
      </c>
      <c r="E184" s="47" t="s">
        <v>54</v>
      </c>
      <c r="F184" s="47" t="s">
        <v>55</v>
      </c>
      <c r="G184" s="47" t="s">
        <v>56</v>
      </c>
      <c r="H184" s="47" t="s">
        <v>57</v>
      </c>
      <c r="I184" s="47" t="s">
        <v>58</v>
      </c>
      <c r="J184" s="47" t="s">
        <v>59</v>
      </c>
      <c r="K184" s="47" t="s">
        <v>60</v>
      </c>
      <c r="L184" s="47" t="s">
        <v>61</v>
      </c>
      <c r="M184" s="47" t="s">
        <v>62</v>
      </c>
      <c r="N184" s="47" t="s">
        <v>63</v>
      </c>
      <c r="O184" s="47" t="s">
        <v>69</v>
      </c>
      <c r="P184" s="61"/>
    </row>
    <row r="185" spans="1:16">
      <c r="A185" s="68" t="s">
        <v>235</v>
      </c>
      <c r="B185" s="29">
        <v>63238</v>
      </c>
      <c r="C185" s="29">
        <v>30688</v>
      </c>
      <c r="D185" s="69">
        <f>D186+D187</f>
        <v>78800</v>
      </c>
      <c r="E185" s="69">
        <v>58459</v>
      </c>
      <c r="F185" s="69"/>
      <c r="G185" s="69"/>
      <c r="H185" s="69"/>
      <c r="I185" s="29"/>
      <c r="J185" s="33"/>
      <c r="K185" s="29"/>
      <c r="L185" s="69"/>
      <c r="M185" s="29"/>
      <c r="N185" s="68"/>
      <c r="O185" s="71"/>
      <c r="P185" s="61"/>
    </row>
    <row r="186" spans="1:16">
      <c r="A186" s="68" t="s">
        <v>236</v>
      </c>
      <c r="B186" s="69">
        <v>29535</v>
      </c>
      <c r="C186" s="72">
        <v>3911</v>
      </c>
      <c r="D186" s="72">
        <v>4701</v>
      </c>
      <c r="E186" s="69">
        <v>29728</v>
      </c>
      <c r="F186" s="69"/>
      <c r="G186" s="69"/>
      <c r="H186" s="69"/>
      <c r="I186" s="69"/>
      <c r="J186" s="69"/>
      <c r="K186" s="69"/>
      <c r="L186" s="69"/>
      <c r="M186" s="69"/>
      <c r="N186" s="68"/>
      <c r="O186" s="73"/>
      <c r="P186" s="61"/>
    </row>
    <row r="187" spans="1:16">
      <c r="A187" s="68" t="s">
        <v>237</v>
      </c>
      <c r="B187" s="69">
        <f>B185-B186</f>
        <v>33703</v>
      </c>
      <c r="C187" s="69">
        <f>C185-C186</f>
        <v>26777</v>
      </c>
      <c r="D187" s="69">
        <v>74099</v>
      </c>
      <c r="E187" s="69">
        <v>28731</v>
      </c>
      <c r="F187" s="69"/>
      <c r="G187" s="69"/>
      <c r="H187" s="69"/>
      <c r="I187" s="69"/>
      <c r="J187" s="69"/>
      <c r="K187" s="69"/>
      <c r="L187" s="69"/>
      <c r="M187" s="68"/>
      <c r="N187" s="68"/>
      <c r="O187" s="73"/>
      <c r="P187" s="61"/>
    </row>
    <row r="188" spans="1:16">
      <c r="A188" s="76" t="s">
        <v>238</v>
      </c>
      <c r="B188" s="77">
        <v>25694</v>
      </c>
      <c r="C188" s="77">
        <v>8006</v>
      </c>
      <c r="D188" s="77">
        <v>48189</v>
      </c>
      <c r="E188" s="77">
        <v>33960</v>
      </c>
      <c r="F188" s="77"/>
      <c r="G188" s="77"/>
      <c r="H188" s="77"/>
      <c r="I188" s="77"/>
      <c r="J188" s="77"/>
      <c r="K188" s="77"/>
      <c r="L188" s="77"/>
      <c r="M188" s="77"/>
      <c r="N188" s="68"/>
      <c r="O188" s="75"/>
      <c r="P188" s="61"/>
    </row>
    <row r="189" spans="1:16">
      <c r="A189" s="76" t="s">
        <v>239</v>
      </c>
      <c r="B189" s="77">
        <v>8009</v>
      </c>
      <c r="C189" s="77">
        <v>18771</v>
      </c>
      <c r="D189" s="77">
        <v>25938</v>
      </c>
      <c r="E189" s="77">
        <v>24499</v>
      </c>
      <c r="F189" s="77"/>
      <c r="G189" s="77"/>
      <c r="H189" s="77"/>
      <c r="I189" s="77"/>
      <c r="J189" s="77"/>
      <c r="K189" s="77"/>
      <c r="L189" s="77"/>
      <c r="M189" s="77"/>
      <c r="N189" s="68"/>
      <c r="O189" s="75"/>
      <c r="P189" s="61"/>
    </row>
    <row r="190" spans="1:16">
      <c r="A190" s="78"/>
      <c r="B190" s="64"/>
      <c r="C190" s="64"/>
      <c r="D190" s="64"/>
      <c r="E190" s="64"/>
      <c r="F190" s="64"/>
      <c r="G190" s="64"/>
      <c r="H190" s="64"/>
      <c r="I190" s="64"/>
      <c r="J190" s="64"/>
      <c r="K190" s="65"/>
      <c r="L190" s="65"/>
      <c r="M190" s="65"/>
      <c r="N190" s="65"/>
      <c r="O190" s="61"/>
      <c r="P190" s="61"/>
    </row>
    <row r="191" spans="1:16">
      <c r="A191" s="78" t="s">
        <v>240</v>
      </c>
      <c r="B191" s="64"/>
      <c r="C191" s="64"/>
      <c r="D191" s="64"/>
      <c r="E191" s="64"/>
      <c r="F191" s="64"/>
      <c r="G191" s="64"/>
      <c r="H191" s="64"/>
      <c r="I191" s="64"/>
      <c r="J191" s="64"/>
      <c r="K191" s="65"/>
      <c r="L191" s="65"/>
      <c r="M191" s="65"/>
      <c r="N191" s="65"/>
      <c r="O191" s="61"/>
      <c r="P191" s="61"/>
    </row>
    <row r="192" spans="1:16">
      <c r="A192" s="79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</row>
    <row r="193" spans="1:16">
      <c r="A193" s="46" t="s">
        <v>241</v>
      </c>
    </row>
    <row r="194" spans="1:16">
      <c r="A194" s="47" t="s">
        <v>242</v>
      </c>
      <c r="B194" s="47" t="s">
        <v>51</v>
      </c>
      <c r="C194" s="47" t="s">
        <v>52</v>
      </c>
      <c r="D194" s="47" t="s">
        <v>53</v>
      </c>
      <c r="E194" s="47" t="s">
        <v>54</v>
      </c>
      <c r="F194" s="47" t="s">
        <v>55</v>
      </c>
      <c r="G194" s="47" t="s">
        <v>56</v>
      </c>
      <c r="H194" s="47" t="s">
        <v>57</v>
      </c>
      <c r="I194" s="47" t="s">
        <v>58</v>
      </c>
      <c r="J194" s="47" t="s">
        <v>59</v>
      </c>
      <c r="K194" s="47" t="s">
        <v>60</v>
      </c>
      <c r="L194" s="47" t="s">
        <v>61</v>
      </c>
      <c r="M194" s="47" t="s">
        <v>62</v>
      </c>
      <c r="N194" s="47" t="s">
        <v>63</v>
      </c>
      <c r="O194" s="47" t="s">
        <v>69</v>
      </c>
    </row>
    <row r="195" spans="1:16">
      <c r="A195" s="48" t="s">
        <v>38</v>
      </c>
      <c r="B195" s="49">
        <v>1730.7</v>
      </c>
      <c r="C195" s="49">
        <v>809.5</v>
      </c>
      <c r="D195" s="49">
        <v>1585.06</v>
      </c>
      <c r="E195" s="49">
        <v>1780.44</v>
      </c>
      <c r="F195" s="49">
        <v>1952</v>
      </c>
      <c r="G195" s="49">
        <v>2818.8</v>
      </c>
      <c r="H195" s="49">
        <v>3366</v>
      </c>
      <c r="I195" s="49">
        <v>3807.9</v>
      </c>
      <c r="J195" s="49">
        <v>4003</v>
      </c>
      <c r="K195" s="49">
        <f>42003-37573</f>
        <v>4430</v>
      </c>
      <c r="L195" s="49">
        <v>6263</v>
      </c>
      <c r="M195" s="49">
        <v>9457</v>
      </c>
      <c r="N195" s="49">
        <f>SUM(B195:M195)</f>
        <v>42003.4</v>
      </c>
      <c r="O195" s="53">
        <v>1.106</v>
      </c>
    </row>
    <row r="196" spans="1:16">
      <c r="A196" s="48" t="s">
        <v>39</v>
      </c>
      <c r="B196" s="49">
        <v>2648</v>
      </c>
      <c r="C196" s="49">
        <v>1619</v>
      </c>
      <c r="D196" s="49">
        <v>3503</v>
      </c>
      <c r="E196" s="49">
        <v>4006</v>
      </c>
      <c r="F196" s="49">
        <v>4100</v>
      </c>
      <c r="G196" s="49">
        <v>4200</v>
      </c>
      <c r="H196" s="49">
        <v>5009</v>
      </c>
      <c r="I196" s="49">
        <v>6245</v>
      </c>
      <c r="J196" s="49">
        <v>7006</v>
      </c>
      <c r="K196" s="49">
        <v>7106</v>
      </c>
      <c r="L196" s="49">
        <v>6531.84</v>
      </c>
      <c r="M196" s="49">
        <v>8059.16</v>
      </c>
      <c r="N196" s="49">
        <f>SUM(B196:M196)</f>
        <v>60033</v>
      </c>
      <c r="O196" s="53">
        <f>(N196-N195)/N195</f>
        <v>0.429241442359428</v>
      </c>
    </row>
    <row r="197" spans="1:16">
      <c r="A197" s="48" t="s">
        <v>41</v>
      </c>
      <c r="B197" s="49">
        <f t="shared" ref="B197:M197" si="39">SUM(B$198:B$201)</f>
        <v>0</v>
      </c>
      <c r="C197" s="49">
        <f t="shared" si="39"/>
        <v>3239</v>
      </c>
      <c r="D197" s="49">
        <f t="shared" si="39"/>
        <v>7013</v>
      </c>
      <c r="E197" s="49">
        <f t="shared" si="39"/>
        <v>8305</v>
      </c>
      <c r="F197" s="49">
        <f t="shared" si="39"/>
        <v>8416</v>
      </c>
      <c r="G197" s="49">
        <f t="shared" si="39"/>
        <v>8536</v>
      </c>
      <c r="H197" s="49">
        <f t="shared" si="39"/>
        <v>10506</v>
      </c>
      <c r="I197" s="49">
        <f t="shared" si="39"/>
        <v>11613</v>
      </c>
      <c r="J197" s="49">
        <f t="shared" si="39"/>
        <v>13572</v>
      </c>
      <c r="K197" s="49">
        <f t="shared" si="39"/>
        <v>12064</v>
      </c>
      <c r="L197" s="49">
        <f t="shared" si="39"/>
        <v>15035</v>
      </c>
      <c r="M197" s="49">
        <f t="shared" si="39"/>
        <v>14500</v>
      </c>
      <c r="N197" s="49">
        <f t="shared" ref="N197:N201" si="40">SUM($B197:$M197)</f>
        <v>112799</v>
      </c>
      <c r="O197" s="53">
        <f>N197/N196-1</f>
        <v>0.878949910882348</v>
      </c>
    </row>
    <row r="198" spans="1:16">
      <c r="A198" s="80" t="s">
        <v>243</v>
      </c>
      <c r="B198" s="68">
        <v>0</v>
      </c>
      <c r="C198" s="68">
        <v>0</v>
      </c>
      <c r="D198" s="68">
        <v>0</v>
      </c>
      <c r="E198" s="68">
        <v>2000</v>
      </c>
      <c r="F198" s="68">
        <v>2203</v>
      </c>
      <c r="G198" s="68">
        <v>2233</v>
      </c>
      <c r="H198" s="68">
        <v>3109</v>
      </c>
      <c r="I198" s="68">
        <v>4124</v>
      </c>
      <c r="J198" s="68">
        <v>5003</v>
      </c>
      <c r="K198" s="68">
        <v>3384</v>
      </c>
      <c r="L198" s="68">
        <v>6032</v>
      </c>
      <c r="M198" s="68">
        <v>6020</v>
      </c>
      <c r="N198" s="68">
        <f t="shared" si="40"/>
        <v>34108</v>
      </c>
      <c r="O198" s="49"/>
    </row>
    <row r="199" spans="1:16">
      <c r="A199" s="80" t="s">
        <v>244</v>
      </c>
      <c r="B199" s="68">
        <v>0</v>
      </c>
      <c r="C199" s="68">
        <v>2724</v>
      </c>
      <c r="D199" s="68">
        <v>5738</v>
      </c>
      <c r="E199" s="68">
        <v>5077</v>
      </c>
      <c r="F199" s="68">
        <v>4905</v>
      </c>
      <c r="G199" s="68">
        <v>5001</v>
      </c>
      <c r="H199" s="68">
        <v>5072</v>
      </c>
      <c r="I199" s="68">
        <v>5238</v>
      </c>
      <c r="J199" s="68">
        <v>7679</v>
      </c>
      <c r="K199" s="68">
        <v>7819</v>
      </c>
      <c r="L199" s="68">
        <v>7465</v>
      </c>
      <c r="M199" s="68">
        <v>6409</v>
      </c>
      <c r="N199" s="68">
        <f t="shared" si="40"/>
        <v>63127</v>
      </c>
      <c r="O199" s="49"/>
    </row>
    <row r="200" spans="1:16">
      <c r="A200" s="80" t="s">
        <v>245</v>
      </c>
      <c r="B200" s="68">
        <v>0</v>
      </c>
      <c r="C200" s="68">
        <v>503</v>
      </c>
      <c r="D200" s="68">
        <v>1205</v>
      </c>
      <c r="E200" s="68">
        <v>1153</v>
      </c>
      <c r="F200" s="68">
        <v>1256</v>
      </c>
      <c r="G200" s="68">
        <v>1265</v>
      </c>
      <c r="H200" s="68">
        <v>2183</v>
      </c>
      <c r="I200" s="68">
        <v>2154</v>
      </c>
      <c r="J200" s="68">
        <v>787</v>
      </c>
      <c r="K200" s="68">
        <v>682</v>
      </c>
      <c r="L200" s="68">
        <v>1422</v>
      </c>
      <c r="M200" s="68">
        <v>2014</v>
      </c>
      <c r="N200" s="68">
        <f t="shared" si="40"/>
        <v>14624</v>
      </c>
      <c r="O200" s="49"/>
    </row>
    <row r="201" spans="1:16">
      <c r="A201" s="80" t="s">
        <v>246</v>
      </c>
      <c r="B201" s="68">
        <v>0</v>
      </c>
      <c r="C201" s="68">
        <v>12</v>
      </c>
      <c r="D201" s="68">
        <v>70</v>
      </c>
      <c r="E201" s="68">
        <v>75</v>
      </c>
      <c r="F201" s="68">
        <v>52</v>
      </c>
      <c r="G201" s="68">
        <v>37</v>
      </c>
      <c r="H201" s="68">
        <v>142</v>
      </c>
      <c r="I201" s="68">
        <v>97</v>
      </c>
      <c r="J201" s="68">
        <v>103</v>
      </c>
      <c r="K201" s="68">
        <v>179</v>
      </c>
      <c r="L201" s="68">
        <v>116</v>
      </c>
      <c r="M201" s="68">
        <v>57</v>
      </c>
      <c r="N201" s="68">
        <f t="shared" si="40"/>
        <v>940</v>
      </c>
      <c r="O201" s="49"/>
    </row>
    <row r="202" spans="1:16">
      <c r="A202" s="48" t="s">
        <v>43</v>
      </c>
      <c r="B202" s="49">
        <v>16031</v>
      </c>
      <c r="C202" s="49">
        <v>8526</v>
      </c>
      <c r="D202" s="49">
        <v>20317</v>
      </c>
      <c r="E202" s="49">
        <v>10212</v>
      </c>
      <c r="F202" s="49">
        <v>21056</v>
      </c>
      <c r="G202" s="49">
        <v>24109</v>
      </c>
      <c r="H202" s="49">
        <v>25033</v>
      </c>
      <c r="I202" s="49">
        <v>27021</v>
      </c>
      <c r="J202" s="49">
        <v>30016</v>
      </c>
      <c r="K202" s="49">
        <f>SUM(K203:K206)</f>
        <v>30063</v>
      </c>
      <c r="L202" s="49">
        <f>SUM(L203:L206)</f>
        <v>28765</v>
      </c>
      <c r="M202" s="49">
        <v>30007</v>
      </c>
      <c r="N202" s="49">
        <f t="shared" ref="N202:N213" si="41">SUM(B202:M202)</f>
        <v>271156</v>
      </c>
      <c r="O202" s="53">
        <f>N202/N197-1</f>
        <v>1.40388655927801</v>
      </c>
    </row>
    <row r="203" spans="1:16">
      <c r="A203" s="80" t="s">
        <v>243</v>
      </c>
      <c r="B203" s="68">
        <v>6413</v>
      </c>
      <c r="C203" s="68">
        <v>2986</v>
      </c>
      <c r="D203" s="68">
        <v>9501</v>
      </c>
      <c r="E203" s="68">
        <v>6159</v>
      </c>
      <c r="F203" s="68">
        <v>8289</v>
      </c>
      <c r="G203" s="68">
        <v>11801</v>
      </c>
      <c r="H203" s="68">
        <v>12530</v>
      </c>
      <c r="I203" s="68">
        <v>11012</v>
      </c>
      <c r="J203" s="68">
        <v>13408</v>
      </c>
      <c r="K203" s="68">
        <v>12615</v>
      </c>
      <c r="L203" s="68">
        <v>11560</v>
      </c>
      <c r="M203" s="68">
        <v>14311</v>
      </c>
      <c r="N203" s="68">
        <f t="shared" si="41"/>
        <v>120585</v>
      </c>
      <c r="O203" s="49"/>
    </row>
    <row r="204" spans="1:16">
      <c r="A204" s="80" t="s">
        <v>244</v>
      </c>
      <c r="B204" s="68">
        <v>7049</v>
      </c>
      <c r="C204" s="68">
        <v>3380</v>
      </c>
      <c r="D204" s="68">
        <v>6798</v>
      </c>
      <c r="E204" s="68">
        <v>3968</v>
      </c>
      <c r="F204" s="68">
        <v>10503</v>
      </c>
      <c r="G204" s="68">
        <v>8903</v>
      </c>
      <c r="H204" s="68">
        <v>6864</v>
      </c>
      <c r="I204" s="68">
        <v>11683</v>
      </c>
      <c r="J204" s="68">
        <v>13522</v>
      </c>
      <c r="K204" s="68">
        <v>14507</v>
      </c>
      <c r="L204" s="68">
        <v>15323</v>
      </c>
      <c r="M204" s="68">
        <v>13832</v>
      </c>
      <c r="N204" s="68">
        <f t="shared" si="41"/>
        <v>116332</v>
      </c>
      <c r="O204" s="49"/>
    </row>
    <row r="205" spans="1:16">
      <c r="A205" s="80" t="s">
        <v>245</v>
      </c>
      <c r="B205" s="68">
        <v>2230</v>
      </c>
      <c r="C205" s="68">
        <v>2140</v>
      </c>
      <c r="D205" s="68">
        <v>3579</v>
      </c>
      <c r="E205" s="68">
        <v>2362</v>
      </c>
      <c r="F205" s="68">
        <v>1855</v>
      </c>
      <c r="G205" s="68">
        <v>3002</v>
      </c>
      <c r="H205" s="68">
        <v>5028</v>
      </c>
      <c r="I205" s="68">
        <v>3879</v>
      </c>
      <c r="J205" s="68">
        <v>2632</v>
      </c>
      <c r="K205" s="68">
        <v>2671</v>
      </c>
      <c r="L205" s="68">
        <v>1744</v>
      </c>
      <c r="M205" s="68">
        <v>1727</v>
      </c>
      <c r="N205" s="68">
        <f t="shared" si="41"/>
        <v>32849</v>
      </c>
      <c r="O205" s="49"/>
    </row>
    <row r="206" spans="1:16">
      <c r="A206" s="80" t="s">
        <v>246</v>
      </c>
      <c r="B206" s="68">
        <v>339</v>
      </c>
      <c r="C206" s="68">
        <v>20</v>
      </c>
      <c r="D206" s="68">
        <v>439</v>
      </c>
      <c r="E206" s="68">
        <v>324</v>
      </c>
      <c r="F206" s="68">
        <v>409</v>
      </c>
      <c r="G206" s="68">
        <v>403</v>
      </c>
      <c r="H206" s="68">
        <v>611</v>
      </c>
      <c r="I206" s="68">
        <v>447</v>
      </c>
      <c r="J206" s="68">
        <v>454</v>
      </c>
      <c r="K206" s="68">
        <v>270</v>
      </c>
      <c r="L206" s="68">
        <v>138</v>
      </c>
      <c r="M206" s="68">
        <v>137</v>
      </c>
      <c r="N206" s="68">
        <f t="shared" si="41"/>
        <v>3991</v>
      </c>
      <c r="O206" s="49"/>
      <c r="P206" s="81"/>
    </row>
    <row r="207" spans="1:16">
      <c r="A207" s="82" t="s">
        <v>75</v>
      </c>
      <c r="B207" s="83">
        <v>10206</v>
      </c>
      <c r="C207" s="83">
        <v>30086</v>
      </c>
      <c r="D207" s="83">
        <v>40016</v>
      </c>
      <c r="E207" s="83">
        <v>41012</v>
      </c>
      <c r="F207" s="83">
        <v>45003</v>
      </c>
      <c r="G207" s="83">
        <v>45013</v>
      </c>
      <c r="H207" s="83">
        <v>45025</v>
      </c>
      <c r="I207" s="83">
        <v>52057</v>
      </c>
      <c r="J207" s="83">
        <v>51596</v>
      </c>
      <c r="K207" s="83">
        <v>41503</v>
      </c>
      <c r="L207" s="83">
        <v>41567</v>
      </c>
      <c r="M207" s="83">
        <v>45947</v>
      </c>
      <c r="N207" s="68">
        <f t="shared" si="41"/>
        <v>489031</v>
      </c>
      <c r="O207" s="53">
        <f>N207/N202-1</f>
        <v>0.803504255852719</v>
      </c>
    </row>
    <row r="208" spans="1:16">
      <c r="A208" s="84" t="s">
        <v>243</v>
      </c>
      <c r="B208" s="77">
        <v>4792</v>
      </c>
      <c r="C208" s="77">
        <v>12996</v>
      </c>
      <c r="D208" s="77">
        <v>13267</v>
      </c>
      <c r="E208" s="77">
        <v>21065</v>
      </c>
      <c r="F208" s="77">
        <v>19306</v>
      </c>
      <c r="G208" s="77">
        <v>20583</v>
      </c>
      <c r="H208" s="77">
        <v>17861</v>
      </c>
      <c r="I208" s="77">
        <v>26713</v>
      </c>
      <c r="J208" s="77">
        <v>26969</v>
      </c>
      <c r="K208" s="77">
        <v>27132</v>
      </c>
      <c r="L208" s="77">
        <v>22355</v>
      </c>
      <c r="M208" s="77">
        <v>22678</v>
      </c>
      <c r="N208" s="68">
        <f t="shared" si="41"/>
        <v>235717</v>
      </c>
      <c r="O208" s="85"/>
    </row>
    <row r="209" spans="1:16">
      <c r="A209" s="84" t="s">
        <v>244</v>
      </c>
      <c r="B209" s="77">
        <v>5091</v>
      </c>
      <c r="C209" s="77">
        <v>16827</v>
      </c>
      <c r="D209" s="77">
        <v>26392</v>
      </c>
      <c r="E209" s="77">
        <v>19569</v>
      </c>
      <c r="F209" s="77">
        <v>25233</v>
      </c>
      <c r="G209" s="77">
        <v>22487</v>
      </c>
      <c r="H209" s="77">
        <v>22437</v>
      </c>
      <c r="I209" s="77">
        <v>22648</v>
      </c>
      <c r="J209" s="77">
        <v>21546</v>
      </c>
      <c r="K209" s="77">
        <v>11730</v>
      </c>
      <c r="L209" s="77">
        <v>11728</v>
      </c>
      <c r="M209" s="77">
        <v>15216</v>
      </c>
      <c r="N209" s="68">
        <f t="shared" si="41"/>
        <v>220904</v>
      </c>
      <c r="O209" s="85"/>
    </row>
    <row r="210" spans="1:16">
      <c r="A210" s="84" t="s">
        <v>245</v>
      </c>
      <c r="B210" s="77">
        <v>317</v>
      </c>
      <c r="C210" s="77">
        <v>250</v>
      </c>
      <c r="D210" s="77">
        <v>346</v>
      </c>
      <c r="E210" s="77">
        <v>370</v>
      </c>
      <c r="F210" s="77">
        <v>417</v>
      </c>
      <c r="G210" s="77">
        <v>1778</v>
      </c>
      <c r="H210" s="77">
        <v>2679</v>
      </c>
      <c r="I210" s="77">
        <v>1893</v>
      </c>
      <c r="J210" s="77">
        <v>1758</v>
      </c>
      <c r="K210" s="77">
        <v>1837</v>
      </c>
      <c r="L210" s="77">
        <v>4599</v>
      </c>
      <c r="M210" s="77">
        <v>4062</v>
      </c>
      <c r="N210" s="68">
        <f t="shared" si="41"/>
        <v>20306</v>
      </c>
      <c r="O210" s="85"/>
    </row>
    <row r="211" spans="1:16">
      <c r="A211" s="84" t="s">
        <v>246</v>
      </c>
      <c r="B211" s="77">
        <v>6</v>
      </c>
      <c r="C211" s="77">
        <v>13</v>
      </c>
      <c r="D211" s="77">
        <v>11</v>
      </c>
      <c r="E211" s="77">
        <v>8</v>
      </c>
      <c r="F211" s="77">
        <v>47</v>
      </c>
      <c r="G211" s="77">
        <v>56</v>
      </c>
      <c r="H211" s="77">
        <v>45</v>
      </c>
      <c r="I211" s="77">
        <v>93</v>
      </c>
      <c r="J211" s="77">
        <v>90</v>
      </c>
      <c r="K211" s="77">
        <v>126</v>
      </c>
      <c r="L211" s="77">
        <v>122</v>
      </c>
      <c r="M211" s="77">
        <v>0</v>
      </c>
      <c r="N211" s="68">
        <f t="shared" si="41"/>
        <v>617</v>
      </c>
      <c r="O211" s="85"/>
      <c r="P211" s="81"/>
    </row>
    <row r="212" spans="1:16">
      <c r="A212" s="84" t="s">
        <v>247</v>
      </c>
      <c r="B212" s="77">
        <v>0</v>
      </c>
      <c r="C212" s="77">
        <v>0</v>
      </c>
      <c r="D212" s="77">
        <v>0</v>
      </c>
      <c r="E212" s="77">
        <v>0</v>
      </c>
      <c r="F212" s="77">
        <v>0</v>
      </c>
      <c r="G212" s="77">
        <v>108</v>
      </c>
      <c r="H212" s="77">
        <v>2003</v>
      </c>
      <c r="I212" s="77">
        <v>710</v>
      </c>
      <c r="J212" s="77">
        <v>706</v>
      </c>
      <c r="K212" s="77">
        <v>506</v>
      </c>
      <c r="L212" s="77">
        <v>100</v>
      </c>
      <c r="M212" s="77">
        <v>435</v>
      </c>
      <c r="N212" s="68">
        <f t="shared" si="41"/>
        <v>4568</v>
      </c>
      <c r="O212" s="85"/>
      <c r="P212" s="81"/>
    </row>
    <row r="213" spans="1:16">
      <c r="A213" s="77" t="s">
        <v>248</v>
      </c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>
        <v>1910</v>
      </c>
      <c r="M213" s="77">
        <v>1594</v>
      </c>
      <c r="N213" s="68">
        <f t="shared" si="41"/>
        <v>3504</v>
      </c>
      <c r="O213" s="85"/>
      <c r="P213" s="81"/>
    </row>
    <row r="214" spans="1:16">
      <c r="A214" s="82" t="s">
        <v>223</v>
      </c>
      <c r="B214" s="83">
        <v>24947</v>
      </c>
      <c r="C214" s="83">
        <v>16676</v>
      </c>
      <c r="D214" s="83">
        <v>32530</v>
      </c>
      <c r="E214" s="83">
        <v>28113</v>
      </c>
      <c r="F214" s="83">
        <v>40073</v>
      </c>
      <c r="G214" s="83">
        <v>35027</v>
      </c>
      <c r="H214" s="29">
        <v>35238</v>
      </c>
      <c r="I214" s="83">
        <v>35355</v>
      </c>
      <c r="J214" s="83">
        <v>35780</v>
      </c>
      <c r="K214" s="29">
        <v>40052</v>
      </c>
      <c r="L214" s="83">
        <v>42301</v>
      </c>
      <c r="M214" s="29">
        <v>46851</v>
      </c>
      <c r="N214" s="68">
        <f>SUM(B214:F214)</f>
        <v>142339</v>
      </c>
      <c r="O214" s="86">
        <f>N214/SUM(B207:F207)-1</f>
        <v>-0.144201343169616</v>
      </c>
    </row>
    <row r="215" spans="1:16">
      <c r="A215" s="84" t="s">
        <v>243</v>
      </c>
      <c r="B215" s="77">
        <v>10079</v>
      </c>
      <c r="C215" s="77">
        <v>5794</v>
      </c>
      <c r="D215" s="77">
        <v>13007</v>
      </c>
      <c r="E215" s="77">
        <v>11501</v>
      </c>
      <c r="F215" s="77">
        <v>17190</v>
      </c>
      <c r="G215" s="77">
        <v>16670</v>
      </c>
      <c r="H215" s="77">
        <v>16788</v>
      </c>
      <c r="I215" s="77">
        <v>15166</v>
      </c>
      <c r="J215" s="77">
        <v>14612</v>
      </c>
      <c r="K215" s="77">
        <v>13587</v>
      </c>
      <c r="L215" s="77">
        <v>11600</v>
      </c>
      <c r="M215" s="77">
        <v>10509</v>
      </c>
      <c r="N215" s="68">
        <f t="shared" ref="N215:N221" si="42">SUM(B215:M215)</f>
        <v>156503</v>
      </c>
      <c r="O215" s="85"/>
    </row>
    <row r="216" spans="1:16">
      <c r="A216" s="84" t="s">
        <v>244</v>
      </c>
      <c r="B216" s="77">
        <v>9534</v>
      </c>
      <c r="C216" s="77">
        <v>5462</v>
      </c>
      <c r="D216" s="77">
        <v>14758</v>
      </c>
      <c r="E216" s="77">
        <v>11889</v>
      </c>
      <c r="F216" s="77">
        <v>16657</v>
      </c>
      <c r="G216" s="77">
        <v>13788</v>
      </c>
      <c r="H216" s="77">
        <v>13537</v>
      </c>
      <c r="I216" s="77">
        <v>12169</v>
      </c>
      <c r="J216" s="77">
        <v>10963</v>
      </c>
      <c r="K216" s="77">
        <v>9128</v>
      </c>
      <c r="L216" s="77">
        <v>10428</v>
      </c>
      <c r="M216" s="77">
        <v>11508</v>
      </c>
      <c r="N216" s="68">
        <f t="shared" si="42"/>
        <v>139821</v>
      </c>
      <c r="O216" s="85"/>
    </row>
    <row r="217" spans="1:16">
      <c r="A217" s="84" t="s">
        <v>245</v>
      </c>
      <c r="B217" s="77">
        <v>1445</v>
      </c>
      <c r="C217" s="77">
        <v>589</v>
      </c>
      <c r="D217" s="77">
        <v>1377</v>
      </c>
      <c r="E217" s="77">
        <v>1666</v>
      </c>
      <c r="F217" s="77">
        <v>1825</v>
      </c>
      <c r="G217" s="77">
        <v>1680</v>
      </c>
      <c r="H217" s="77">
        <v>1479</v>
      </c>
      <c r="I217" s="77">
        <v>3779</v>
      </c>
      <c r="J217" s="77">
        <v>5724</v>
      </c>
      <c r="K217" s="77">
        <v>7110</v>
      </c>
      <c r="L217" s="77">
        <v>6397</v>
      </c>
      <c r="M217" s="77">
        <v>4812</v>
      </c>
      <c r="N217" s="68">
        <f t="shared" si="42"/>
        <v>37883</v>
      </c>
      <c r="O217" s="85"/>
    </row>
    <row r="218" spans="1:16">
      <c r="A218" s="84" t="s">
        <v>246</v>
      </c>
      <c r="B218" s="77">
        <v>57</v>
      </c>
      <c r="C218" s="77">
        <v>24</v>
      </c>
      <c r="D218" s="77">
        <v>39</v>
      </c>
      <c r="E218" s="77">
        <v>35</v>
      </c>
      <c r="F218" s="77">
        <v>33</v>
      </c>
      <c r="G218" s="77">
        <v>31</v>
      </c>
      <c r="H218" s="77">
        <v>24</v>
      </c>
      <c r="I218" s="77">
        <v>33</v>
      </c>
      <c r="J218" s="77">
        <v>33</v>
      </c>
      <c r="K218" s="77">
        <v>25</v>
      </c>
      <c r="L218" s="77">
        <v>107</v>
      </c>
      <c r="M218" s="77">
        <v>94</v>
      </c>
      <c r="N218" s="68">
        <f t="shared" si="42"/>
        <v>535</v>
      </c>
      <c r="O218" s="85"/>
      <c r="P218" s="81"/>
    </row>
    <row r="219" spans="1:16">
      <c r="A219" s="84" t="s">
        <v>249</v>
      </c>
      <c r="B219" s="77"/>
      <c r="C219" s="77"/>
      <c r="D219" s="77"/>
      <c r="E219" s="77"/>
      <c r="F219" s="77"/>
      <c r="G219" s="77"/>
      <c r="H219" s="77"/>
      <c r="I219" s="77"/>
      <c r="J219" s="77"/>
      <c r="K219" s="77">
        <v>73</v>
      </c>
      <c r="L219" s="77">
        <v>7319</v>
      </c>
      <c r="M219" s="77">
        <v>7416</v>
      </c>
      <c r="N219" s="68">
        <f t="shared" si="42"/>
        <v>14808</v>
      </c>
      <c r="O219" s="85"/>
      <c r="P219" s="81"/>
    </row>
    <row r="220" spans="1:16">
      <c r="A220" s="84" t="s">
        <v>247</v>
      </c>
      <c r="B220" s="77">
        <v>315</v>
      </c>
      <c r="C220" s="77">
        <v>232</v>
      </c>
      <c r="D220" s="77">
        <v>1025</v>
      </c>
      <c r="E220" s="77">
        <v>584</v>
      </c>
      <c r="F220" s="77">
        <v>522</v>
      </c>
      <c r="G220" s="77">
        <v>399</v>
      </c>
      <c r="H220" s="77">
        <v>336</v>
      </c>
      <c r="I220" s="77">
        <v>345</v>
      </c>
      <c r="J220" s="77">
        <v>346</v>
      </c>
      <c r="K220" s="77">
        <v>852</v>
      </c>
      <c r="L220" s="77">
        <v>960</v>
      </c>
      <c r="M220" s="77">
        <v>773</v>
      </c>
      <c r="N220" s="68">
        <f t="shared" si="42"/>
        <v>6689</v>
      </c>
      <c r="O220" s="85"/>
      <c r="P220" s="81"/>
    </row>
    <row r="221" spans="1:16">
      <c r="A221" s="77" t="s">
        <v>248</v>
      </c>
      <c r="B221" s="77">
        <v>504</v>
      </c>
      <c r="C221" s="77">
        <v>268</v>
      </c>
      <c r="D221" s="77">
        <v>494</v>
      </c>
      <c r="E221" s="77">
        <v>430</v>
      </c>
      <c r="F221" s="77">
        <v>915</v>
      </c>
      <c r="G221" s="77">
        <v>502</v>
      </c>
      <c r="H221" s="77">
        <v>673</v>
      </c>
      <c r="I221" s="77">
        <v>1157</v>
      </c>
      <c r="J221" s="77">
        <v>1454</v>
      </c>
      <c r="K221" s="77">
        <v>1150</v>
      </c>
      <c r="L221" s="77">
        <v>2053</v>
      </c>
      <c r="M221" s="77">
        <v>1037</v>
      </c>
      <c r="N221" s="68">
        <f t="shared" si="42"/>
        <v>10637</v>
      </c>
      <c r="O221" s="85"/>
      <c r="P221" s="81"/>
    </row>
    <row r="222" spans="1:16">
      <c r="A222" s="82" t="s">
        <v>226</v>
      </c>
      <c r="B222" s="29">
        <v>12663</v>
      </c>
      <c r="C222" s="29">
        <v>19080</v>
      </c>
      <c r="D222" s="83">
        <v>17390</v>
      </c>
      <c r="E222" s="83">
        <v>28307</v>
      </c>
      <c r="F222" s="83"/>
      <c r="G222" s="83"/>
      <c r="H222" s="29"/>
      <c r="I222" s="83"/>
      <c r="J222" s="83"/>
      <c r="K222" s="29"/>
      <c r="L222" s="83"/>
      <c r="M222" s="29"/>
      <c r="N222" s="68"/>
      <c r="O222" s="86"/>
    </row>
    <row r="223" spans="1:16">
      <c r="A223" s="84" t="s">
        <v>243</v>
      </c>
      <c r="B223" s="77">
        <v>4851</v>
      </c>
      <c r="C223" s="77">
        <v>6867</v>
      </c>
      <c r="D223" s="77">
        <v>9303</v>
      </c>
      <c r="E223" s="77">
        <v>8057</v>
      </c>
      <c r="F223" s="77"/>
      <c r="G223" s="77"/>
      <c r="H223" s="77"/>
      <c r="I223" s="77"/>
      <c r="J223" s="77"/>
      <c r="K223" s="77"/>
      <c r="L223" s="77"/>
      <c r="M223" s="77"/>
      <c r="N223" s="68"/>
      <c r="O223" s="85"/>
    </row>
    <row r="224" spans="1:16">
      <c r="A224" s="84" t="s">
        <v>244</v>
      </c>
      <c r="B224" s="77">
        <v>3153</v>
      </c>
      <c r="C224" s="77">
        <v>5236</v>
      </c>
      <c r="D224" s="77">
        <v>7532</v>
      </c>
      <c r="E224" s="77">
        <v>4437</v>
      </c>
      <c r="F224" s="77"/>
      <c r="G224" s="77"/>
      <c r="H224" s="77"/>
      <c r="I224" s="77"/>
      <c r="J224" s="77"/>
      <c r="K224" s="77"/>
      <c r="L224" s="77"/>
      <c r="M224" s="77"/>
      <c r="N224" s="68"/>
      <c r="O224" s="85"/>
    </row>
    <row r="225" spans="1:16">
      <c r="A225" s="84" t="s">
        <v>245</v>
      </c>
      <c r="B225" s="77">
        <v>1969</v>
      </c>
      <c r="C225" s="77">
        <v>2590</v>
      </c>
      <c r="D225" s="77">
        <v>3747</v>
      </c>
      <c r="E225" s="77">
        <v>1975</v>
      </c>
      <c r="F225" s="77"/>
      <c r="G225" s="77"/>
      <c r="H225" s="77"/>
      <c r="I225" s="77"/>
      <c r="J225" s="77"/>
      <c r="K225" s="77"/>
      <c r="L225" s="77"/>
      <c r="M225" s="77"/>
      <c r="N225" s="68"/>
      <c r="O225" s="85"/>
    </row>
    <row r="226" spans="1:16">
      <c r="A226" s="84" t="s">
        <v>246</v>
      </c>
      <c r="B226" s="77">
        <v>4</v>
      </c>
      <c r="C226" s="77">
        <v>3</v>
      </c>
      <c r="D226" s="77">
        <v>32</v>
      </c>
      <c r="E226" s="77">
        <v>71</v>
      </c>
      <c r="F226" s="77"/>
      <c r="G226" s="77"/>
      <c r="H226" s="77"/>
      <c r="I226" s="77"/>
      <c r="J226" s="77"/>
      <c r="K226" s="77"/>
      <c r="L226" s="77"/>
      <c r="M226" s="77"/>
      <c r="N226" s="68"/>
      <c r="O226" s="85"/>
      <c r="P226" s="81"/>
    </row>
    <row r="227" spans="1:16">
      <c r="A227" s="84" t="s">
        <v>249</v>
      </c>
      <c r="B227" s="77">
        <v>2686</v>
      </c>
      <c r="C227" s="77">
        <v>4036</v>
      </c>
      <c r="D227" s="77">
        <v>5925</v>
      </c>
      <c r="E227" s="77">
        <v>4023</v>
      </c>
      <c r="F227" s="77"/>
      <c r="G227" s="77"/>
      <c r="H227" s="77"/>
      <c r="I227" s="77"/>
      <c r="J227" s="77"/>
      <c r="K227" s="77"/>
      <c r="L227" s="77"/>
      <c r="M227" s="77"/>
      <c r="N227" s="68"/>
      <c r="O227" s="85"/>
      <c r="P227" s="81"/>
    </row>
    <row r="228" spans="1:16">
      <c r="A228" s="84" t="s">
        <v>250</v>
      </c>
      <c r="B228" s="77"/>
      <c r="C228" s="77">
        <v>348</v>
      </c>
      <c r="D228" s="77">
        <v>4980</v>
      </c>
      <c r="E228" s="77">
        <v>3726</v>
      </c>
      <c r="F228" s="77"/>
      <c r="G228" s="77"/>
      <c r="H228" s="77"/>
      <c r="I228" s="77"/>
      <c r="J228" s="77"/>
      <c r="K228" s="77"/>
      <c r="L228" s="77"/>
      <c r="M228" s="77"/>
      <c r="N228" s="68"/>
      <c r="O228" s="85"/>
      <c r="P228" s="81"/>
    </row>
    <row r="229" spans="1:16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68"/>
      <c r="O229" s="85"/>
      <c r="P229" s="81"/>
    </row>
    <row r="230" spans="1:16">
      <c r="I230" s="61"/>
      <c r="J230" s="61"/>
      <c r="K230" s="61"/>
      <c r="L230" s="61"/>
      <c r="M230" s="61"/>
      <c r="N230" s="61"/>
      <c r="O230" s="61"/>
      <c r="P230" s="61"/>
    </row>
    <row r="231" spans="1:16">
      <c r="A231" s="46" t="s">
        <v>251</v>
      </c>
      <c r="B231" s="49"/>
      <c r="C231" s="49"/>
      <c r="D231" s="49"/>
      <c r="E231" s="46"/>
      <c r="F231" s="49"/>
      <c r="G231" s="49"/>
      <c r="H231" s="46"/>
      <c r="I231" s="49"/>
      <c r="J231" s="46"/>
      <c r="K231" s="49"/>
      <c r="L231" s="49"/>
      <c r="M231" s="46"/>
      <c r="N231" s="49"/>
      <c r="O231" s="49"/>
      <c r="P231" s="61"/>
    </row>
    <row r="232" spans="1:16">
      <c r="A232" s="47" t="s">
        <v>192</v>
      </c>
      <c r="B232" s="47" t="s">
        <v>51</v>
      </c>
      <c r="C232" s="47" t="s">
        <v>52</v>
      </c>
      <c r="D232" s="47" t="s">
        <v>53</v>
      </c>
      <c r="E232" s="47" t="s">
        <v>54</v>
      </c>
      <c r="F232" s="47" t="s">
        <v>55</v>
      </c>
      <c r="G232" s="47" t="s">
        <v>56</v>
      </c>
      <c r="H232" s="47" t="s">
        <v>57</v>
      </c>
      <c r="I232" s="47" t="s">
        <v>58</v>
      </c>
      <c r="J232" s="47" t="s">
        <v>59</v>
      </c>
      <c r="K232" s="47" t="s">
        <v>60</v>
      </c>
      <c r="L232" s="47" t="s">
        <v>61</v>
      </c>
      <c r="M232" s="47" t="s">
        <v>62</v>
      </c>
      <c r="N232" s="47" t="s">
        <v>63</v>
      </c>
      <c r="O232" s="47" t="s">
        <v>69</v>
      </c>
      <c r="P232" s="61"/>
    </row>
    <row r="233" spans="1:16">
      <c r="A233" s="48" t="s">
        <v>38</v>
      </c>
      <c r="B233" s="49">
        <v>1805</v>
      </c>
      <c r="C233" s="49">
        <v>811</v>
      </c>
      <c r="D233" s="49">
        <v>1373</v>
      </c>
      <c r="E233" s="49">
        <v>1124</v>
      </c>
      <c r="F233" s="49">
        <v>1089</v>
      </c>
      <c r="G233" s="49">
        <v>1340</v>
      </c>
      <c r="H233" s="49">
        <v>837</v>
      </c>
      <c r="I233" s="49">
        <v>1943</v>
      </c>
      <c r="J233" s="49">
        <v>2019</v>
      </c>
      <c r="K233" s="49">
        <v>2526</v>
      </c>
      <c r="L233" s="49">
        <v>2528</v>
      </c>
      <c r="M233" s="49">
        <v>3170</v>
      </c>
      <c r="N233" s="49">
        <f t="shared" ref="N233:N253" si="43">SUM(B233:M233)</f>
        <v>20565</v>
      </c>
      <c r="O233" s="53"/>
    </row>
    <row r="234" spans="1:16">
      <c r="A234" s="48" t="s">
        <v>39</v>
      </c>
      <c r="B234" s="49">
        <v>1598</v>
      </c>
      <c r="C234" s="49">
        <v>707</v>
      </c>
      <c r="D234" s="49">
        <v>1533</v>
      </c>
      <c r="E234" s="49">
        <v>3155</v>
      </c>
      <c r="F234" s="49">
        <v>3436</v>
      </c>
      <c r="G234" s="49">
        <v>3740</v>
      </c>
      <c r="H234" s="49">
        <v>3533</v>
      </c>
      <c r="I234" s="49">
        <v>3965</v>
      </c>
      <c r="J234" s="49">
        <v>4708</v>
      </c>
      <c r="K234" s="49">
        <v>5055</v>
      </c>
      <c r="L234" s="49">
        <v>5291</v>
      </c>
      <c r="M234" s="49">
        <v>7007</v>
      </c>
      <c r="N234" s="49">
        <f t="shared" si="43"/>
        <v>43728</v>
      </c>
      <c r="O234" s="53">
        <f>N234/N233-1</f>
        <v>1.12633114514953</v>
      </c>
    </row>
    <row r="235" spans="1:16">
      <c r="A235" s="48" t="s">
        <v>41</v>
      </c>
      <c r="B235" s="49">
        <v>7225</v>
      </c>
      <c r="C235" s="49">
        <v>5578</v>
      </c>
      <c r="D235" s="49">
        <v>7257</v>
      </c>
      <c r="E235" s="49">
        <v>7102</v>
      </c>
      <c r="F235" s="49">
        <v>6711</v>
      </c>
      <c r="G235" s="49">
        <v>8083</v>
      </c>
      <c r="H235" s="49">
        <v>7931</v>
      </c>
      <c r="I235" s="49">
        <v>5880</v>
      </c>
      <c r="J235" s="49">
        <v>10628</v>
      </c>
      <c r="K235" s="49">
        <v>3667</v>
      </c>
      <c r="L235" s="49">
        <v>10878</v>
      </c>
      <c r="M235" s="49">
        <v>10489</v>
      </c>
      <c r="N235" s="49">
        <f t="shared" si="43"/>
        <v>91429</v>
      </c>
      <c r="O235" s="53">
        <f>N235/N234-1</f>
        <v>1.09085711672155</v>
      </c>
    </row>
    <row r="236" spans="1:16">
      <c r="A236" s="69" t="s">
        <v>252</v>
      </c>
      <c r="B236" s="69">
        <v>1660</v>
      </c>
      <c r="C236" s="69">
        <v>1327</v>
      </c>
      <c r="D236" s="69">
        <v>1529</v>
      </c>
      <c r="E236" s="69">
        <v>1523</v>
      </c>
      <c r="F236" s="69">
        <v>1412</v>
      </c>
      <c r="G236" s="69">
        <v>1498</v>
      </c>
      <c r="H236" s="69">
        <v>1702</v>
      </c>
      <c r="I236" s="69">
        <v>1738</v>
      </c>
      <c r="J236" s="69">
        <v>1978</v>
      </c>
      <c r="K236" s="69">
        <v>218</v>
      </c>
      <c r="L236" s="69">
        <v>2683</v>
      </c>
      <c r="M236" s="69">
        <v>2782</v>
      </c>
      <c r="N236" s="69">
        <f t="shared" si="43"/>
        <v>20050</v>
      </c>
      <c r="O236" s="87"/>
    </row>
    <row r="237" spans="1:16">
      <c r="A237" s="69" t="s">
        <v>253</v>
      </c>
      <c r="B237" s="69">
        <v>2845</v>
      </c>
      <c r="C237" s="69">
        <v>2035</v>
      </c>
      <c r="D237" s="69">
        <v>2576</v>
      </c>
      <c r="E237" s="69">
        <v>2416</v>
      </c>
      <c r="F237" s="69">
        <v>2282</v>
      </c>
      <c r="G237" s="69">
        <v>2830</v>
      </c>
      <c r="H237" s="69">
        <v>2560</v>
      </c>
      <c r="I237" s="69">
        <v>1800</v>
      </c>
      <c r="J237" s="69">
        <v>3390</v>
      </c>
      <c r="K237" s="69">
        <v>921</v>
      </c>
      <c r="L237" s="69">
        <v>3482</v>
      </c>
      <c r="M237" s="69">
        <v>2768</v>
      </c>
      <c r="N237" s="69">
        <f t="shared" si="43"/>
        <v>29905</v>
      </c>
      <c r="O237" s="87"/>
    </row>
    <row r="238" spans="1:16">
      <c r="A238" s="69" t="s">
        <v>254</v>
      </c>
      <c r="B238" s="69">
        <v>2720</v>
      </c>
      <c r="C238" s="69">
        <v>2216</v>
      </c>
      <c r="D238" s="69">
        <v>3152</v>
      </c>
      <c r="E238" s="69">
        <v>3163</v>
      </c>
      <c r="F238" s="69">
        <v>3017</v>
      </c>
      <c r="G238" s="69">
        <v>3755</v>
      </c>
      <c r="H238" s="69">
        <v>3669</v>
      </c>
      <c r="I238" s="69">
        <v>2342</v>
      </c>
      <c r="J238" s="69">
        <v>5260</v>
      </c>
      <c r="K238" s="69">
        <v>2528</v>
      </c>
      <c r="L238" s="69">
        <v>4713</v>
      </c>
      <c r="M238" s="69">
        <v>4939</v>
      </c>
      <c r="N238" s="69">
        <f t="shared" si="43"/>
        <v>41474</v>
      </c>
      <c r="O238" s="87"/>
    </row>
    <row r="239" spans="1:16">
      <c r="A239" s="48" t="s">
        <v>43</v>
      </c>
      <c r="B239" s="49">
        <v>9652</v>
      </c>
      <c r="C239" s="49">
        <v>6131</v>
      </c>
      <c r="D239" s="49">
        <v>9985</v>
      </c>
      <c r="E239" s="49">
        <v>5074</v>
      </c>
      <c r="F239" s="49">
        <v>7024</v>
      </c>
      <c r="G239" s="49">
        <v>12961</v>
      </c>
      <c r="H239" s="49">
        <v>10052</v>
      </c>
      <c r="I239" s="49">
        <v>10677</v>
      </c>
      <c r="J239" s="49">
        <v>10878</v>
      </c>
      <c r="K239" s="49">
        <v>10059</v>
      </c>
      <c r="L239" s="49">
        <f>SUM(L240:L245)</f>
        <v>14178</v>
      </c>
      <c r="M239" s="49">
        <v>15815</v>
      </c>
      <c r="N239" s="49">
        <f t="shared" si="43"/>
        <v>122486</v>
      </c>
      <c r="O239" s="53">
        <f>N239/N235-1</f>
        <v>0.339684345229632</v>
      </c>
    </row>
    <row r="240" spans="1:16">
      <c r="A240" s="69" t="s">
        <v>252</v>
      </c>
      <c r="B240" s="69">
        <v>1531</v>
      </c>
      <c r="C240" s="69">
        <v>1084</v>
      </c>
      <c r="D240" s="69">
        <v>1726</v>
      </c>
      <c r="E240" s="69">
        <v>1251</v>
      </c>
      <c r="F240" s="69">
        <v>746</v>
      </c>
      <c r="G240" s="69">
        <v>1684</v>
      </c>
      <c r="H240" s="69">
        <v>1414</v>
      </c>
      <c r="I240" s="69">
        <v>1552</v>
      </c>
      <c r="J240" s="69">
        <v>1412</v>
      </c>
      <c r="K240" s="69">
        <v>737</v>
      </c>
      <c r="L240" s="69">
        <v>705</v>
      </c>
      <c r="M240" s="69">
        <v>538</v>
      </c>
      <c r="N240" s="68">
        <f t="shared" si="43"/>
        <v>14380</v>
      </c>
      <c r="O240" s="88"/>
    </row>
    <row r="241" spans="1:15">
      <c r="A241" s="69" t="s">
        <v>253</v>
      </c>
      <c r="B241" s="69">
        <v>5247</v>
      </c>
      <c r="C241" s="69">
        <v>3309</v>
      </c>
      <c r="D241" s="69">
        <v>5064</v>
      </c>
      <c r="E241" s="69">
        <v>1878</v>
      </c>
      <c r="F241" s="69">
        <v>2936</v>
      </c>
      <c r="G241" s="69">
        <v>5100</v>
      </c>
      <c r="H241" s="69">
        <v>4836</v>
      </c>
      <c r="I241" s="69">
        <v>4507</v>
      </c>
      <c r="J241" s="69">
        <v>3507</v>
      </c>
      <c r="K241" s="69">
        <v>1970</v>
      </c>
      <c r="L241" s="69">
        <v>1927</v>
      </c>
      <c r="M241" s="69">
        <v>1731</v>
      </c>
      <c r="N241" s="68">
        <f t="shared" si="43"/>
        <v>42012</v>
      </c>
    </row>
    <row r="242" spans="1:15">
      <c r="A242" s="69" t="s">
        <v>254</v>
      </c>
      <c r="B242" s="69">
        <v>2874</v>
      </c>
      <c r="C242" s="69">
        <v>1738</v>
      </c>
      <c r="D242" s="69">
        <v>3032</v>
      </c>
      <c r="E242" s="69">
        <v>1252</v>
      </c>
      <c r="F242" s="69">
        <v>1635</v>
      </c>
      <c r="G242" s="69">
        <v>1828</v>
      </c>
      <c r="H242" s="69">
        <v>1328</v>
      </c>
      <c r="I242" s="69">
        <v>1094</v>
      </c>
      <c r="J242" s="69">
        <v>915</v>
      </c>
      <c r="K242" s="69">
        <v>460</v>
      </c>
      <c r="L242" s="69">
        <v>501</v>
      </c>
      <c r="M242" s="69">
        <v>419</v>
      </c>
      <c r="N242" s="68">
        <f t="shared" si="43"/>
        <v>17076</v>
      </c>
    </row>
    <row r="243" spans="1:15">
      <c r="A243" s="69" t="s">
        <v>255</v>
      </c>
      <c r="B243" s="69">
        <v>0</v>
      </c>
      <c r="C243" s="69">
        <v>0</v>
      </c>
      <c r="D243" s="69">
        <v>163</v>
      </c>
      <c r="E243" s="69">
        <v>693</v>
      </c>
      <c r="F243" s="69">
        <v>1707</v>
      </c>
      <c r="G243" s="69">
        <v>4349</v>
      </c>
      <c r="H243" s="69">
        <v>2473</v>
      </c>
      <c r="I243" s="69">
        <v>3126</v>
      </c>
      <c r="J243" s="69">
        <v>2928</v>
      </c>
      <c r="K243" s="69">
        <v>3048</v>
      </c>
      <c r="L243" s="69">
        <v>3180</v>
      </c>
      <c r="M243" s="69">
        <v>1379</v>
      </c>
      <c r="N243" s="68">
        <f t="shared" si="43"/>
        <v>23046</v>
      </c>
    </row>
    <row r="244" spans="1:15">
      <c r="A244" s="69" t="s">
        <v>256</v>
      </c>
      <c r="B244" s="69"/>
      <c r="C244" s="69"/>
      <c r="D244" s="69"/>
      <c r="E244" s="69"/>
      <c r="F244" s="69"/>
      <c r="G244" s="69"/>
      <c r="H244" s="69">
        <v>0</v>
      </c>
      <c r="I244" s="69">
        <v>398</v>
      </c>
      <c r="J244" s="69">
        <v>1895</v>
      </c>
      <c r="K244" s="69">
        <v>2814</v>
      </c>
      <c r="L244" s="69">
        <v>4897</v>
      </c>
      <c r="M244" s="69">
        <v>4154</v>
      </c>
      <c r="N244" s="68">
        <f t="shared" si="43"/>
        <v>14158</v>
      </c>
    </row>
    <row r="245" spans="1:15">
      <c r="A245" s="69" t="s">
        <v>257</v>
      </c>
      <c r="B245" s="69"/>
      <c r="C245" s="69"/>
      <c r="D245" s="69"/>
      <c r="E245" s="69"/>
      <c r="F245" s="69"/>
      <c r="G245" s="69"/>
      <c r="H245" s="69"/>
      <c r="I245" s="69"/>
      <c r="J245" s="69">
        <v>221</v>
      </c>
      <c r="K245" s="69">
        <v>1030</v>
      </c>
      <c r="L245" s="69">
        <v>2968</v>
      </c>
      <c r="M245" s="69">
        <v>7594</v>
      </c>
      <c r="N245" s="68">
        <f t="shared" si="43"/>
        <v>11813</v>
      </c>
    </row>
    <row r="246" spans="1:15">
      <c r="A246" s="48" t="s">
        <v>75</v>
      </c>
      <c r="B246" s="49">
        <v>8506</v>
      </c>
      <c r="C246" s="49">
        <v>12157</v>
      </c>
      <c r="D246" s="49">
        <v>10378</v>
      </c>
      <c r="E246" s="49">
        <v>6658</v>
      </c>
      <c r="F246" s="49">
        <v>6155</v>
      </c>
      <c r="G246" s="49">
        <v>10707</v>
      </c>
      <c r="H246" s="49">
        <v>20462</v>
      </c>
      <c r="I246" s="49">
        <v>19329</v>
      </c>
      <c r="J246" s="49">
        <v>15641</v>
      </c>
      <c r="K246" s="29">
        <v>16074</v>
      </c>
      <c r="L246" s="49">
        <v>15959</v>
      </c>
      <c r="M246" s="49">
        <v>18012</v>
      </c>
      <c r="N246" s="68">
        <f t="shared" si="43"/>
        <v>160038</v>
      </c>
      <c r="O246" s="53">
        <f>N246/N239-1</f>
        <v>0.306581976715706</v>
      </c>
    </row>
    <row r="247" spans="1:15">
      <c r="A247" s="89" t="s">
        <v>252</v>
      </c>
      <c r="B247" s="89">
        <v>178</v>
      </c>
      <c r="C247" s="89">
        <v>395</v>
      </c>
      <c r="D247" s="89">
        <v>346</v>
      </c>
      <c r="E247" s="89">
        <v>439</v>
      </c>
      <c r="F247" s="89">
        <v>274</v>
      </c>
      <c r="G247" s="89">
        <v>588</v>
      </c>
      <c r="H247" s="89">
        <v>1917</v>
      </c>
      <c r="I247" s="89">
        <v>2369</v>
      </c>
      <c r="J247" s="89">
        <v>2139</v>
      </c>
      <c r="K247" s="89">
        <v>2251</v>
      </c>
      <c r="L247" s="89">
        <v>1658</v>
      </c>
      <c r="M247" s="89">
        <v>1584</v>
      </c>
      <c r="N247" s="68">
        <f t="shared" si="43"/>
        <v>14138</v>
      </c>
      <c r="O247" s="88"/>
    </row>
    <row r="248" spans="1:15">
      <c r="A248" s="89" t="s">
        <v>253</v>
      </c>
      <c r="B248" s="89">
        <v>872</v>
      </c>
      <c r="C248" s="89">
        <v>2848</v>
      </c>
      <c r="D248" s="89">
        <v>853</v>
      </c>
      <c r="E248" s="89">
        <v>174</v>
      </c>
      <c r="F248" s="89">
        <v>1016</v>
      </c>
      <c r="G248" s="89">
        <v>4677</v>
      </c>
      <c r="H248" s="89">
        <v>11118</v>
      </c>
      <c r="I248" s="89">
        <v>8601</v>
      </c>
      <c r="J248" s="89">
        <v>7896</v>
      </c>
      <c r="K248" s="89">
        <v>5875</v>
      </c>
      <c r="L248" s="89">
        <v>5666</v>
      </c>
      <c r="M248" s="89">
        <v>6943</v>
      </c>
      <c r="N248" s="68">
        <f t="shared" si="43"/>
        <v>56539</v>
      </c>
    </row>
    <row r="249" spans="1:15">
      <c r="A249" s="89" t="s">
        <v>254</v>
      </c>
      <c r="B249" s="89">
        <v>179</v>
      </c>
      <c r="C249" s="89">
        <v>852</v>
      </c>
      <c r="D249" s="89">
        <v>734</v>
      </c>
      <c r="E249" s="89">
        <v>94</v>
      </c>
      <c r="F249" s="89">
        <v>16</v>
      </c>
      <c r="G249" s="89">
        <v>22</v>
      </c>
      <c r="H249" s="89">
        <v>18</v>
      </c>
      <c r="I249" s="89">
        <v>228</v>
      </c>
      <c r="J249" s="89">
        <v>1006</v>
      </c>
      <c r="K249" s="89">
        <v>2549</v>
      </c>
      <c r="L249" s="89">
        <v>2739</v>
      </c>
      <c r="M249" s="89">
        <v>2887</v>
      </c>
      <c r="N249" s="68">
        <f t="shared" si="43"/>
        <v>11324</v>
      </c>
    </row>
    <row r="250" spans="1:15">
      <c r="A250" s="89" t="s">
        <v>255</v>
      </c>
      <c r="B250" s="89">
        <v>521</v>
      </c>
      <c r="C250" s="89">
        <v>649</v>
      </c>
      <c r="D250" s="89">
        <v>738</v>
      </c>
      <c r="E250" s="89">
        <v>652</v>
      </c>
      <c r="F250" s="89">
        <v>535</v>
      </c>
      <c r="G250" s="89">
        <v>506</v>
      </c>
      <c r="H250" s="89">
        <v>397</v>
      </c>
      <c r="I250" s="89">
        <v>349</v>
      </c>
      <c r="J250" s="89">
        <v>245</v>
      </c>
      <c r="K250" s="89">
        <v>332</v>
      </c>
      <c r="L250" s="89">
        <v>253</v>
      </c>
      <c r="M250" s="89">
        <v>466</v>
      </c>
      <c r="N250" s="68">
        <f t="shared" si="43"/>
        <v>5643</v>
      </c>
    </row>
    <row r="251" spans="1:15">
      <c r="A251" s="89" t="s">
        <v>256</v>
      </c>
      <c r="B251" s="89">
        <v>961</v>
      </c>
      <c r="C251" s="89">
        <v>942</v>
      </c>
      <c r="D251" s="89">
        <v>1267</v>
      </c>
      <c r="E251" s="89">
        <v>809</v>
      </c>
      <c r="F251" s="89">
        <v>521</v>
      </c>
      <c r="G251" s="89">
        <v>339</v>
      </c>
      <c r="H251" s="89">
        <v>520</v>
      </c>
      <c r="I251" s="89">
        <v>325</v>
      </c>
      <c r="J251" s="89">
        <v>234</v>
      </c>
      <c r="K251" s="89">
        <v>207</v>
      </c>
      <c r="L251" s="89">
        <v>132</v>
      </c>
      <c r="M251" s="89">
        <v>266</v>
      </c>
      <c r="N251" s="68">
        <f t="shared" si="43"/>
        <v>6523</v>
      </c>
    </row>
    <row r="252" spans="1:15">
      <c r="A252" s="89" t="s">
        <v>258</v>
      </c>
      <c r="B252" s="89">
        <v>0</v>
      </c>
      <c r="C252" s="89">
        <v>0</v>
      </c>
      <c r="D252" s="89">
        <v>3</v>
      </c>
      <c r="E252" s="89">
        <v>197</v>
      </c>
      <c r="F252" s="89">
        <v>569</v>
      </c>
      <c r="G252" s="89">
        <v>756</v>
      </c>
      <c r="H252" s="89">
        <v>493</v>
      </c>
      <c r="I252" s="89">
        <v>492</v>
      </c>
      <c r="J252" s="89">
        <v>229</v>
      </c>
      <c r="K252" s="89">
        <v>204</v>
      </c>
      <c r="L252" s="89">
        <v>350</v>
      </c>
      <c r="M252" s="89">
        <v>368</v>
      </c>
      <c r="N252" s="68">
        <f t="shared" si="43"/>
        <v>3661</v>
      </c>
    </row>
    <row r="253" spans="1:15">
      <c r="A253" s="89" t="s">
        <v>257</v>
      </c>
      <c r="B253" s="89">
        <v>5795</v>
      </c>
      <c r="C253" s="89">
        <v>6471</v>
      </c>
      <c r="D253" s="89">
        <v>6427</v>
      </c>
      <c r="E253" s="89">
        <v>4293</v>
      </c>
      <c r="F253" s="89">
        <v>3224</v>
      </c>
      <c r="G253" s="89">
        <v>2479</v>
      </c>
      <c r="H253" s="89">
        <v>2337</v>
      </c>
      <c r="I253" s="89">
        <v>2882</v>
      </c>
      <c r="J253" s="89">
        <v>1299</v>
      </c>
      <c r="K253" s="89">
        <v>1551</v>
      </c>
      <c r="L253" s="89">
        <v>1913</v>
      </c>
      <c r="M253" s="89">
        <v>2167</v>
      </c>
      <c r="N253" s="68">
        <f t="shared" si="43"/>
        <v>40838</v>
      </c>
    </row>
    <row r="254" spans="1:15">
      <c r="A254" s="89" t="s">
        <v>259</v>
      </c>
      <c r="B254" s="89"/>
      <c r="C254" s="89"/>
      <c r="D254" s="89"/>
      <c r="E254" s="89"/>
      <c r="F254" s="89"/>
      <c r="G254" s="89">
        <v>1339</v>
      </c>
      <c r="H254" s="89">
        <v>0</v>
      </c>
      <c r="I254" s="89">
        <v>4083</v>
      </c>
      <c r="J254" s="89">
        <v>2593</v>
      </c>
      <c r="K254" s="90">
        <v>3105</v>
      </c>
      <c r="L254" s="89">
        <v>3248</v>
      </c>
      <c r="M254" s="89">
        <v>3331</v>
      </c>
      <c r="N254" s="68"/>
    </row>
    <row r="255" spans="1:15">
      <c r="A255" s="48" t="s">
        <v>223</v>
      </c>
      <c r="B255" s="49">
        <v>10055</v>
      </c>
      <c r="C255" s="49">
        <v>8132</v>
      </c>
      <c r="D255" s="49">
        <v>11866</v>
      </c>
      <c r="E255" s="49">
        <v>15620</v>
      </c>
      <c r="F255" s="49">
        <v>20544</v>
      </c>
      <c r="G255" s="49">
        <v>21209</v>
      </c>
      <c r="H255" s="29">
        <v>20498</v>
      </c>
      <c r="I255" s="49">
        <v>20176</v>
      </c>
      <c r="J255" s="49">
        <v>21181</v>
      </c>
      <c r="K255" s="29">
        <v>20976</v>
      </c>
      <c r="L255" s="49">
        <v>20575</v>
      </c>
      <c r="M255" s="49">
        <f>SUM(M256:M263)</f>
        <v>20610</v>
      </c>
      <c r="N255" s="68">
        <f t="shared" ref="N255:N263" si="44">SUM(B255:M255)</f>
        <v>211442</v>
      </c>
      <c r="O255" s="86">
        <f>N255/SUM(B246:F246)-1</f>
        <v>3.82149860902084</v>
      </c>
    </row>
    <row r="256" spans="1:15">
      <c r="A256" s="89" t="s">
        <v>252</v>
      </c>
      <c r="B256" s="89">
        <v>615</v>
      </c>
      <c r="C256" s="89">
        <v>414</v>
      </c>
      <c r="D256" s="89">
        <v>802</v>
      </c>
      <c r="E256" s="89">
        <v>773</v>
      </c>
      <c r="F256" s="89">
        <v>937</v>
      </c>
      <c r="G256" s="89">
        <v>882</v>
      </c>
      <c r="H256" s="89">
        <v>822</v>
      </c>
      <c r="I256" s="89">
        <v>857</v>
      </c>
      <c r="J256" s="89">
        <v>766</v>
      </c>
      <c r="K256" s="89">
        <v>747</v>
      </c>
      <c r="L256" s="89">
        <v>572</v>
      </c>
      <c r="M256" s="89">
        <v>1001</v>
      </c>
      <c r="N256" s="68">
        <f t="shared" si="44"/>
        <v>9188</v>
      </c>
      <c r="O256" s="88"/>
    </row>
    <row r="257" spans="1:18">
      <c r="A257" s="89" t="s">
        <v>253</v>
      </c>
      <c r="B257" s="89">
        <v>3944</v>
      </c>
      <c r="C257" s="89">
        <v>2959</v>
      </c>
      <c r="D257" s="89">
        <v>3729</v>
      </c>
      <c r="E257" s="89">
        <v>5527</v>
      </c>
      <c r="F257" s="89">
        <v>8094</v>
      </c>
      <c r="G257" s="89">
        <v>7654</v>
      </c>
      <c r="H257" s="89">
        <v>8112</v>
      </c>
      <c r="I257" s="89">
        <v>7694</v>
      </c>
      <c r="J257" s="89">
        <v>7901</v>
      </c>
      <c r="K257" s="89">
        <v>6471</v>
      </c>
      <c r="L257" s="89">
        <v>5942</v>
      </c>
      <c r="M257" s="89">
        <v>7406</v>
      </c>
      <c r="N257" s="68">
        <f t="shared" si="44"/>
        <v>75433</v>
      </c>
      <c r="R257" s="25" t="s">
        <v>104</v>
      </c>
    </row>
    <row r="258" spans="1:18">
      <c r="A258" s="89" t="s">
        <v>254</v>
      </c>
      <c r="B258" s="89">
        <v>1528</v>
      </c>
      <c r="C258" s="89">
        <v>1209</v>
      </c>
      <c r="D258" s="89">
        <v>1485</v>
      </c>
      <c r="E258" s="89">
        <v>2266</v>
      </c>
      <c r="F258" s="89">
        <v>2732</v>
      </c>
      <c r="G258" s="89">
        <v>2481</v>
      </c>
      <c r="H258" s="89">
        <v>2619</v>
      </c>
      <c r="I258" s="89">
        <v>2499</v>
      </c>
      <c r="J258" s="89">
        <v>2669</v>
      </c>
      <c r="K258" s="89">
        <v>2397</v>
      </c>
      <c r="L258" s="89">
        <v>2354</v>
      </c>
      <c r="M258" s="89">
        <v>2987</v>
      </c>
      <c r="N258" s="68">
        <f t="shared" si="44"/>
        <v>27226</v>
      </c>
      <c r="R258" s="25" t="s">
        <v>105</v>
      </c>
    </row>
    <row r="259" spans="1:18">
      <c r="A259" s="89" t="s">
        <v>255</v>
      </c>
      <c r="B259" s="89">
        <v>210</v>
      </c>
      <c r="C259" s="89">
        <v>135</v>
      </c>
      <c r="D259" s="89">
        <v>713</v>
      </c>
      <c r="E259" s="89">
        <v>93</v>
      </c>
      <c r="F259" s="89">
        <v>1098</v>
      </c>
      <c r="G259" s="89">
        <v>1071</v>
      </c>
      <c r="H259" s="89">
        <v>749</v>
      </c>
      <c r="I259" s="89">
        <v>793</v>
      </c>
      <c r="J259" s="89">
        <v>651</v>
      </c>
      <c r="K259" s="89">
        <v>482</v>
      </c>
      <c r="L259" s="89">
        <v>411</v>
      </c>
      <c r="M259" s="89">
        <v>838</v>
      </c>
      <c r="N259" s="68">
        <f t="shared" si="44"/>
        <v>7244</v>
      </c>
      <c r="R259" s="25" t="s">
        <v>106</v>
      </c>
    </row>
    <row r="260" spans="1:18">
      <c r="A260" s="89" t="s">
        <v>256</v>
      </c>
      <c r="B260" s="89">
        <v>77</v>
      </c>
      <c r="C260" s="89">
        <v>64</v>
      </c>
      <c r="D260" s="89">
        <v>372</v>
      </c>
      <c r="E260" s="89">
        <v>48</v>
      </c>
      <c r="F260" s="89">
        <v>103</v>
      </c>
      <c r="G260" s="89">
        <v>245</v>
      </c>
      <c r="H260" s="89">
        <v>149</v>
      </c>
      <c r="I260" s="89">
        <v>620</v>
      </c>
      <c r="J260" s="89">
        <v>157</v>
      </c>
      <c r="K260" s="89">
        <v>12</v>
      </c>
      <c r="L260" s="89">
        <v>10</v>
      </c>
      <c r="M260" s="89">
        <v>17</v>
      </c>
      <c r="N260" s="68">
        <f t="shared" si="44"/>
        <v>1874</v>
      </c>
    </row>
    <row r="261" spans="1:18">
      <c r="A261" s="89" t="s">
        <v>258</v>
      </c>
      <c r="B261" s="89">
        <v>143</v>
      </c>
      <c r="C261" s="89">
        <v>119</v>
      </c>
      <c r="D261" s="89">
        <v>349</v>
      </c>
      <c r="E261" s="89">
        <v>203</v>
      </c>
      <c r="F261" s="89">
        <v>298</v>
      </c>
      <c r="G261" s="89">
        <v>319</v>
      </c>
      <c r="H261" s="89">
        <v>262</v>
      </c>
      <c r="I261" s="89">
        <v>253</v>
      </c>
      <c r="J261" s="89">
        <v>237</v>
      </c>
      <c r="K261" s="89">
        <v>200</v>
      </c>
      <c r="L261" s="89">
        <v>187</v>
      </c>
      <c r="M261" s="89">
        <v>295</v>
      </c>
      <c r="N261" s="68">
        <f t="shared" si="44"/>
        <v>2865</v>
      </c>
    </row>
    <row r="262" spans="1:18">
      <c r="A262" s="89" t="s">
        <v>257</v>
      </c>
      <c r="B262" s="89">
        <v>1330</v>
      </c>
      <c r="C262" s="89">
        <v>1249</v>
      </c>
      <c r="D262" s="89">
        <v>2214</v>
      </c>
      <c r="E262" s="89">
        <v>2283</v>
      </c>
      <c r="F262" s="89">
        <v>2497</v>
      </c>
      <c r="G262" s="89">
        <v>2979</v>
      </c>
      <c r="H262" s="89">
        <v>2672</v>
      </c>
      <c r="I262" s="89">
        <v>2705</v>
      </c>
      <c r="J262" s="89">
        <v>2378</v>
      </c>
      <c r="K262" s="89">
        <v>2042</v>
      </c>
      <c r="L262" s="89">
        <v>1875</v>
      </c>
      <c r="M262" s="89">
        <v>2286</v>
      </c>
      <c r="N262" s="68">
        <f t="shared" si="44"/>
        <v>26510</v>
      </c>
    </row>
    <row r="263" spans="1:18">
      <c r="A263" s="89" t="s">
        <v>259</v>
      </c>
      <c r="B263" s="89">
        <v>2208</v>
      </c>
      <c r="C263" s="89">
        <v>1983</v>
      </c>
      <c r="D263" s="89">
        <v>2202</v>
      </c>
      <c r="E263" s="89">
        <v>4427</v>
      </c>
      <c r="F263" s="89">
        <v>4785</v>
      </c>
      <c r="G263" s="89">
        <v>5578</v>
      </c>
      <c r="H263" s="89">
        <v>5113</v>
      </c>
      <c r="I263" s="89">
        <v>4755</v>
      </c>
      <c r="J263" s="89">
        <v>5590</v>
      </c>
      <c r="K263" s="89">
        <v>4306</v>
      </c>
      <c r="L263" s="89">
        <v>4142</v>
      </c>
      <c r="M263" s="89">
        <v>5780</v>
      </c>
      <c r="N263" s="68">
        <f t="shared" si="44"/>
        <v>50869</v>
      </c>
    </row>
    <row r="264" spans="1:18">
      <c r="A264" s="48" t="s">
        <v>226</v>
      </c>
      <c r="B264" s="29">
        <v>7951</v>
      </c>
      <c r="C264" s="29">
        <v>9143</v>
      </c>
      <c r="D264" s="49">
        <f>SUM(B256:B263)</f>
        <v>10055</v>
      </c>
      <c r="E264" s="49">
        <v>23900</v>
      </c>
      <c r="F264" s="49"/>
      <c r="G264" s="49"/>
      <c r="H264" s="29"/>
      <c r="I264" s="49"/>
      <c r="J264" s="49"/>
      <c r="K264" s="29"/>
      <c r="L264" s="49"/>
      <c r="M264" s="49"/>
      <c r="N264" s="68"/>
      <c r="O264" s="86"/>
    </row>
    <row r="265" spans="1:18">
      <c r="A265" s="89" t="s">
        <v>252</v>
      </c>
      <c r="B265" s="89">
        <v>446</v>
      </c>
      <c r="C265" s="89">
        <v>479</v>
      </c>
      <c r="D265" s="89">
        <v>514</v>
      </c>
      <c r="E265" s="89">
        <v>539</v>
      </c>
      <c r="F265" s="89"/>
      <c r="G265" s="89"/>
      <c r="H265" s="89"/>
      <c r="I265" s="89"/>
      <c r="J265" s="89"/>
      <c r="K265" s="89"/>
      <c r="L265" s="89"/>
      <c r="M265" s="89"/>
      <c r="N265" s="68"/>
      <c r="O265" s="88"/>
    </row>
    <row r="266" spans="1:18">
      <c r="A266" s="89" t="s">
        <v>253</v>
      </c>
      <c r="B266" s="89">
        <v>2676</v>
      </c>
      <c r="C266" s="89">
        <v>3214</v>
      </c>
      <c r="D266" s="89">
        <v>3260</v>
      </c>
      <c r="E266" s="89">
        <v>6866</v>
      </c>
      <c r="F266" s="89"/>
      <c r="G266" s="89"/>
      <c r="H266" s="89"/>
      <c r="I266" s="89"/>
      <c r="J266" s="89"/>
      <c r="K266" s="89"/>
      <c r="L266" s="89"/>
      <c r="M266" s="89"/>
      <c r="N266" s="68"/>
    </row>
    <row r="267" spans="1:18">
      <c r="A267" s="89" t="s">
        <v>254</v>
      </c>
      <c r="B267" s="89">
        <v>1302</v>
      </c>
      <c r="C267" s="89">
        <v>1478</v>
      </c>
      <c r="D267" s="89">
        <v>1546</v>
      </c>
      <c r="E267" s="89">
        <v>2437</v>
      </c>
      <c r="F267" s="89"/>
      <c r="G267" s="89"/>
      <c r="H267" s="89"/>
      <c r="I267" s="89"/>
      <c r="J267" s="89"/>
      <c r="K267" s="89"/>
      <c r="L267" s="89"/>
      <c r="M267" s="89"/>
      <c r="N267" s="68"/>
    </row>
    <row r="268" spans="1:18">
      <c r="A268" s="89" t="s">
        <v>255</v>
      </c>
      <c r="B268" s="89">
        <v>239</v>
      </c>
      <c r="C268" s="89">
        <v>261</v>
      </c>
      <c r="D268" s="89">
        <v>347</v>
      </c>
      <c r="E268" s="89">
        <v>422</v>
      </c>
      <c r="F268" s="89"/>
      <c r="G268" s="89"/>
      <c r="H268" s="89"/>
      <c r="I268" s="89"/>
      <c r="J268" s="89"/>
      <c r="K268" s="89"/>
      <c r="L268" s="89"/>
      <c r="M268" s="89"/>
      <c r="N268" s="68"/>
    </row>
    <row r="269" spans="1:18">
      <c r="A269" s="89" t="s">
        <v>256</v>
      </c>
      <c r="B269" s="89">
        <v>330</v>
      </c>
      <c r="C269" s="89">
        <v>4</v>
      </c>
      <c r="D269" s="89">
        <v>1</v>
      </c>
      <c r="E269" s="89">
        <v>1</v>
      </c>
      <c r="F269" s="89"/>
      <c r="G269" s="89"/>
      <c r="H269" s="89"/>
      <c r="I269" s="89"/>
      <c r="J269" s="89"/>
      <c r="K269" s="89"/>
      <c r="L269" s="89"/>
      <c r="M269" s="89"/>
      <c r="N269" s="68"/>
    </row>
    <row r="270" spans="1:18">
      <c r="A270" s="89" t="s">
        <v>258</v>
      </c>
      <c r="B270" s="89">
        <v>110</v>
      </c>
      <c r="C270" s="89">
        <v>126</v>
      </c>
      <c r="D270" s="89">
        <v>169</v>
      </c>
      <c r="E270" s="89">
        <v>164</v>
      </c>
      <c r="F270" s="89"/>
      <c r="G270" s="89"/>
      <c r="H270" s="89"/>
      <c r="I270" s="89"/>
      <c r="J270" s="89"/>
      <c r="K270" s="89"/>
      <c r="L270" s="89"/>
      <c r="M270" s="89"/>
      <c r="N270" s="68"/>
    </row>
    <row r="271" spans="1:18">
      <c r="A271" s="89" t="s">
        <v>257</v>
      </c>
      <c r="B271" s="89">
        <v>889</v>
      </c>
      <c r="C271" s="89">
        <v>1055</v>
      </c>
      <c r="D271" s="89">
        <v>1325</v>
      </c>
      <c r="E271" s="89">
        <v>2015</v>
      </c>
      <c r="F271" s="89"/>
      <c r="G271" s="89"/>
      <c r="H271" s="89"/>
      <c r="I271" s="89"/>
      <c r="J271" s="89"/>
      <c r="K271" s="89"/>
      <c r="L271" s="89"/>
      <c r="M271" s="89"/>
      <c r="N271" s="68"/>
    </row>
    <row r="272" spans="1:18">
      <c r="A272" s="89" t="s">
        <v>259</v>
      </c>
      <c r="B272" s="89">
        <v>1959</v>
      </c>
      <c r="C272" s="89">
        <v>2526</v>
      </c>
      <c r="D272" s="89">
        <v>2968</v>
      </c>
      <c r="E272" s="89">
        <v>6015</v>
      </c>
      <c r="F272" s="89"/>
      <c r="G272" s="89"/>
      <c r="H272" s="89"/>
      <c r="I272" s="89"/>
      <c r="J272" s="89"/>
      <c r="K272" s="89"/>
      <c r="L272" s="89"/>
      <c r="M272" s="89"/>
      <c r="N272" s="68"/>
    </row>
    <row r="273" spans="1:16">
      <c r="A273" s="46"/>
      <c r="B273" s="49"/>
      <c r="C273" s="49"/>
      <c r="P273" s="61"/>
    </row>
    <row r="274" spans="1:16">
      <c r="A274" s="46" t="s">
        <v>260</v>
      </c>
      <c r="B274" s="49"/>
      <c r="C274" s="49"/>
      <c r="P274" s="61"/>
    </row>
    <row r="275" spans="1:16">
      <c r="A275" s="47" t="s">
        <v>191</v>
      </c>
      <c r="B275" s="47" t="s">
        <v>51</v>
      </c>
      <c r="C275" s="47" t="s">
        <v>52</v>
      </c>
      <c r="D275" s="47" t="s">
        <v>53</v>
      </c>
      <c r="E275" s="47" t="s">
        <v>54</v>
      </c>
      <c r="F275" s="47" t="s">
        <v>55</v>
      </c>
      <c r="G275" s="47" t="s">
        <v>56</v>
      </c>
      <c r="H275" s="47" t="s">
        <v>57</v>
      </c>
      <c r="I275" s="47" t="s">
        <v>58</v>
      </c>
      <c r="J275" s="47" t="s">
        <v>59</v>
      </c>
      <c r="K275" s="47" t="s">
        <v>60</v>
      </c>
      <c r="L275" s="47" t="s">
        <v>61</v>
      </c>
      <c r="M275" s="47" t="s">
        <v>62</v>
      </c>
      <c r="N275" s="47" t="s">
        <v>63</v>
      </c>
      <c r="O275" s="47" t="s">
        <v>69</v>
      </c>
      <c r="P275" s="61"/>
    </row>
    <row r="276" spans="1:16">
      <c r="A276" s="48" t="s">
        <v>38</v>
      </c>
      <c r="B276" s="49">
        <v>599</v>
      </c>
      <c r="C276" s="49">
        <v>600</v>
      </c>
      <c r="D276" s="49">
        <v>1256</v>
      </c>
      <c r="E276" s="49">
        <v>2200</v>
      </c>
      <c r="F276" s="49">
        <v>2704</v>
      </c>
      <c r="G276" s="49">
        <v>2237</v>
      </c>
      <c r="H276" s="49">
        <v>1515</v>
      </c>
      <c r="I276" s="49">
        <v>306</v>
      </c>
      <c r="J276" s="49">
        <v>2186</v>
      </c>
      <c r="K276" s="49">
        <v>5050</v>
      </c>
      <c r="L276" s="49">
        <v>1016</v>
      </c>
      <c r="M276" s="49">
        <v>1485</v>
      </c>
      <c r="N276" s="49">
        <f t="shared" ref="N276:N301" si="45">SUM(B276:M276)</f>
        <v>21154</v>
      </c>
      <c r="O276" s="49"/>
    </row>
    <row r="277" spans="1:16">
      <c r="A277" s="48" t="s">
        <v>39</v>
      </c>
      <c r="B277" s="49">
        <v>1055</v>
      </c>
      <c r="C277" s="49">
        <v>161</v>
      </c>
      <c r="D277" s="49">
        <v>1055</v>
      </c>
      <c r="E277" s="49">
        <v>1336</v>
      </c>
      <c r="F277" s="49">
        <v>976</v>
      </c>
      <c r="G277" s="49">
        <v>916</v>
      </c>
      <c r="H277" s="49">
        <v>2451</v>
      </c>
      <c r="I277" s="49">
        <v>2649</v>
      </c>
      <c r="J277" s="49">
        <v>3478</v>
      </c>
      <c r="K277" s="49">
        <v>3040</v>
      </c>
      <c r="L277" s="49">
        <v>4224</v>
      </c>
      <c r="M277" s="49">
        <v>5700</v>
      </c>
      <c r="N277" s="49">
        <f t="shared" si="45"/>
        <v>27041</v>
      </c>
      <c r="O277" s="53">
        <f>N277/N276-1</f>
        <v>0.278292521508934</v>
      </c>
    </row>
    <row r="278" spans="1:16">
      <c r="A278" s="48" t="s">
        <v>41</v>
      </c>
      <c r="B278" s="49">
        <v>6015</v>
      </c>
      <c r="C278" s="49">
        <v>2223</v>
      </c>
      <c r="D278" s="49">
        <v>5102</v>
      </c>
      <c r="E278" s="49">
        <v>5147</v>
      </c>
      <c r="F278" s="49">
        <v>5686</v>
      </c>
      <c r="G278" s="49">
        <v>6565</v>
      </c>
      <c r="H278" s="49">
        <v>8040</v>
      </c>
      <c r="I278" s="49">
        <v>7214</v>
      </c>
      <c r="J278" s="49">
        <v>10412</v>
      </c>
      <c r="K278" s="49">
        <v>10138</v>
      </c>
      <c r="L278" s="49">
        <v>15613</v>
      </c>
      <c r="M278" s="49">
        <v>16000</v>
      </c>
      <c r="N278" s="49">
        <f t="shared" si="45"/>
        <v>98155</v>
      </c>
      <c r="O278" s="53">
        <f>N278/N277-1</f>
        <v>2.62985836322621</v>
      </c>
    </row>
    <row r="279" spans="1:16">
      <c r="A279" s="69" t="s">
        <v>261</v>
      </c>
      <c r="B279" s="69">
        <v>3710</v>
      </c>
      <c r="C279" s="69">
        <v>1409</v>
      </c>
      <c r="D279" s="69">
        <v>2855</v>
      </c>
      <c r="E279" s="69">
        <v>2995</v>
      </c>
      <c r="F279" s="69">
        <v>3797</v>
      </c>
      <c r="G279" s="69">
        <v>4730</v>
      </c>
      <c r="H279" s="69">
        <v>6054</v>
      </c>
      <c r="I279" s="69">
        <v>6165</v>
      </c>
      <c r="J279" s="69">
        <v>7512</v>
      </c>
      <c r="K279" s="69">
        <v>6044</v>
      </c>
      <c r="L279" s="69">
        <v>7839</v>
      </c>
      <c r="M279" s="69">
        <v>7459</v>
      </c>
      <c r="N279" s="68">
        <f t="shared" si="45"/>
        <v>60569</v>
      </c>
      <c r="O279" s="87"/>
    </row>
    <row r="280" spans="1:16">
      <c r="A280" s="69" t="s">
        <v>262</v>
      </c>
      <c r="B280" s="69">
        <f t="shared" ref="B280:J280" si="46">B278-B279-B281</f>
        <v>0</v>
      </c>
      <c r="C280" s="69">
        <f t="shared" si="46"/>
        <v>0</v>
      </c>
      <c r="D280" s="69">
        <f t="shared" si="46"/>
        <v>0</v>
      </c>
      <c r="E280" s="69">
        <f t="shared" si="46"/>
        <v>0</v>
      </c>
      <c r="F280" s="69">
        <f t="shared" si="46"/>
        <v>0</v>
      </c>
      <c r="G280" s="69">
        <f t="shared" si="46"/>
        <v>0</v>
      </c>
      <c r="H280" s="69">
        <f t="shared" si="46"/>
        <v>0</v>
      </c>
      <c r="I280" s="69">
        <f t="shared" si="46"/>
        <v>0</v>
      </c>
      <c r="J280" s="69">
        <f t="shared" si="46"/>
        <v>244</v>
      </c>
      <c r="K280" s="69">
        <v>437</v>
      </c>
      <c r="L280" s="69">
        <v>2154</v>
      </c>
      <c r="M280" s="69">
        <v>5030</v>
      </c>
      <c r="N280" s="68">
        <f t="shared" si="45"/>
        <v>7865</v>
      </c>
      <c r="O280" s="87"/>
    </row>
    <row r="281" spans="1:16">
      <c r="A281" s="69" t="s">
        <v>263</v>
      </c>
      <c r="B281" s="69">
        <v>2305</v>
      </c>
      <c r="C281" s="69">
        <v>814</v>
      </c>
      <c r="D281" s="69">
        <v>2247</v>
      </c>
      <c r="E281" s="69">
        <v>2152</v>
      </c>
      <c r="F281" s="69">
        <v>1889</v>
      </c>
      <c r="G281" s="69">
        <v>1835</v>
      </c>
      <c r="H281" s="69">
        <f>H278-H279</f>
        <v>1986</v>
      </c>
      <c r="I281" s="69">
        <v>1049</v>
      </c>
      <c r="J281" s="69">
        <v>2656</v>
      </c>
      <c r="K281" s="69">
        <v>3657</v>
      </c>
      <c r="L281" s="69">
        <v>5620</v>
      </c>
      <c r="M281" s="69">
        <f>M278-M279-M280</f>
        <v>3511</v>
      </c>
      <c r="N281" s="68">
        <f t="shared" si="45"/>
        <v>29721</v>
      </c>
      <c r="O281" s="87"/>
    </row>
    <row r="282" spans="1:16">
      <c r="A282" s="48" t="s">
        <v>43</v>
      </c>
      <c r="B282" s="49">
        <v>12922</v>
      </c>
      <c r="C282" s="49">
        <v>6225</v>
      </c>
      <c r="D282" s="49">
        <v>15414</v>
      </c>
      <c r="E282" s="49">
        <v>9002</v>
      </c>
      <c r="F282" s="49">
        <v>10125</v>
      </c>
      <c r="G282" s="49">
        <v>15295</v>
      </c>
      <c r="H282" s="49">
        <v>11524</v>
      </c>
      <c r="I282" s="49">
        <v>9578</v>
      </c>
      <c r="J282" s="49">
        <v>8468</v>
      </c>
      <c r="K282" s="49">
        <v>5101</v>
      </c>
      <c r="L282" s="49">
        <f>SUM(L283:L286)</f>
        <v>5811</v>
      </c>
      <c r="M282" s="49">
        <v>11292</v>
      </c>
      <c r="N282" s="49">
        <f t="shared" si="45"/>
        <v>120757</v>
      </c>
      <c r="O282" s="53">
        <f>N282/N278-1</f>
        <v>0.230268452957058</v>
      </c>
    </row>
    <row r="283" spans="1:16">
      <c r="A283" s="69" t="s">
        <v>261</v>
      </c>
      <c r="B283" s="69">
        <v>6707</v>
      </c>
      <c r="C283" s="69">
        <v>3537</v>
      </c>
      <c r="D283" s="69">
        <v>9183</v>
      </c>
      <c r="E283" s="69">
        <v>3714</v>
      </c>
      <c r="F283" s="69">
        <v>4224</v>
      </c>
      <c r="G283" s="69">
        <v>8045</v>
      </c>
      <c r="H283" s="69">
        <v>6397</v>
      </c>
      <c r="I283" s="69">
        <v>5745</v>
      </c>
      <c r="J283" s="69">
        <v>4634</v>
      </c>
      <c r="K283" s="69">
        <v>2104</v>
      </c>
      <c r="L283" s="69">
        <v>1807</v>
      </c>
      <c r="M283" s="69">
        <v>2969</v>
      </c>
      <c r="N283" s="68">
        <f t="shared" si="45"/>
        <v>59066</v>
      </c>
      <c r="O283" s="91"/>
    </row>
    <row r="284" spans="1:16">
      <c r="A284" s="69" t="s">
        <v>262</v>
      </c>
      <c r="B284" s="69">
        <v>4029</v>
      </c>
      <c r="C284" s="69">
        <v>2059</v>
      </c>
      <c r="D284" s="69">
        <v>4398</v>
      </c>
      <c r="E284" s="69">
        <v>3564</v>
      </c>
      <c r="F284" s="69">
        <v>3686</v>
      </c>
      <c r="G284" s="69">
        <v>5598</v>
      </c>
      <c r="H284" s="69">
        <v>3608</v>
      </c>
      <c r="I284" s="69">
        <v>2678</v>
      </c>
      <c r="J284" s="69">
        <v>2417</v>
      </c>
      <c r="K284" s="69">
        <v>1665</v>
      </c>
      <c r="L284" s="69">
        <v>1453</v>
      </c>
      <c r="M284" s="69">
        <v>2827</v>
      </c>
      <c r="N284" s="68">
        <f t="shared" si="45"/>
        <v>37982</v>
      </c>
      <c r="O284" s="91"/>
    </row>
    <row r="285" spans="1:16">
      <c r="A285" s="69" t="s">
        <v>264</v>
      </c>
      <c r="B285" s="69">
        <v>2186</v>
      </c>
      <c r="C285" s="69">
        <v>629</v>
      </c>
      <c r="D285" s="69">
        <v>1833</v>
      </c>
      <c r="E285" s="69">
        <v>1724</v>
      </c>
      <c r="F285" s="69">
        <v>2215</v>
      </c>
      <c r="G285" s="69">
        <v>1652</v>
      </c>
      <c r="H285" s="69">
        <v>1519</v>
      </c>
      <c r="I285" s="69">
        <v>1155</v>
      </c>
      <c r="J285" s="69">
        <v>1233</v>
      </c>
      <c r="K285" s="69">
        <v>709</v>
      </c>
      <c r="L285" s="69">
        <v>1005</v>
      </c>
      <c r="M285" s="69">
        <v>1476</v>
      </c>
      <c r="N285" s="68">
        <f t="shared" si="45"/>
        <v>17336</v>
      </c>
      <c r="O285" s="88"/>
    </row>
    <row r="286" spans="1:16">
      <c r="A286" s="69" t="s">
        <v>265</v>
      </c>
      <c r="B286" s="69"/>
      <c r="C286" s="69"/>
      <c r="D286" s="69"/>
      <c r="E286" s="69"/>
      <c r="F286" s="69"/>
      <c r="G286" s="69"/>
      <c r="H286" s="69"/>
      <c r="I286" s="69"/>
      <c r="J286" s="69">
        <v>184</v>
      </c>
      <c r="K286" s="69">
        <v>623</v>
      </c>
      <c r="L286" s="69">
        <v>1546</v>
      </c>
      <c r="M286" s="69">
        <v>4020</v>
      </c>
      <c r="N286" s="68">
        <f t="shared" si="45"/>
        <v>6373</v>
      </c>
      <c r="O286" s="88"/>
    </row>
    <row r="287" spans="1:16">
      <c r="A287" s="48" t="s">
        <v>75</v>
      </c>
      <c r="B287" s="49">
        <v>5218</v>
      </c>
      <c r="C287" s="49">
        <v>6010</v>
      </c>
      <c r="D287" s="49">
        <v>7002</v>
      </c>
      <c r="E287" s="49">
        <v>7079</v>
      </c>
      <c r="F287" s="49">
        <v>7506</v>
      </c>
      <c r="G287" s="49">
        <v>8620</v>
      </c>
      <c r="H287" s="49">
        <v>11008</v>
      </c>
      <c r="I287" s="49">
        <v>13690</v>
      </c>
      <c r="J287" s="49">
        <v>15310</v>
      </c>
      <c r="K287" s="29">
        <v>20002</v>
      </c>
      <c r="L287" s="49">
        <v>20041</v>
      </c>
      <c r="M287" s="49">
        <f>SUM(M288:M292)</f>
        <v>19414</v>
      </c>
      <c r="N287" s="68">
        <f t="shared" si="45"/>
        <v>140900</v>
      </c>
      <c r="O287" s="53">
        <f>N287/N282-1</f>
        <v>0.166806065072832</v>
      </c>
    </row>
    <row r="288" spans="1:16">
      <c r="A288" s="89" t="s">
        <v>261</v>
      </c>
      <c r="B288" s="89">
        <v>1022</v>
      </c>
      <c r="C288" s="89">
        <v>2294</v>
      </c>
      <c r="D288" s="89">
        <v>3030</v>
      </c>
      <c r="E288" s="89">
        <v>4064</v>
      </c>
      <c r="F288" s="89">
        <v>4439</v>
      </c>
      <c r="G288" s="89">
        <v>5196</v>
      </c>
      <c r="H288" s="89">
        <v>4908</v>
      </c>
      <c r="I288" s="89">
        <v>4241</v>
      </c>
      <c r="J288" s="89">
        <v>4666</v>
      </c>
      <c r="K288" s="89">
        <v>4250</v>
      </c>
      <c r="L288" s="89">
        <v>2990</v>
      </c>
      <c r="M288" s="89">
        <v>4271</v>
      </c>
      <c r="N288" s="68">
        <f t="shared" si="45"/>
        <v>45371</v>
      </c>
      <c r="O288" s="91"/>
    </row>
    <row r="289" spans="1:15">
      <c r="A289" s="89" t="s">
        <v>262</v>
      </c>
      <c r="B289" s="89">
        <v>1389</v>
      </c>
      <c r="C289" s="89">
        <v>1890</v>
      </c>
      <c r="D289" s="89">
        <v>2241</v>
      </c>
      <c r="E289" s="89">
        <v>1654</v>
      </c>
      <c r="F289" s="89">
        <v>1704</v>
      </c>
      <c r="G289" s="89">
        <v>1721</v>
      </c>
      <c r="H289" s="89">
        <v>980</v>
      </c>
      <c r="I289" s="89">
        <v>1268</v>
      </c>
      <c r="J289" s="89">
        <v>826</v>
      </c>
      <c r="K289" s="89">
        <v>2005</v>
      </c>
      <c r="L289" s="89">
        <v>2523</v>
      </c>
      <c r="M289" s="89">
        <v>1838</v>
      </c>
      <c r="N289" s="68">
        <f t="shared" si="45"/>
        <v>20039</v>
      </c>
      <c r="O289" s="91"/>
    </row>
    <row r="290" spans="1:15">
      <c r="A290" s="89" t="s">
        <v>264</v>
      </c>
      <c r="B290" s="89">
        <v>558</v>
      </c>
      <c r="C290" s="89">
        <v>866</v>
      </c>
      <c r="D290" s="89">
        <v>759</v>
      </c>
      <c r="E290" s="89">
        <v>436</v>
      </c>
      <c r="F290" s="89">
        <v>358</v>
      </c>
      <c r="G290" s="89">
        <v>434</v>
      </c>
      <c r="H290" s="89">
        <v>311</v>
      </c>
      <c r="I290" s="89">
        <v>497</v>
      </c>
      <c r="J290" s="89">
        <v>296</v>
      </c>
      <c r="K290" s="89">
        <v>363</v>
      </c>
      <c r="L290" s="89" t="s">
        <v>266</v>
      </c>
      <c r="M290" s="89">
        <v>227</v>
      </c>
      <c r="N290" s="68">
        <f t="shared" si="45"/>
        <v>5105</v>
      </c>
      <c r="O290" s="88"/>
    </row>
    <row r="291" spans="1:15">
      <c r="A291" s="89" t="s">
        <v>265</v>
      </c>
      <c r="B291" s="89">
        <v>2249</v>
      </c>
      <c r="C291" s="89">
        <v>960</v>
      </c>
      <c r="D291" s="89">
        <v>972</v>
      </c>
      <c r="E291" s="89">
        <v>925</v>
      </c>
      <c r="F291" s="89">
        <v>1005</v>
      </c>
      <c r="G291" s="89">
        <v>1025</v>
      </c>
      <c r="H291" s="89">
        <v>872</v>
      </c>
      <c r="I291" s="89">
        <v>616</v>
      </c>
      <c r="J291" s="89">
        <v>1390</v>
      </c>
      <c r="K291" s="89">
        <v>4593</v>
      </c>
      <c r="L291" s="89">
        <v>5778</v>
      </c>
      <c r="M291" s="89">
        <v>5405</v>
      </c>
      <c r="N291" s="68">
        <f t="shared" si="45"/>
        <v>25790</v>
      </c>
      <c r="O291" s="88"/>
    </row>
    <row r="292" spans="1:15">
      <c r="A292" s="89" t="s">
        <v>267</v>
      </c>
      <c r="B292" s="89">
        <v>0</v>
      </c>
      <c r="C292" s="89">
        <v>0</v>
      </c>
      <c r="D292" s="89">
        <v>0</v>
      </c>
      <c r="E292" s="89">
        <v>0</v>
      </c>
      <c r="F292" s="89">
        <v>0</v>
      </c>
      <c r="G292" s="89">
        <v>244</v>
      </c>
      <c r="H292" s="89">
        <v>3937</v>
      </c>
      <c r="I292" s="89">
        <v>7068</v>
      </c>
      <c r="J292" s="89">
        <v>8132</v>
      </c>
      <c r="K292" s="89">
        <v>8741</v>
      </c>
      <c r="L292" s="89">
        <v>8750</v>
      </c>
      <c r="M292" s="89">
        <v>7673</v>
      </c>
      <c r="N292" s="68">
        <f t="shared" si="45"/>
        <v>44545</v>
      </c>
      <c r="O292" s="88"/>
    </row>
    <row r="293" spans="1:15">
      <c r="A293" s="48" t="s">
        <v>223</v>
      </c>
      <c r="B293" s="49">
        <v>8250</v>
      </c>
      <c r="C293" s="49">
        <v>4545</v>
      </c>
      <c r="D293" s="49">
        <v>9026</v>
      </c>
      <c r="E293" s="49">
        <v>9393</v>
      </c>
      <c r="F293" s="49">
        <v>10146</v>
      </c>
      <c r="G293" s="83">
        <v>10668</v>
      </c>
      <c r="H293" s="29">
        <v>13003</v>
      </c>
      <c r="I293" s="49">
        <v>14036</v>
      </c>
      <c r="J293" s="49">
        <v>21352</v>
      </c>
      <c r="K293" s="29">
        <v>23917</v>
      </c>
      <c r="L293" s="49">
        <v>30895</v>
      </c>
      <c r="M293" s="49">
        <f>SUM(M294:M301)</f>
        <v>34090</v>
      </c>
      <c r="N293" s="68">
        <f t="shared" si="45"/>
        <v>189321</v>
      </c>
      <c r="O293" s="86">
        <f>N293/SUM(B287:F287)-1</f>
        <v>4.76934328813043</v>
      </c>
    </row>
    <row r="294" spans="1:15">
      <c r="A294" s="89" t="s">
        <v>261</v>
      </c>
      <c r="B294" s="89">
        <v>1783</v>
      </c>
      <c r="C294" s="89">
        <v>836</v>
      </c>
      <c r="D294" s="89">
        <v>1605</v>
      </c>
      <c r="E294" s="89">
        <v>2383</v>
      </c>
      <c r="F294" s="89">
        <v>1473</v>
      </c>
      <c r="G294" s="89">
        <v>1030</v>
      </c>
      <c r="H294" s="89">
        <v>1370</v>
      </c>
      <c r="I294" s="89">
        <v>1280</v>
      </c>
      <c r="J294" s="89">
        <v>1241</v>
      </c>
      <c r="K294" s="89">
        <v>1029</v>
      </c>
      <c r="L294" s="89">
        <v>510</v>
      </c>
      <c r="M294" s="89">
        <v>549</v>
      </c>
      <c r="N294" s="68">
        <f t="shared" si="45"/>
        <v>15089</v>
      </c>
      <c r="O294" s="91"/>
    </row>
    <row r="295" spans="1:15">
      <c r="A295" s="89" t="s">
        <v>268</v>
      </c>
      <c r="B295" s="89"/>
      <c r="C295" s="89"/>
      <c r="D295" s="89"/>
      <c r="E295" s="89"/>
      <c r="F295" s="89"/>
      <c r="G295" s="89"/>
      <c r="H295" s="89"/>
      <c r="I295" s="89"/>
      <c r="J295" s="89"/>
      <c r="K295" s="89">
        <v>522</v>
      </c>
      <c r="L295" s="89">
        <v>6950</v>
      </c>
      <c r="M295" s="89">
        <v>10034</v>
      </c>
      <c r="N295" s="68">
        <f t="shared" si="45"/>
        <v>17506</v>
      </c>
      <c r="O295" s="91"/>
    </row>
    <row r="296" spans="1:15">
      <c r="A296" s="89" t="s">
        <v>262</v>
      </c>
      <c r="B296" s="89">
        <v>377</v>
      </c>
      <c r="C296" s="89">
        <v>213</v>
      </c>
      <c r="D296" s="89">
        <v>575</v>
      </c>
      <c r="E296" s="89">
        <v>626</v>
      </c>
      <c r="F296" s="89">
        <v>613</v>
      </c>
      <c r="G296" s="89">
        <v>283</v>
      </c>
      <c r="H296" s="89">
        <v>457</v>
      </c>
      <c r="I296" s="89">
        <v>864</v>
      </c>
      <c r="J296" s="89">
        <v>109</v>
      </c>
      <c r="K296" s="89">
        <v>602</v>
      </c>
      <c r="L296" s="89">
        <v>9</v>
      </c>
      <c r="M296" s="89">
        <v>2</v>
      </c>
      <c r="N296" s="68">
        <f t="shared" si="45"/>
        <v>4730</v>
      </c>
      <c r="O296" s="91"/>
    </row>
    <row r="297" spans="1:15">
      <c r="A297" s="89" t="s">
        <v>264</v>
      </c>
      <c r="B297" s="89">
        <v>72</v>
      </c>
      <c r="C297" s="89">
        <v>26</v>
      </c>
      <c r="D297" s="89">
        <v>34</v>
      </c>
      <c r="E297" s="89">
        <v>113</v>
      </c>
      <c r="F297" s="89">
        <v>5</v>
      </c>
      <c r="G297" s="89">
        <v>52</v>
      </c>
      <c r="H297" s="89">
        <v>11</v>
      </c>
      <c r="I297" s="89">
        <v>9</v>
      </c>
      <c r="J297" s="89">
        <v>30</v>
      </c>
      <c r="K297" s="89">
        <v>3</v>
      </c>
      <c r="L297" s="89">
        <v>3</v>
      </c>
      <c r="M297" s="89">
        <v>0</v>
      </c>
      <c r="N297" s="68">
        <f t="shared" si="45"/>
        <v>358</v>
      </c>
      <c r="O297" s="88"/>
    </row>
    <row r="298" spans="1:15">
      <c r="A298" s="89" t="s">
        <v>265</v>
      </c>
      <c r="B298" s="89">
        <v>1737</v>
      </c>
      <c r="C298" s="89">
        <v>861</v>
      </c>
      <c r="D298" s="89">
        <v>1393</v>
      </c>
      <c r="E298" s="89">
        <v>2180</v>
      </c>
      <c r="F298" s="89">
        <v>3068</v>
      </c>
      <c r="G298" s="89">
        <v>2190</v>
      </c>
      <c r="H298" s="89">
        <v>3031</v>
      </c>
      <c r="I298" s="89">
        <v>2400</v>
      </c>
      <c r="J298" s="89">
        <v>1752</v>
      </c>
      <c r="K298" s="89">
        <v>1831</v>
      </c>
      <c r="L298" s="89">
        <v>1991</v>
      </c>
      <c r="M298" s="89">
        <v>1861</v>
      </c>
      <c r="N298" s="68">
        <f t="shared" si="45"/>
        <v>24295</v>
      </c>
      <c r="O298" s="88"/>
    </row>
    <row r="299" spans="1:15">
      <c r="A299" s="89" t="s">
        <v>267</v>
      </c>
      <c r="B299" s="89">
        <v>1803</v>
      </c>
      <c r="C299" s="89">
        <v>1161</v>
      </c>
      <c r="D299" s="89">
        <v>1473</v>
      </c>
      <c r="E299" s="89">
        <v>2132</v>
      </c>
      <c r="F299" s="89">
        <v>3362</v>
      </c>
      <c r="G299" s="89">
        <v>5426</v>
      </c>
      <c r="H299" s="89">
        <v>4817</v>
      </c>
      <c r="I299" s="89">
        <v>5028</v>
      </c>
      <c r="J299" s="89">
        <v>4033</v>
      </c>
      <c r="K299" s="89">
        <v>4751</v>
      </c>
      <c r="L299" s="89">
        <v>4431</v>
      </c>
      <c r="M299" s="89">
        <v>4388</v>
      </c>
      <c r="N299" s="68">
        <f t="shared" si="45"/>
        <v>42805</v>
      </c>
      <c r="O299" s="88"/>
    </row>
    <row r="300" spans="1:15">
      <c r="A300" s="89" t="s">
        <v>269</v>
      </c>
      <c r="B300" s="89">
        <v>2478</v>
      </c>
      <c r="C300" s="89">
        <v>1448</v>
      </c>
      <c r="D300" s="89">
        <v>3946</v>
      </c>
      <c r="E300" s="89">
        <v>1959</v>
      </c>
      <c r="F300" s="89">
        <v>1625</v>
      </c>
      <c r="G300" s="89">
        <v>1687</v>
      </c>
      <c r="H300" s="89">
        <v>1459</v>
      </c>
      <c r="I300" s="89">
        <v>1438</v>
      </c>
      <c r="J300" s="89">
        <v>1374</v>
      </c>
      <c r="K300" s="89">
        <v>1376</v>
      </c>
      <c r="L300" s="89">
        <v>1439</v>
      </c>
      <c r="M300" s="89">
        <v>1379</v>
      </c>
      <c r="N300" s="68">
        <f t="shared" si="45"/>
        <v>21608</v>
      </c>
      <c r="O300" s="49"/>
    </row>
    <row r="301" spans="1:15">
      <c r="A301" s="89" t="s">
        <v>270</v>
      </c>
      <c r="B301" s="49"/>
      <c r="C301" s="49"/>
      <c r="D301" s="49"/>
      <c r="E301" s="46"/>
      <c r="F301" s="49"/>
      <c r="G301" s="49"/>
      <c r="H301" s="46"/>
      <c r="I301" s="89">
        <v>517</v>
      </c>
      <c r="J301" s="89">
        <v>10023</v>
      </c>
      <c r="K301" s="89">
        <v>10203</v>
      </c>
      <c r="L301" s="89">
        <v>11960</v>
      </c>
      <c r="M301" s="89">
        <v>15877</v>
      </c>
      <c r="N301" s="68">
        <f t="shared" si="45"/>
        <v>48580</v>
      </c>
      <c r="O301" s="49"/>
    </row>
    <row r="302" spans="1:15">
      <c r="A302" s="48" t="s">
        <v>226</v>
      </c>
      <c r="B302" s="29">
        <v>28342</v>
      </c>
      <c r="C302" s="29">
        <v>27951</v>
      </c>
      <c r="D302" s="49">
        <v>33205</v>
      </c>
      <c r="E302" s="49">
        <v>35045</v>
      </c>
      <c r="F302" s="49"/>
      <c r="G302" s="83"/>
      <c r="H302" s="29"/>
      <c r="I302" s="49"/>
      <c r="J302" s="49"/>
      <c r="K302" s="29"/>
      <c r="L302" s="49"/>
      <c r="M302" s="49"/>
      <c r="N302" s="68"/>
      <c r="O302" s="86"/>
    </row>
    <row r="303" spans="1:15">
      <c r="A303" s="89" t="s">
        <v>261</v>
      </c>
      <c r="B303" s="89">
        <v>243</v>
      </c>
      <c r="C303" s="89">
        <v>210</v>
      </c>
      <c r="D303" s="89">
        <v>168</v>
      </c>
      <c r="E303" s="89">
        <v>208</v>
      </c>
      <c r="F303" s="89"/>
      <c r="G303" s="89"/>
      <c r="H303" s="89"/>
      <c r="I303" s="89"/>
      <c r="J303" s="89"/>
      <c r="K303" s="89"/>
      <c r="L303" s="89"/>
      <c r="M303" s="89"/>
      <c r="N303" s="68"/>
      <c r="O303" s="91"/>
    </row>
    <row r="304" spans="1:15">
      <c r="A304" s="89" t="s">
        <v>268</v>
      </c>
      <c r="B304" s="89">
        <v>8114</v>
      </c>
      <c r="C304" s="89">
        <v>7226</v>
      </c>
      <c r="D304" s="89">
        <v>8545</v>
      </c>
      <c r="E304" s="89">
        <v>7392</v>
      </c>
      <c r="F304" s="89"/>
      <c r="G304" s="89"/>
      <c r="H304" s="89"/>
      <c r="I304" s="89"/>
      <c r="J304" s="89"/>
      <c r="K304" s="89"/>
      <c r="L304" s="89"/>
      <c r="M304" s="89"/>
      <c r="N304" s="68"/>
      <c r="O304" s="91"/>
    </row>
    <row r="305" spans="1:15">
      <c r="A305" s="89" t="s">
        <v>262</v>
      </c>
      <c r="B305" s="89">
        <v>2</v>
      </c>
      <c r="C305" s="89">
        <v>2</v>
      </c>
      <c r="D305" s="89">
        <v>0</v>
      </c>
      <c r="E305" s="89">
        <v>0</v>
      </c>
      <c r="F305" s="89"/>
      <c r="G305" s="89"/>
      <c r="H305" s="89"/>
      <c r="I305" s="89"/>
      <c r="J305" s="89"/>
      <c r="K305" s="89"/>
      <c r="L305" s="89"/>
      <c r="M305" s="89"/>
      <c r="N305" s="68"/>
      <c r="O305" s="91"/>
    </row>
    <row r="306" spans="1:15">
      <c r="A306" s="89" t="s">
        <v>264</v>
      </c>
      <c r="B306" s="89">
        <v>11</v>
      </c>
      <c r="C306" s="89">
        <v>9</v>
      </c>
      <c r="D306" s="89">
        <v>0</v>
      </c>
      <c r="E306" s="89">
        <v>0</v>
      </c>
      <c r="F306" s="89"/>
      <c r="G306" s="89"/>
      <c r="H306" s="89"/>
      <c r="I306" s="89"/>
      <c r="J306" s="89"/>
      <c r="K306" s="89"/>
      <c r="L306" s="89"/>
      <c r="M306" s="89"/>
      <c r="N306" s="68"/>
      <c r="O306" s="88"/>
    </row>
    <row r="307" spans="1:15">
      <c r="A307" s="89" t="s">
        <v>265</v>
      </c>
      <c r="B307" s="89">
        <v>1039</v>
      </c>
      <c r="C307" s="89">
        <v>1261</v>
      </c>
      <c r="D307" s="89">
        <v>1818</v>
      </c>
      <c r="E307" s="89">
        <v>3068</v>
      </c>
      <c r="F307" s="89"/>
      <c r="G307" s="89"/>
      <c r="H307" s="89"/>
      <c r="I307" s="89"/>
      <c r="J307" s="89"/>
      <c r="K307" s="89"/>
      <c r="L307" s="89"/>
      <c r="M307" s="89"/>
      <c r="N307" s="68"/>
      <c r="O307" s="88"/>
    </row>
    <row r="308" spans="1:15">
      <c r="A308" s="89" t="s">
        <v>267</v>
      </c>
      <c r="B308" s="89">
        <v>2918</v>
      </c>
      <c r="C308" s="89">
        <v>3042</v>
      </c>
      <c r="D308" s="89">
        <v>1957</v>
      </c>
      <c r="E308" s="89">
        <v>7783</v>
      </c>
      <c r="F308" s="89"/>
      <c r="G308" s="89"/>
      <c r="H308" s="89"/>
      <c r="I308" s="89"/>
      <c r="J308" s="89"/>
      <c r="K308" s="89"/>
      <c r="L308" s="89"/>
      <c r="M308" s="89"/>
      <c r="N308" s="68"/>
      <c r="O308" s="88"/>
    </row>
    <row r="309" spans="1:15">
      <c r="A309" s="89" t="s">
        <v>269</v>
      </c>
      <c r="B309" s="89">
        <v>801</v>
      </c>
      <c r="C309" s="89">
        <v>900</v>
      </c>
      <c r="D309" s="89">
        <v>1021</v>
      </c>
      <c r="E309" s="89">
        <v>2384</v>
      </c>
      <c r="F309" s="89"/>
      <c r="G309" s="89"/>
      <c r="H309" s="89"/>
      <c r="I309" s="89"/>
      <c r="J309" s="89"/>
      <c r="K309" s="89"/>
      <c r="L309" s="89"/>
      <c r="M309" s="89"/>
      <c r="N309" s="68"/>
      <c r="O309" s="49"/>
    </row>
    <row r="310" spans="1:15">
      <c r="A310" s="89" t="s">
        <v>270</v>
      </c>
      <c r="B310" s="89">
        <v>15225</v>
      </c>
      <c r="C310" s="89">
        <v>15312</v>
      </c>
      <c r="D310" s="89">
        <v>16593</v>
      </c>
      <c r="E310" s="89">
        <v>14210</v>
      </c>
      <c r="F310" s="49"/>
      <c r="G310" s="49"/>
      <c r="H310" s="46"/>
      <c r="I310" s="89"/>
      <c r="J310" s="89"/>
      <c r="K310" s="89"/>
      <c r="L310" s="89"/>
      <c r="M310" s="89"/>
      <c r="N310" s="68"/>
      <c r="O310" s="49"/>
    </row>
    <row r="311" spans="1:15">
      <c r="A311" s="46"/>
      <c r="B311" s="49"/>
      <c r="C311" s="49"/>
      <c r="D311" s="49"/>
      <c r="E311" s="46"/>
      <c r="F311" s="49"/>
      <c r="G311" s="49"/>
      <c r="H311" s="46"/>
      <c r="I311" s="49"/>
      <c r="J311" s="89"/>
      <c r="K311" s="49"/>
      <c r="L311" s="49"/>
      <c r="M311" s="46"/>
      <c r="N311" s="49"/>
      <c r="O311" s="49"/>
    </row>
    <row r="312" spans="1:15">
      <c r="A312" s="46" t="s">
        <v>271</v>
      </c>
      <c r="B312" s="49"/>
      <c r="C312" s="49"/>
      <c r="D312" s="49"/>
      <c r="E312" s="46"/>
      <c r="F312" s="49"/>
      <c r="G312" s="49"/>
      <c r="H312" s="46"/>
      <c r="I312" s="49"/>
      <c r="J312" s="46"/>
      <c r="K312" s="49"/>
      <c r="L312" s="49"/>
      <c r="M312" s="46"/>
      <c r="N312" s="49"/>
      <c r="O312" s="49"/>
    </row>
    <row r="313" spans="1:15">
      <c r="A313" s="47" t="s">
        <v>193</v>
      </c>
      <c r="B313" s="47" t="s">
        <v>51</v>
      </c>
      <c r="C313" s="47" t="s">
        <v>52</v>
      </c>
      <c r="D313" s="47" t="s">
        <v>53</v>
      </c>
      <c r="E313" s="47" t="s">
        <v>54</v>
      </c>
      <c r="F313" s="47" t="s">
        <v>55</v>
      </c>
      <c r="G313" s="47" t="s">
        <v>56</v>
      </c>
      <c r="H313" s="47" t="s">
        <v>57</v>
      </c>
      <c r="I313" s="47" t="s">
        <v>58</v>
      </c>
      <c r="J313" s="47" t="s">
        <v>59</v>
      </c>
      <c r="K313" s="47" t="s">
        <v>60</v>
      </c>
      <c r="L313" s="47" t="s">
        <v>61</v>
      </c>
      <c r="M313" s="47" t="s">
        <v>62</v>
      </c>
      <c r="N313" s="47" t="s">
        <v>63</v>
      </c>
      <c r="O313" s="47" t="s">
        <v>69</v>
      </c>
    </row>
    <row r="314" spans="1:15">
      <c r="A314" s="48" t="s">
        <v>38</v>
      </c>
      <c r="B314" s="49" t="s">
        <v>272</v>
      </c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>
        <v>1000</v>
      </c>
      <c r="N314" s="49">
        <f t="shared" ref="N314:N321" si="47">SUM(B314:M314)</f>
        <v>1000</v>
      </c>
      <c r="O314" s="49"/>
    </row>
    <row r="315" spans="1:15">
      <c r="A315" s="48" t="s">
        <v>39</v>
      </c>
      <c r="B315" s="49">
        <v>1180</v>
      </c>
      <c r="C315" s="49">
        <v>269</v>
      </c>
      <c r="D315" s="49">
        <v>1447</v>
      </c>
      <c r="E315" s="49">
        <v>2622</v>
      </c>
      <c r="F315" s="49">
        <v>2148</v>
      </c>
      <c r="G315" s="49">
        <v>1834</v>
      </c>
      <c r="H315" s="49">
        <v>2445</v>
      </c>
      <c r="I315" s="49">
        <v>2711</v>
      </c>
      <c r="J315" s="49">
        <v>3504</v>
      </c>
      <c r="K315" s="49">
        <v>3692</v>
      </c>
      <c r="L315" s="49">
        <v>4646</v>
      </c>
      <c r="M315" s="49">
        <v>6126</v>
      </c>
      <c r="N315" s="49">
        <f t="shared" si="47"/>
        <v>32624</v>
      </c>
      <c r="O315" s="49"/>
    </row>
    <row r="316" spans="1:15">
      <c r="A316" s="48" t="s">
        <v>41</v>
      </c>
      <c r="B316" s="49">
        <v>5379</v>
      </c>
      <c r="C316" s="49">
        <v>2300</v>
      </c>
      <c r="D316" s="49">
        <v>4900</v>
      </c>
      <c r="E316" s="49">
        <v>5539</v>
      </c>
      <c r="F316" s="49">
        <v>4323</v>
      </c>
      <c r="G316" s="49">
        <v>7713</v>
      </c>
      <c r="H316" s="49">
        <v>8589</v>
      </c>
      <c r="I316" s="49">
        <v>9433</v>
      </c>
      <c r="J316" s="49">
        <v>7094</v>
      </c>
      <c r="K316" s="49">
        <v>7649</v>
      </c>
      <c r="L316" s="49">
        <v>13485</v>
      </c>
      <c r="M316" s="49">
        <v>14087</v>
      </c>
      <c r="N316" s="49">
        <f t="shared" si="47"/>
        <v>90491</v>
      </c>
      <c r="O316" s="53">
        <f>N316/N315-1</f>
        <v>1.7737555174105</v>
      </c>
    </row>
    <row r="317" spans="1:15">
      <c r="A317" s="48" t="s">
        <v>43</v>
      </c>
      <c r="B317" s="49">
        <v>12268</v>
      </c>
      <c r="C317" s="49">
        <v>8414</v>
      </c>
      <c r="D317" s="49">
        <v>11034</v>
      </c>
      <c r="E317" s="49">
        <v>4167</v>
      </c>
      <c r="F317" s="49">
        <v>11496</v>
      </c>
      <c r="G317" s="49">
        <v>13024</v>
      </c>
      <c r="H317" s="49">
        <v>10422</v>
      </c>
      <c r="I317" s="49">
        <v>4751</v>
      </c>
      <c r="J317" s="49">
        <v>11531</v>
      </c>
      <c r="K317" s="49">
        <v>10052</v>
      </c>
      <c r="L317" s="49">
        <f>SUM(L318:L320)</f>
        <v>15034</v>
      </c>
      <c r="M317" s="49">
        <v>21233</v>
      </c>
      <c r="N317" s="49">
        <f t="shared" si="47"/>
        <v>133426</v>
      </c>
      <c r="O317" s="53">
        <f>N317/N316-1</f>
        <v>0.474467074073665</v>
      </c>
    </row>
    <row r="318" spans="1:15">
      <c r="A318" s="69" t="s">
        <v>273</v>
      </c>
      <c r="B318" s="69">
        <v>12268</v>
      </c>
      <c r="C318" s="69">
        <v>8414</v>
      </c>
      <c r="D318" s="69">
        <v>11034</v>
      </c>
      <c r="E318" s="69">
        <v>4167</v>
      </c>
      <c r="F318" s="69">
        <v>11496</v>
      </c>
      <c r="G318" s="69">
        <v>13024</v>
      </c>
      <c r="H318" s="69">
        <v>10422</v>
      </c>
      <c r="I318" s="69">
        <v>4571</v>
      </c>
      <c r="J318" s="69">
        <v>1408</v>
      </c>
      <c r="K318" s="69">
        <v>871</v>
      </c>
      <c r="L318" s="69">
        <v>654</v>
      </c>
      <c r="M318" s="69">
        <v>462</v>
      </c>
      <c r="N318" s="68">
        <f t="shared" si="47"/>
        <v>78791</v>
      </c>
      <c r="O318" s="49"/>
    </row>
    <row r="319" spans="1:15">
      <c r="A319" s="69" t="s">
        <v>274</v>
      </c>
      <c r="B319" s="69"/>
      <c r="C319" s="69"/>
      <c r="D319" s="69"/>
      <c r="E319" s="69"/>
      <c r="F319" s="69"/>
      <c r="G319" s="69"/>
      <c r="H319" s="69"/>
      <c r="I319" s="69"/>
      <c r="J319" s="69">
        <v>10123</v>
      </c>
      <c r="K319" s="69">
        <v>9181</v>
      </c>
      <c r="L319" s="69">
        <v>9087</v>
      </c>
      <c r="M319" s="69">
        <v>10582</v>
      </c>
      <c r="N319" s="68">
        <f t="shared" si="47"/>
        <v>38973</v>
      </c>
      <c r="O319" s="49"/>
    </row>
    <row r="320" spans="1:15">
      <c r="A320" s="69" t="s">
        <v>275</v>
      </c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>
        <v>5293</v>
      </c>
      <c r="M320" s="69">
        <v>10189</v>
      </c>
      <c r="N320" s="68">
        <f t="shared" si="47"/>
        <v>15482</v>
      </c>
    </row>
    <row r="321" spans="1:15">
      <c r="A321" s="48" t="s">
        <v>75</v>
      </c>
      <c r="B321" s="49">
        <v>15141</v>
      </c>
      <c r="C321" s="49">
        <v>16620</v>
      </c>
      <c r="D321" s="49">
        <v>20823</v>
      </c>
      <c r="E321" s="49">
        <v>25681</v>
      </c>
      <c r="F321" s="49">
        <v>28277</v>
      </c>
      <c r="G321" s="49">
        <v>32575</v>
      </c>
      <c r="H321" s="49">
        <v>34134</v>
      </c>
      <c r="I321" s="49">
        <v>34914</v>
      </c>
      <c r="J321" s="49">
        <v>36060</v>
      </c>
      <c r="K321" s="29">
        <v>40422</v>
      </c>
      <c r="L321" s="49">
        <v>41020</v>
      </c>
      <c r="M321" s="49">
        <v>50353</v>
      </c>
      <c r="N321" s="68">
        <f t="shared" si="47"/>
        <v>376020</v>
      </c>
      <c r="O321" s="53">
        <f>N321/N317-1</f>
        <v>1.81819135700688</v>
      </c>
    </row>
    <row r="322" spans="1:15">
      <c r="A322" s="89" t="s">
        <v>273</v>
      </c>
      <c r="B322" s="89">
        <v>1046</v>
      </c>
      <c r="C322" s="89">
        <v>1129</v>
      </c>
      <c r="D322" s="89">
        <v>1066</v>
      </c>
      <c r="E322" s="89">
        <v>2226</v>
      </c>
      <c r="F322" s="89">
        <v>2702</v>
      </c>
      <c r="G322" s="89">
        <v>1399</v>
      </c>
      <c r="H322" s="89">
        <v>5</v>
      </c>
      <c r="I322" s="89">
        <v>2</v>
      </c>
      <c r="J322" s="89">
        <v>1</v>
      </c>
      <c r="K322" s="89" t="s">
        <v>276</v>
      </c>
      <c r="L322" s="89" t="s">
        <v>276</v>
      </c>
      <c r="M322" s="89" t="s">
        <v>276</v>
      </c>
      <c r="N322" s="68">
        <v>9576</v>
      </c>
      <c r="O322" s="49"/>
    </row>
    <row r="323" spans="1:15">
      <c r="A323" s="89" t="s">
        <v>274</v>
      </c>
      <c r="B323" s="89">
        <v>7996</v>
      </c>
      <c r="C323" s="89">
        <v>7299</v>
      </c>
      <c r="D323" s="89">
        <v>5831</v>
      </c>
      <c r="E323" s="89">
        <v>6082</v>
      </c>
      <c r="F323" s="89">
        <v>6852</v>
      </c>
      <c r="G323" s="89">
        <v>8451</v>
      </c>
      <c r="H323" s="89">
        <v>9425</v>
      </c>
      <c r="I323" s="89">
        <v>10933</v>
      </c>
      <c r="J323" s="89">
        <v>11884</v>
      </c>
      <c r="K323" s="89">
        <v>12756</v>
      </c>
      <c r="L323" s="89">
        <v>11955</v>
      </c>
      <c r="M323" s="89">
        <v>14913</v>
      </c>
      <c r="N323" s="68">
        <f t="shared" ref="N323:N331" si="48">SUM(B323:M323)</f>
        <v>114377</v>
      </c>
      <c r="O323" s="49"/>
    </row>
    <row r="324" spans="1:15">
      <c r="A324" s="89" t="s">
        <v>275</v>
      </c>
      <c r="B324" s="89">
        <v>6099</v>
      </c>
      <c r="C324" s="89">
        <v>8192</v>
      </c>
      <c r="D324" s="89">
        <v>6224</v>
      </c>
      <c r="E324" s="89">
        <v>6887</v>
      </c>
      <c r="F324" s="89">
        <v>7604</v>
      </c>
      <c r="G324" s="89">
        <v>9618</v>
      </c>
      <c r="H324" s="89">
        <v>11315</v>
      </c>
      <c r="I324" s="89">
        <v>11227</v>
      </c>
      <c r="J324" s="89">
        <v>11193</v>
      </c>
      <c r="K324" s="89">
        <v>12142</v>
      </c>
      <c r="L324" s="89">
        <v>12476</v>
      </c>
      <c r="M324" s="89">
        <v>15013</v>
      </c>
      <c r="N324" s="68">
        <f t="shared" si="48"/>
        <v>117990</v>
      </c>
    </row>
    <row r="325" spans="1:15">
      <c r="A325" s="89" t="s">
        <v>277</v>
      </c>
      <c r="B325" s="89">
        <v>0</v>
      </c>
      <c r="C325" s="89">
        <v>0</v>
      </c>
      <c r="D325" s="89">
        <v>7702</v>
      </c>
      <c r="E325" s="89">
        <v>10486</v>
      </c>
      <c r="F325" s="89">
        <v>11119</v>
      </c>
      <c r="G325" s="89">
        <v>13107</v>
      </c>
      <c r="H325" s="89">
        <v>13389</v>
      </c>
      <c r="I325" s="89">
        <v>12752</v>
      </c>
      <c r="J325" s="89">
        <v>12982</v>
      </c>
      <c r="K325" s="89">
        <v>15525</v>
      </c>
      <c r="L325" s="89">
        <v>16599</v>
      </c>
      <c r="M325" s="89">
        <v>20428</v>
      </c>
      <c r="N325" s="68">
        <f t="shared" si="48"/>
        <v>134089</v>
      </c>
    </row>
    <row r="326" spans="1:15">
      <c r="A326" s="48" t="s">
        <v>223</v>
      </c>
      <c r="B326" s="49">
        <v>31165</v>
      </c>
      <c r="C326" s="49">
        <v>20251</v>
      </c>
      <c r="D326" s="49">
        <v>28984</v>
      </c>
      <c r="E326" s="49">
        <v>25787</v>
      </c>
      <c r="F326" s="49">
        <v>35020</v>
      </c>
      <c r="G326" s="83">
        <v>47774</v>
      </c>
      <c r="H326" s="29">
        <v>51000</v>
      </c>
      <c r="I326" s="49">
        <v>48122</v>
      </c>
      <c r="J326" s="49">
        <v>53709</v>
      </c>
      <c r="K326" s="29">
        <v>51443</v>
      </c>
      <c r="L326" s="49">
        <v>48750</v>
      </c>
      <c r="M326" s="49">
        <v>58513</v>
      </c>
      <c r="N326" s="68">
        <f t="shared" si="48"/>
        <v>500518</v>
      </c>
      <c r="O326" s="86">
        <f>N326/SUM(B321:H321)-1</f>
        <v>1.888976109806</v>
      </c>
    </row>
    <row r="327" spans="1:15">
      <c r="A327" s="89" t="s">
        <v>274</v>
      </c>
      <c r="B327" s="89">
        <v>8762</v>
      </c>
      <c r="C327" s="89">
        <v>6336</v>
      </c>
      <c r="D327" s="89">
        <v>8595</v>
      </c>
      <c r="E327" s="89">
        <v>6453</v>
      </c>
      <c r="F327" s="89">
        <v>6579</v>
      </c>
      <c r="G327" s="89">
        <v>6841</v>
      </c>
      <c r="H327" s="89">
        <v>7495</v>
      </c>
      <c r="I327" s="89">
        <v>6696</v>
      </c>
      <c r="J327" s="89">
        <v>7597</v>
      </c>
      <c r="K327" s="89">
        <v>6493</v>
      </c>
      <c r="L327" s="89">
        <v>6112</v>
      </c>
      <c r="M327" s="89">
        <v>7751</v>
      </c>
      <c r="N327" s="68">
        <f t="shared" si="48"/>
        <v>85710</v>
      </c>
      <c r="O327" s="49"/>
    </row>
    <row r="328" spans="1:15">
      <c r="A328" s="89" t="s">
        <v>275</v>
      </c>
      <c r="B328" s="89">
        <v>9061</v>
      </c>
      <c r="C328" s="89">
        <v>5457</v>
      </c>
      <c r="D328" s="89">
        <v>6392</v>
      </c>
      <c r="E328" s="89">
        <v>4959</v>
      </c>
      <c r="F328" s="89">
        <v>5322</v>
      </c>
      <c r="G328" s="89">
        <v>5754</v>
      </c>
      <c r="H328" s="89">
        <v>6592</v>
      </c>
      <c r="I328" s="89">
        <v>5476</v>
      </c>
      <c r="J328" s="89">
        <v>7109</v>
      </c>
      <c r="K328" s="89">
        <v>6471</v>
      </c>
      <c r="L328" s="89">
        <v>6383</v>
      </c>
      <c r="M328" s="89">
        <v>8571</v>
      </c>
      <c r="N328" s="68">
        <f t="shared" si="48"/>
        <v>77547</v>
      </c>
    </row>
    <row r="329" spans="1:15">
      <c r="A329" s="89" t="s">
        <v>277</v>
      </c>
      <c r="B329" s="89">
        <v>13343</v>
      </c>
      <c r="C329" s="89">
        <v>8459</v>
      </c>
      <c r="D329" s="89">
        <v>10768</v>
      </c>
      <c r="E329" s="89">
        <v>10477</v>
      </c>
      <c r="F329" s="89">
        <v>9540</v>
      </c>
      <c r="G329" s="89">
        <v>10726</v>
      </c>
      <c r="H329" s="89">
        <v>11403</v>
      </c>
      <c r="I329" s="89">
        <v>10307</v>
      </c>
      <c r="J329" s="89">
        <v>12731</v>
      </c>
      <c r="K329" s="89">
        <v>11841</v>
      </c>
      <c r="L329" s="89">
        <v>11067</v>
      </c>
      <c r="M329" s="89">
        <v>13167</v>
      </c>
      <c r="N329" s="68">
        <f t="shared" si="48"/>
        <v>133829</v>
      </c>
    </row>
    <row r="330" spans="1:15">
      <c r="A330" s="89" t="s">
        <v>278</v>
      </c>
      <c r="B330" s="89">
        <v>0</v>
      </c>
      <c r="C330" s="89">
        <v>0</v>
      </c>
      <c r="D330" s="89">
        <v>0</v>
      </c>
      <c r="E330" s="89">
        <v>2381</v>
      </c>
      <c r="F330" s="89">
        <v>12965</v>
      </c>
      <c r="G330" s="89">
        <v>23864</v>
      </c>
      <c r="H330" s="89">
        <v>24856</v>
      </c>
      <c r="I330" s="89">
        <v>24897</v>
      </c>
      <c r="J330" s="89">
        <v>25393</v>
      </c>
      <c r="K330" s="89">
        <v>25814</v>
      </c>
      <c r="L330" s="89">
        <v>24318</v>
      </c>
      <c r="M330" s="89">
        <v>27769</v>
      </c>
      <c r="N330" s="64">
        <f t="shared" si="48"/>
        <v>192257</v>
      </c>
    </row>
    <row r="331" spans="1:15">
      <c r="A331" s="89" t="s">
        <v>279</v>
      </c>
      <c r="B331" s="89">
        <v>0</v>
      </c>
      <c r="C331" s="89">
        <v>0</v>
      </c>
      <c r="D331" s="89">
        <v>3229</v>
      </c>
      <c r="E331" s="89">
        <v>1145</v>
      </c>
      <c r="F331" s="89">
        <v>614</v>
      </c>
      <c r="G331" s="89">
        <v>589</v>
      </c>
      <c r="H331" s="89">
        <v>654</v>
      </c>
      <c r="I331" s="89">
        <v>746</v>
      </c>
      <c r="J331" s="89">
        <v>879</v>
      </c>
      <c r="K331" s="89">
        <v>824</v>
      </c>
      <c r="L331" s="89">
        <v>863</v>
      </c>
      <c r="M331" s="89">
        <v>1255</v>
      </c>
      <c r="N331" s="64">
        <f t="shared" si="48"/>
        <v>10798</v>
      </c>
    </row>
    <row r="332" spans="1:15">
      <c r="A332" s="48" t="s">
        <v>226</v>
      </c>
      <c r="B332" s="49">
        <v>29927</v>
      </c>
      <c r="C332" s="49">
        <v>26264</v>
      </c>
      <c r="D332" s="49">
        <v>36674</v>
      </c>
      <c r="E332" s="49">
        <v>33939</v>
      </c>
      <c r="F332" s="49"/>
      <c r="G332" s="83"/>
      <c r="H332" s="29"/>
      <c r="I332" s="49"/>
      <c r="J332" s="49"/>
      <c r="K332" s="29"/>
      <c r="L332" s="49"/>
      <c r="M332" s="49"/>
      <c r="N332" s="68"/>
      <c r="O332" s="86"/>
    </row>
    <row r="333" spans="1:15">
      <c r="A333" s="89" t="s">
        <v>274</v>
      </c>
      <c r="B333" s="89">
        <v>4312</v>
      </c>
      <c r="C333" s="89">
        <v>3300</v>
      </c>
      <c r="D333" s="89">
        <v>4579</v>
      </c>
      <c r="E333" s="89">
        <v>3801</v>
      </c>
      <c r="F333" s="89"/>
      <c r="G333" s="89"/>
      <c r="H333" s="89"/>
      <c r="I333" s="89"/>
      <c r="J333" s="89"/>
      <c r="K333" s="89"/>
      <c r="L333" s="89"/>
      <c r="M333" s="89"/>
      <c r="N333" s="68"/>
      <c r="O333" s="49"/>
    </row>
    <row r="334" spans="1:15">
      <c r="A334" s="89" t="s">
        <v>275</v>
      </c>
      <c r="B334" s="89">
        <v>4325</v>
      </c>
      <c r="C334" s="89">
        <v>3340</v>
      </c>
      <c r="D334" s="89">
        <v>5275</v>
      </c>
      <c r="E334" s="89">
        <v>5178</v>
      </c>
      <c r="F334" s="89"/>
      <c r="G334" s="89"/>
      <c r="H334" s="89"/>
      <c r="I334" s="89"/>
      <c r="J334" s="89"/>
      <c r="K334" s="89"/>
      <c r="L334" s="89"/>
      <c r="M334" s="89"/>
      <c r="N334" s="68"/>
    </row>
    <row r="335" spans="1:15">
      <c r="A335" s="89" t="s">
        <v>277</v>
      </c>
      <c r="B335" s="89">
        <v>6493</v>
      </c>
      <c r="C335" s="89">
        <v>5783</v>
      </c>
      <c r="D335" s="89">
        <v>8707</v>
      </c>
      <c r="E335" s="89">
        <v>8102</v>
      </c>
      <c r="F335" s="89"/>
      <c r="G335" s="89"/>
      <c r="H335" s="89"/>
      <c r="I335" s="89"/>
      <c r="J335" s="89"/>
      <c r="K335" s="89"/>
      <c r="L335" s="89"/>
      <c r="M335" s="89"/>
      <c r="N335" s="68"/>
    </row>
    <row r="336" spans="1:15">
      <c r="A336" s="89" t="s">
        <v>278</v>
      </c>
      <c r="B336" s="89">
        <v>13990</v>
      </c>
      <c r="C336" s="89">
        <v>13160</v>
      </c>
      <c r="D336" s="89">
        <v>17197</v>
      </c>
      <c r="E336" s="89">
        <v>16755</v>
      </c>
      <c r="F336" s="89"/>
      <c r="G336" s="89"/>
      <c r="H336" s="89"/>
      <c r="I336" s="89"/>
      <c r="J336" s="89"/>
      <c r="K336" s="89"/>
      <c r="L336" s="89"/>
      <c r="M336" s="89"/>
      <c r="N336" s="64"/>
    </row>
    <row r="337" spans="1:15">
      <c r="A337" s="89" t="s">
        <v>279</v>
      </c>
      <c r="B337" s="89">
        <v>807</v>
      </c>
      <c r="C337" s="89">
        <v>681</v>
      </c>
      <c r="D337" s="89">
        <v>916</v>
      </c>
      <c r="E337" s="89">
        <v>103</v>
      </c>
      <c r="F337" s="89"/>
      <c r="G337" s="89"/>
      <c r="H337" s="89"/>
      <c r="I337" s="89"/>
      <c r="J337" s="89"/>
      <c r="K337" s="89"/>
      <c r="L337" s="89"/>
      <c r="M337" s="89"/>
      <c r="N337" s="64"/>
    </row>
    <row r="338" spans="1:15">
      <c r="A338" s="89" t="s">
        <v>280</v>
      </c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68"/>
    </row>
    <row r="339" spans="1:15">
      <c r="A339" s="89" t="s">
        <v>281</v>
      </c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68"/>
    </row>
    <row r="340" spans="1:15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N340" s="64"/>
    </row>
    <row r="341" spans="1:15">
      <c r="A341" s="46" t="s">
        <v>282</v>
      </c>
    </row>
    <row r="342" spans="1:15">
      <c r="A342" s="92" t="s">
        <v>283</v>
      </c>
      <c r="B342" s="92" t="s">
        <v>51</v>
      </c>
      <c r="C342" s="92" t="s">
        <v>52</v>
      </c>
      <c r="D342" s="92" t="s">
        <v>53</v>
      </c>
      <c r="E342" s="92" t="s">
        <v>54</v>
      </c>
      <c r="F342" s="92" t="s">
        <v>55</v>
      </c>
      <c r="G342" s="92" t="s">
        <v>56</v>
      </c>
      <c r="H342" s="92" t="s">
        <v>57</v>
      </c>
      <c r="I342" s="92" t="s">
        <v>58</v>
      </c>
      <c r="J342" s="92" t="s">
        <v>59</v>
      </c>
      <c r="K342" s="92" t="s">
        <v>60</v>
      </c>
      <c r="L342" s="92" t="s">
        <v>61</v>
      </c>
      <c r="M342" s="92" t="s">
        <v>62</v>
      </c>
      <c r="N342" s="92" t="s">
        <v>63</v>
      </c>
      <c r="O342" s="92" t="s">
        <v>69</v>
      </c>
    </row>
    <row r="343" spans="1:15">
      <c r="A343" s="93" t="s">
        <v>43</v>
      </c>
      <c r="B343" s="49"/>
      <c r="C343" s="94">
        <f t="shared" ref="C343:M343" si="49">SUM(C344:C345)</f>
        <v>0</v>
      </c>
      <c r="D343" s="94">
        <f t="shared" si="49"/>
        <v>3045</v>
      </c>
      <c r="E343" s="94">
        <f t="shared" si="49"/>
        <v>3245</v>
      </c>
      <c r="F343" s="94">
        <f t="shared" si="49"/>
        <v>5033</v>
      </c>
      <c r="G343" s="94">
        <f t="shared" si="49"/>
        <v>7021</v>
      </c>
      <c r="H343" s="94">
        <f t="shared" si="49"/>
        <v>7228</v>
      </c>
      <c r="I343" s="94">
        <f t="shared" si="49"/>
        <v>10040</v>
      </c>
      <c r="J343" s="94">
        <f t="shared" si="49"/>
        <v>10098</v>
      </c>
      <c r="K343" s="94">
        <f t="shared" si="49"/>
        <v>12038</v>
      </c>
      <c r="L343" s="94">
        <f t="shared" si="49"/>
        <v>8277</v>
      </c>
      <c r="M343" s="94">
        <f t="shared" si="49"/>
        <v>10180</v>
      </c>
      <c r="N343" s="49">
        <f t="shared" ref="N343:N352" si="50">SUM(B343:M343)</f>
        <v>76205</v>
      </c>
      <c r="O343" s="95"/>
    </row>
    <row r="344" spans="1:15">
      <c r="A344" s="89" t="s">
        <v>284</v>
      </c>
      <c r="B344" s="94"/>
      <c r="C344" s="94">
        <v>0</v>
      </c>
      <c r="D344" s="94">
        <v>3045</v>
      </c>
      <c r="E344" s="94">
        <v>3245</v>
      </c>
      <c r="F344" s="94">
        <v>5033</v>
      </c>
      <c r="G344" s="94">
        <v>7021</v>
      </c>
      <c r="H344" s="94">
        <v>6128</v>
      </c>
      <c r="I344" s="94">
        <v>7372</v>
      </c>
      <c r="J344" s="94">
        <v>5352</v>
      </c>
      <c r="K344" s="94">
        <v>6812</v>
      </c>
      <c r="L344" s="94">
        <v>4748</v>
      </c>
      <c r="M344" s="94">
        <v>6223</v>
      </c>
      <c r="N344" s="94"/>
      <c r="O344" s="95"/>
    </row>
    <row r="345" spans="1:15">
      <c r="A345" s="89" t="s">
        <v>285</v>
      </c>
      <c r="B345" s="94"/>
      <c r="C345" s="94">
        <v>0</v>
      </c>
      <c r="D345" s="94">
        <v>0</v>
      </c>
      <c r="E345" s="94">
        <v>0</v>
      </c>
      <c r="F345" s="94">
        <v>0</v>
      </c>
      <c r="G345" s="94">
        <v>0</v>
      </c>
      <c r="H345" s="94">
        <v>1100</v>
      </c>
      <c r="I345" s="94">
        <v>2668</v>
      </c>
      <c r="J345" s="94">
        <v>4746</v>
      </c>
      <c r="K345" s="94">
        <v>5226</v>
      </c>
      <c r="L345" s="94">
        <v>3529</v>
      </c>
      <c r="M345" s="94">
        <v>3957</v>
      </c>
      <c r="N345" s="94"/>
      <c r="O345" s="95"/>
    </row>
    <row r="346" spans="1:15">
      <c r="A346" s="93" t="s">
        <v>75</v>
      </c>
      <c r="B346" s="94">
        <f t="shared" ref="B346:M346" si="51">SUM(B347:B348)</f>
        <v>4469</v>
      </c>
      <c r="C346" s="94">
        <f t="shared" si="51"/>
        <v>3521</v>
      </c>
      <c r="D346" s="94">
        <f t="shared" si="51"/>
        <v>3625</v>
      </c>
      <c r="E346" s="94">
        <f t="shared" si="51"/>
        <v>2437</v>
      </c>
      <c r="F346" s="94">
        <f t="shared" si="51"/>
        <v>4083</v>
      </c>
      <c r="G346" s="94">
        <f t="shared" si="51"/>
        <v>5111</v>
      </c>
      <c r="H346" s="94">
        <f t="shared" si="51"/>
        <v>4231</v>
      </c>
      <c r="I346" s="94">
        <f t="shared" si="51"/>
        <v>3222</v>
      </c>
      <c r="J346" s="94">
        <f t="shared" si="51"/>
        <v>6708</v>
      </c>
      <c r="K346" s="94">
        <f t="shared" si="51"/>
        <v>12007</v>
      </c>
      <c r="L346" s="94">
        <f t="shared" si="51"/>
        <v>20114</v>
      </c>
      <c r="M346" s="94">
        <f t="shared" si="51"/>
        <v>30108</v>
      </c>
      <c r="N346" s="49">
        <f t="shared" si="50"/>
        <v>99636</v>
      </c>
      <c r="O346" s="96">
        <f>N346/N343-1</f>
        <v>0.307473262909258</v>
      </c>
    </row>
    <row r="347" spans="1:15">
      <c r="A347" s="89" t="s">
        <v>284</v>
      </c>
      <c r="B347" s="89">
        <v>2732</v>
      </c>
      <c r="C347" s="89">
        <v>2298</v>
      </c>
      <c r="D347" s="89">
        <v>2292</v>
      </c>
      <c r="E347" s="89">
        <v>1609</v>
      </c>
      <c r="F347" s="89">
        <v>3457</v>
      </c>
      <c r="G347" s="89">
        <v>4679</v>
      </c>
      <c r="H347" s="89">
        <v>3462</v>
      </c>
      <c r="I347" s="89">
        <v>2234</v>
      </c>
      <c r="J347" s="89">
        <v>1460</v>
      </c>
      <c r="K347" s="89">
        <v>1460</v>
      </c>
      <c r="L347" s="89">
        <v>3075</v>
      </c>
      <c r="M347" s="89">
        <v>4563</v>
      </c>
      <c r="N347" s="49">
        <f t="shared" si="50"/>
        <v>33321</v>
      </c>
      <c r="O347" s="89"/>
    </row>
    <row r="348" spans="1:15">
      <c r="A348" s="89" t="s">
        <v>285</v>
      </c>
      <c r="B348" s="89">
        <v>1737</v>
      </c>
      <c r="C348" s="89">
        <v>1223</v>
      </c>
      <c r="D348" s="89">
        <v>1333</v>
      </c>
      <c r="E348" s="89">
        <v>828</v>
      </c>
      <c r="F348" s="89">
        <v>626</v>
      </c>
      <c r="G348" s="89">
        <v>432</v>
      </c>
      <c r="H348" s="89">
        <v>769</v>
      </c>
      <c r="I348" s="89">
        <v>988</v>
      </c>
      <c r="J348" s="89">
        <v>5248</v>
      </c>
      <c r="K348" s="89">
        <v>10547</v>
      </c>
      <c r="L348" s="89">
        <v>17039</v>
      </c>
      <c r="M348" s="89">
        <v>25545</v>
      </c>
      <c r="N348" s="49">
        <f t="shared" si="50"/>
        <v>66315</v>
      </c>
      <c r="O348" s="89"/>
    </row>
    <row r="349" spans="1:15">
      <c r="A349" s="93" t="s">
        <v>223</v>
      </c>
      <c r="B349" s="94">
        <f t="shared" ref="B349:M349" si="52">SUM(B350:B352)</f>
        <v>30854</v>
      </c>
      <c r="C349" s="94">
        <f t="shared" si="52"/>
        <v>27240</v>
      </c>
      <c r="D349" s="94">
        <f t="shared" si="52"/>
        <v>24373</v>
      </c>
      <c r="E349" s="94">
        <f t="shared" si="52"/>
        <v>25073</v>
      </c>
      <c r="F349" s="94">
        <f t="shared" si="52"/>
        <v>32226</v>
      </c>
      <c r="G349" s="94">
        <f t="shared" si="52"/>
        <v>33502</v>
      </c>
      <c r="H349" s="94">
        <f t="shared" si="52"/>
        <v>39552</v>
      </c>
      <c r="I349" s="94">
        <f t="shared" si="52"/>
        <v>34916</v>
      </c>
      <c r="J349" s="94">
        <f t="shared" si="52"/>
        <v>35833</v>
      </c>
      <c r="K349" s="94">
        <f t="shared" si="52"/>
        <v>34005</v>
      </c>
      <c r="L349" s="94">
        <f t="shared" si="52"/>
        <v>32327</v>
      </c>
      <c r="M349" s="94">
        <f t="shared" si="52"/>
        <v>30093</v>
      </c>
      <c r="N349" s="49">
        <f t="shared" si="50"/>
        <v>379994</v>
      </c>
      <c r="O349" s="96"/>
    </row>
    <row r="350" spans="1:15">
      <c r="A350" s="89" t="s">
        <v>284</v>
      </c>
      <c r="B350" s="89">
        <v>857</v>
      </c>
      <c r="C350" s="89">
        <v>906</v>
      </c>
      <c r="D350" s="89">
        <v>395</v>
      </c>
      <c r="E350" s="89">
        <v>668</v>
      </c>
      <c r="F350" s="89">
        <v>5583</v>
      </c>
      <c r="G350" s="89">
        <v>6796</v>
      </c>
      <c r="H350" s="89">
        <v>6768</v>
      </c>
      <c r="I350" s="89">
        <v>6696</v>
      </c>
      <c r="J350" s="89">
        <v>2686</v>
      </c>
      <c r="K350" s="89">
        <v>2278</v>
      </c>
      <c r="L350" s="89">
        <v>2503</v>
      </c>
      <c r="M350" s="89">
        <v>1765</v>
      </c>
      <c r="N350" s="49">
        <f t="shared" si="50"/>
        <v>37901</v>
      </c>
      <c r="O350" s="89"/>
    </row>
    <row r="351" spans="1:15">
      <c r="A351" s="89" t="s">
        <v>285</v>
      </c>
      <c r="B351" s="89">
        <v>29997</v>
      </c>
      <c r="C351" s="89">
        <v>21083</v>
      </c>
      <c r="D351" s="89">
        <v>18512</v>
      </c>
      <c r="E351" s="89">
        <v>9266</v>
      </c>
      <c r="F351" s="89">
        <v>10181</v>
      </c>
      <c r="G351" s="89">
        <v>10181</v>
      </c>
      <c r="H351" s="89">
        <v>15633</v>
      </c>
      <c r="I351" s="89">
        <v>11265</v>
      </c>
      <c r="J351" s="89">
        <v>17940</v>
      </c>
      <c r="K351" s="89">
        <v>15132</v>
      </c>
      <c r="L351" s="89">
        <v>13415</v>
      </c>
      <c r="M351" s="89">
        <v>13417</v>
      </c>
      <c r="N351" s="49">
        <f t="shared" si="50"/>
        <v>186022</v>
      </c>
      <c r="O351" s="89"/>
    </row>
    <row r="352" spans="1:15">
      <c r="A352" s="89" t="s">
        <v>286</v>
      </c>
      <c r="B352" s="89">
        <v>0</v>
      </c>
      <c r="C352" s="89">
        <v>5251</v>
      </c>
      <c r="D352" s="89">
        <v>5466</v>
      </c>
      <c r="E352" s="89">
        <v>15139</v>
      </c>
      <c r="F352" s="89">
        <v>16462</v>
      </c>
      <c r="G352" s="89">
        <v>16525</v>
      </c>
      <c r="H352" s="89">
        <v>17151</v>
      </c>
      <c r="I352" s="89">
        <v>16955</v>
      </c>
      <c r="J352" s="89">
        <v>15207</v>
      </c>
      <c r="K352" s="89">
        <v>16595</v>
      </c>
      <c r="L352" s="89">
        <v>16409</v>
      </c>
      <c r="M352" s="89">
        <v>14911</v>
      </c>
      <c r="N352" s="49">
        <f t="shared" si="50"/>
        <v>156071</v>
      </c>
      <c r="O352" s="89"/>
    </row>
    <row r="353" spans="1:15">
      <c r="A353" s="93" t="s">
        <v>226</v>
      </c>
      <c r="B353" s="94">
        <f>SUM(B354:B356)</f>
        <v>16368</v>
      </c>
      <c r="C353" s="94">
        <f>SUM(C354:C356)</f>
        <v>11315</v>
      </c>
      <c r="D353" s="94">
        <v>13848</v>
      </c>
      <c r="E353" s="94">
        <v>35741</v>
      </c>
      <c r="F353" s="94"/>
      <c r="G353" s="94"/>
      <c r="H353" s="94"/>
      <c r="I353" s="94"/>
      <c r="J353" s="94"/>
      <c r="K353" s="94"/>
      <c r="L353" s="94"/>
      <c r="M353" s="94"/>
      <c r="N353" s="49"/>
      <c r="O353" s="96"/>
    </row>
    <row r="354" spans="1:15">
      <c r="A354" s="89" t="s">
        <v>284</v>
      </c>
      <c r="B354" s="89">
        <v>834</v>
      </c>
      <c r="C354" s="89">
        <v>869</v>
      </c>
      <c r="D354" s="89">
        <v>2422</v>
      </c>
      <c r="E354" s="89">
        <v>4219</v>
      </c>
      <c r="F354" s="89"/>
      <c r="G354" s="89"/>
      <c r="H354" s="89"/>
      <c r="I354" s="89"/>
      <c r="J354" s="89"/>
      <c r="K354" s="89"/>
      <c r="L354" s="89"/>
      <c r="M354" s="89"/>
      <c r="N354" s="49"/>
      <c r="O354" s="89"/>
    </row>
    <row r="355" spans="1:15">
      <c r="A355" s="89" t="s">
        <v>285</v>
      </c>
      <c r="B355" s="89">
        <v>5558</v>
      </c>
      <c r="C355" s="89">
        <v>5204</v>
      </c>
      <c r="D355" s="89">
        <v>5957</v>
      </c>
      <c r="E355" s="89">
        <v>4051</v>
      </c>
      <c r="F355" s="89"/>
      <c r="G355" s="89"/>
      <c r="H355" s="89"/>
      <c r="I355" s="89"/>
      <c r="J355" s="89"/>
      <c r="K355" s="89"/>
      <c r="L355" s="89"/>
      <c r="M355" s="89"/>
      <c r="N355" s="49"/>
      <c r="O355" s="89"/>
    </row>
    <row r="356" spans="1:15">
      <c r="A356" s="89" t="s">
        <v>286</v>
      </c>
      <c r="B356" s="89">
        <v>9976</v>
      </c>
      <c r="C356" s="89">
        <v>5242</v>
      </c>
      <c r="D356" s="89">
        <v>5103</v>
      </c>
      <c r="E356" s="89">
        <v>10407</v>
      </c>
      <c r="F356" s="89"/>
      <c r="G356" s="89"/>
      <c r="H356" s="89"/>
      <c r="I356" s="89"/>
      <c r="J356" s="89"/>
      <c r="K356" s="89"/>
      <c r="L356" s="89"/>
      <c r="M356" s="89"/>
      <c r="N356" s="49"/>
      <c r="O356" s="89"/>
    </row>
    <row r="357" spans="1:15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68"/>
    </row>
    <row r="358" spans="1:15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68"/>
    </row>
    <row r="359" spans="1:15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68"/>
    </row>
    <row r="360" spans="1:15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68"/>
    </row>
    <row r="361" spans="1:15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68"/>
    </row>
    <row r="362" spans="1:15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68"/>
    </row>
    <row r="363" spans="1:15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68"/>
    </row>
    <row r="364" spans="1:15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68"/>
    </row>
    <row r="365" spans="1:1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68"/>
    </row>
    <row r="366" spans="1:15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68"/>
    </row>
    <row r="367" spans="1:15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68"/>
    </row>
    <row r="368" spans="1:15">
      <c r="A368" s="46"/>
    </row>
    <row r="369" spans="1:16">
      <c r="A369" s="46" t="s">
        <v>287</v>
      </c>
    </row>
    <row r="370" spans="1:16">
      <c r="A370" s="92" t="s">
        <v>288</v>
      </c>
      <c r="B370" s="92" t="s">
        <v>51</v>
      </c>
      <c r="C370" s="92" t="s">
        <v>52</v>
      </c>
      <c r="D370" s="92" t="s">
        <v>53</v>
      </c>
      <c r="E370" s="92" t="s">
        <v>54</v>
      </c>
      <c r="F370" s="92" t="s">
        <v>55</v>
      </c>
      <c r="G370" s="92" t="s">
        <v>56</v>
      </c>
      <c r="H370" s="92" t="s">
        <v>57</v>
      </c>
      <c r="I370" s="92" t="s">
        <v>58</v>
      </c>
      <c r="J370" s="92" t="s">
        <v>59</v>
      </c>
      <c r="K370" s="92" t="s">
        <v>60</v>
      </c>
      <c r="L370" s="92" t="s">
        <v>61</v>
      </c>
      <c r="M370" s="92" t="s">
        <v>62</v>
      </c>
      <c r="N370" s="92" t="s">
        <v>63</v>
      </c>
      <c r="O370" s="92" t="s">
        <v>69</v>
      </c>
    </row>
    <row r="371" spans="1:16">
      <c r="A371" s="93" t="s">
        <v>43</v>
      </c>
      <c r="B371" s="49"/>
      <c r="C371" s="49"/>
      <c r="D371" s="49"/>
      <c r="E371" s="49"/>
      <c r="F371" s="49"/>
      <c r="G371" s="49"/>
      <c r="H371" s="49"/>
      <c r="I371" s="49">
        <v>879</v>
      </c>
      <c r="J371" s="49">
        <v>2708</v>
      </c>
      <c r="K371" s="49">
        <v>6384</v>
      </c>
      <c r="L371" s="49">
        <v>6344</v>
      </c>
      <c r="M371" s="49">
        <v>9094</v>
      </c>
      <c r="N371" s="49">
        <f t="shared" ref="N371:N380" si="53">SUM(B371:M371)</f>
        <v>25409</v>
      </c>
      <c r="O371" s="95"/>
      <c r="P371" s="95"/>
    </row>
    <row r="372" spans="1:16">
      <c r="A372" s="93" t="s">
        <v>75</v>
      </c>
      <c r="B372" s="94">
        <f t="shared" ref="B372:J372" si="54">SUM(B373:B374)</f>
        <v>6137</v>
      </c>
      <c r="C372" s="94">
        <f t="shared" si="54"/>
        <v>4103</v>
      </c>
      <c r="D372" s="94">
        <f t="shared" si="54"/>
        <v>8568</v>
      </c>
      <c r="E372" s="94">
        <f t="shared" si="54"/>
        <v>6028</v>
      </c>
      <c r="F372" s="94">
        <f t="shared" si="54"/>
        <v>7036</v>
      </c>
      <c r="G372" s="94">
        <f t="shared" si="54"/>
        <v>8041</v>
      </c>
      <c r="H372" s="94">
        <f t="shared" si="54"/>
        <v>11429</v>
      </c>
      <c r="I372" s="94">
        <f t="shared" si="54"/>
        <v>14735</v>
      </c>
      <c r="J372" s="94">
        <f t="shared" si="54"/>
        <v>14710</v>
      </c>
      <c r="K372" s="94">
        <v>15513</v>
      </c>
      <c r="L372" s="94">
        <v>16157</v>
      </c>
      <c r="M372" s="94">
        <v>18338</v>
      </c>
      <c r="N372" s="49">
        <f t="shared" si="53"/>
        <v>130795</v>
      </c>
      <c r="O372" s="96">
        <f>N372/N371-1</f>
        <v>4.14758550120036</v>
      </c>
      <c r="P372" s="95"/>
    </row>
    <row r="373" spans="1:16">
      <c r="A373" s="89" t="s">
        <v>289</v>
      </c>
      <c r="B373" s="89">
        <v>6137</v>
      </c>
      <c r="C373" s="89">
        <v>4103</v>
      </c>
      <c r="D373" s="89">
        <v>8568</v>
      </c>
      <c r="E373" s="89">
        <v>6028</v>
      </c>
      <c r="F373" s="89">
        <v>7033</v>
      </c>
      <c r="G373" s="89">
        <v>6015</v>
      </c>
      <c r="H373" s="89">
        <v>4517</v>
      </c>
      <c r="I373" s="89">
        <v>4698</v>
      </c>
      <c r="J373" s="89">
        <v>6152</v>
      </c>
      <c r="K373" s="89">
        <v>6514</v>
      </c>
      <c r="L373" s="89">
        <v>6431</v>
      </c>
      <c r="M373" s="89">
        <v>6382</v>
      </c>
      <c r="N373" s="49">
        <f t="shared" si="53"/>
        <v>72578</v>
      </c>
      <c r="O373" s="49"/>
      <c r="P373" s="95"/>
    </row>
    <row r="374" spans="1:16">
      <c r="A374" s="89" t="s">
        <v>290</v>
      </c>
      <c r="B374" s="90">
        <v>0</v>
      </c>
      <c r="C374" s="90">
        <v>0</v>
      </c>
      <c r="D374" s="90">
        <v>0</v>
      </c>
      <c r="E374" s="90">
        <v>0</v>
      </c>
      <c r="F374" s="90">
        <v>3</v>
      </c>
      <c r="G374" s="90">
        <v>2026</v>
      </c>
      <c r="H374" s="90">
        <v>6912</v>
      </c>
      <c r="I374" s="90">
        <v>10037</v>
      </c>
      <c r="J374" s="90">
        <v>8558</v>
      </c>
      <c r="K374" s="90">
        <v>8532</v>
      </c>
      <c r="L374" s="90">
        <v>7586</v>
      </c>
      <c r="M374" s="97">
        <v>7736</v>
      </c>
      <c r="N374" s="49">
        <f t="shared" si="53"/>
        <v>51390</v>
      </c>
      <c r="O374" s="98"/>
      <c r="P374" s="95"/>
    </row>
    <row r="375" spans="1:16">
      <c r="A375" s="93" t="s">
        <v>223</v>
      </c>
      <c r="B375" s="94">
        <v>17042</v>
      </c>
      <c r="C375" s="94">
        <v>9994</v>
      </c>
      <c r="D375" s="94">
        <v>8568</v>
      </c>
      <c r="E375" s="94">
        <v>12744</v>
      </c>
      <c r="F375" s="94">
        <v>14371</v>
      </c>
      <c r="G375" s="94">
        <f t="shared" ref="G375:M375" si="55">SUM(G376:G380)</f>
        <v>13531</v>
      </c>
      <c r="H375" s="94">
        <f t="shared" si="55"/>
        <v>12793</v>
      </c>
      <c r="I375" s="94">
        <f t="shared" si="55"/>
        <v>13158</v>
      </c>
      <c r="J375" s="94">
        <f t="shared" si="55"/>
        <v>19952</v>
      </c>
      <c r="K375" s="94">
        <f t="shared" si="55"/>
        <v>21728</v>
      </c>
      <c r="L375" s="94">
        <f t="shared" si="55"/>
        <v>26137</v>
      </c>
      <c r="M375" s="94">
        <f t="shared" si="55"/>
        <v>27382</v>
      </c>
      <c r="N375" s="68">
        <f t="shared" si="53"/>
        <v>197400</v>
      </c>
      <c r="O375" s="86">
        <f>N375/SUM(B372:F372)-1</f>
        <v>5.19352409638554</v>
      </c>
      <c r="P375" s="95"/>
    </row>
    <row r="376" spans="1:16">
      <c r="A376" s="89" t="s">
        <v>289</v>
      </c>
      <c r="B376" s="89">
        <v>5694</v>
      </c>
      <c r="C376" s="89">
        <v>3987</v>
      </c>
      <c r="D376" s="89">
        <v>4311</v>
      </c>
      <c r="E376" s="89">
        <v>4524</v>
      </c>
      <c r="F376" s="89">
        <v>5303</v>
      </c>
      <c r="G376" s="90">
        <v>6221</v>
      </c>
      <c r="H376" s="89">
        <v>5218</v>
      </c>
      <c r="I376" s="89">
        <v>4747</v>
      </c>
      <c r="J376" s="89">
        <v>5195</v>
      </c>
      <c r="K376" s="89">
        <v>3676</v>
      </c>
      <c r="L376" s="89">
        <v>2244</v>
      </c>
      <c r="M376" s="89">
        <v>2671</v>
      </c>
      <c r="N376" s="68">
        <f t="shared" si="53"/>
        <v>53791</v>
      </c>
      <c r="O376" s="49"/>
      <c r="P376" s="95"/>
    </row>
    <row r="377" spans="1:16">
      <c r="A377" s="89" t="s">
        <v>291</v>
      </c>
      <c r="B377" s="90">
        <v>9109</v>
      </c>
      <c r="C377" s="90">
        <v>4202</v>
      </c>
      <c r="D377" s="90">
        <v>5705</v>
      </c>
      <c r="E377" s="90">
        <v>5492</v>
      </c>
      <c r="F377" s="90">
        <v>5977</v>
      </c>
      <c r="G377" s="90">
        <v>7310</v>
      </c>
      <c r="H377" s="90">
        <v>5092</v>
      </c>
      <c r="I377" s="90">
        <v>7131</v>
      </c>
      <c r="J377" s="90">
        <v>12152</v>
      </c>
      <c r="K377" s="90">
        <v>11685</v>
      </c>
      <c r="L377" s="90">
        <v>12021</v>
      </c>
      <c r="M377" s="97">
        <v>7893</v>
      </c>
      <c r="N377" s="68">
        <f t="shared" si="53"/>
        <v>93769</v>
      </c>
      <c r="O377" s="98"/>
      <c r="P377" s="95"/>
    </row>
    <row r="378" spans="1:16">
      <c r="A378" s="89" t="s">
        <v>292</v>
      </c>
      <c r="B378" s="90"/>
      <c r="C378" s="90"/>
      <c r="D378" s="90"/>
      <c r="E378" s="90"/>
      <c r="F378" s="90"/>
      <c r="G378" s="90"/>
      <c r="H378" s="90">
        <v>2483</v>
      </c>
      <c r="I378" s="90">
        <v>1280</v>
      </c>
      <c r="J378" s="90">
        <v>1844</v>
      </c>
      <c r="K378" s="90">
        <v>1116</v>
      </c>
      <c r="L378" s="90">
        <v>1023</v>
      </c>
      <c r="M378" s="97">
        <v>1162</v>
      </c>
      <c r="N378" s="68">
        <f t="shared" si="53"/>
        <v>8908</v>
      </c>
      <c r="O378" s="98"/>
      <c r="P378" s="95"/>
    </row>
    <row r="379" spans="1:16">
      <c r="A379" s="89" t="s">
        <v>293</v>
      </c>
      <c r="B379" s="90"/>
      <c r="C379" s="90"/>
      <c r="D379" s="90"/>
      <c r="E379" s="90"/>
      <c r="F379" s="90"/>
      <c r="G379" s="90"/>
      <c r="H379" s="90"/>
      <c r="I379" s="90"/>
      <c r="J379" s="90">
        <v>761</v>
      </c>
      <c r="K379" s="90">
        <v>3328</v>
      </c>
      <c r="L379" s="90">
        <v>3752</v>
      </c>
      <c r="M379" s="97">
        <v>3734</v>
      </c>
      <c r="N379" s="68">
        <f t="shared" si="53"/>
        <v>11575</v>
      </c>
      <c r="O379" s="98"/>
      <c r="P379" s="95"/>
    </row>
    <row r="380" spans="1:16">
      <c r="A380" s="89" t="s">
        <v>294</v>
      </c>
      <c r="B380" s="90"/>
      <c r="C380" s="90"/>
      <c r="D380" s="90"/>
      <c r="E380" s="90"/>
      <c r="F380" s="90"/>
      <c r="G380" s="90"/>
      <c r="H380" s="90"/>
      <c r="I380" s="90"/>
      <c r="J380" s="90"/>
      <c r="K380" s="90">
        <v>1923</v>
      </c>
      <c r="L380" s="90">
        <v>7097</v>
      </c>
      <c r="M380" s="97">
        <v>11922</v>
      </c>
      <c r="N380" s="68">
        <f t="shared" si="53"/>
        <v>20942</v>
      </c>
      <c r="O380" s="98"/>
      <c r="P380" s="95"/>
    </row>
    <row r="381" spans="1:16">
      <c r="A381" s="93" t="s">
        <v>226</v>
      </c>
      <c r="B381" s="94">
        <v>16122</v>
      </c>
      <c r="C381" s="94">
        <v>16584</v>
      </c>
      <c r="D381" s="94">
        <v>24371</v>
      </c>
      <c r="E381" s="94">
        <v>20138</v>
      </c>
      <c r="F381" s="94"/>
      <c r="G381" s="94"/>
      <c r="H381" s="94"/>
      <c r="I381" s="94"/>
      <c r="J381" s="94"/>
      <c r="K381" s="94"/>
      <c r="L381" s="94"/>
      <c r="M381" s="94"/>
      <c r="N381" s="68"/>
      <c r="O381" s="86"/>
      <c r="P381" s="95"/>
    </row>
    <row r="382" spans="1:16">
      <c r="A382" s="89" t="s">
        <v>289</v>
      </c>
      <c r="B382" s="89">
        <v>3445</v>
      </c>
      <c r="C382" s="89">
        <v>2636</v>
      </c>
      <c r="D382" s="89">
        <v>944</v>
      </c>
      <c r="E382" s="90">
        <v>958</v>
      </c>
      <c r="F382" s="89"/>
      <c r="G382" s="90"/>
      <c r="H382" s="89"/>
      <c r="I382" s="89"/>
      <c r="J382" s="89"/>
      <c r="K382" s="89"/>
      <c r="L382" s="89"/>
      <c r="M382" s="89"/>
      <c r="N382" s="68"/>
      <c r="O382" s="49"/>
      <c r="P382" s="95"/>
    </row>
    <row r="383" spans="1:16">
      <c r="A383" s="89" t="s">
        <v>291</v>
      </c>
      <c r="B383" s="90">
        <v>5604</v>
      </c>
      <c r="C383" s="90">
        <v>5513</v>
      </c>
      <c r="D383" s="90">
        <v>5914</v>
      </c>
      <c r="E383" s="90">
        <v>2102</v>
      </c>
      <c r="F383" s="90"/>
      <c r="G383" s="90"/>
      <c r="H383" s="90"/>
      <c r="I383" s="90"/>
      <c r="J383" s="90"/>
      <c r="K383" s="90"/>
      <c r="L383" s="90"/>
      <c r="M383" s="97"/>
      <c r="N383" s="68"/>
      <c r="O383" s="98"/>
      <c r="P383" s="95"/>
    </row>
    <row r="384" spans="1:16">
      <c r="A384" s="89" t="s">
        <v>292</v>
      </c>
      <c r="B384" s="89">
        <v>499</v>
      </c>
      <c r="C384" s="89">
        <v>750</v>
      </c>
      <c r="D384" s="90">
        <v>1046</v>
      </c>
      <c r="E384" s="90">
        <v>2273</v>
      </c>
      <c r="F384" s="90"/>
      <c r="G384" s="90"/>
      <c r="H384" s="90"/>
      <c r="I384" s="90"/>
      <c r="J384" s="90"/>
      <c r="K384" s="90"/>
      <c r="L384" s="90"/>
      <c r="M384" s="97"/>
      <c r="N384" s="68"/>
      <c r="O384" s="98"/>
      <c r="P384" s="95"/>
    </row>
    <row r="385" spans="1:16">
      <c r="A385" s="89" t="s">
        <v>293</v>
      </c>
      <c r="B385" s="90">
        <v>1929</v>
      </c>
      <c r="C385" s="90">
        <v>1676</v>
      </c>
      <c r="D385" s="90">
        <v>3207</v>
      </c>
      <c r="E385" s="90">
        <v>2102</v>
      </c>
      <c r="F385" s="90"/>
      <c r="G385" s="90"/>
      <c r="H385" s="90"/>
      <c r="I385" s="90"/>
      <c r="J385" s="90"/>
      <c r="K385" s="90"/>
      <c r="L385" s="90"/>
      <c r="M385" s="97"/>
      <c r="N385" s="68"/>
      <c r="O385" s="98"/>
      <c r="P385" s="95"/>
    </row>
    <row r="386" spans="1:16">
      <c r="A386" s="89" t="s">
        <v>294</v>
      </c>
      <c r="B386" s="89">
        <v>4645</v>
      </c>
      <c r="C386" s="89">
        <v>6009</v>
      </c>
      <c r="D386" s="90">
        <v>7130</v>
      </c>
      <c r="E386" s="89">
        <v>7549</v>
      </c>
      <c r="F386" s="90"/>
      <c r="G386" s="90"/>
      <c r="H386" s="90"/>
      <c r="I386" s="90"/>
      <c r="J386" s="90"/>
      <c r="K386" s="90"/>
      <c r="L386" s="90"/>
      <c r="M386" s="97"/>
      <c r="N386" s="68"/>
      <c r="O386" s="98"/>
      <c r="P386" s="95"/>
    </row>
    <row r="387" spans="1:16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68"/>
    </row>
    <row r="388" spans="1:16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68"/>
    </row>
    <row r="389" spans="1:16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68"/>
    </row>
    <row r="390" spans="1:16">
      <c r="B390" s="29"/>
      <c r="C390" s="29"/>
      <c r="D390" s="29"/>
      <c r="E390" s="29"/>
      <c r="F390" s="29"/>
      <c r="G390" s="29"/>
      <c r="H390" s="29"/>
      <c r="I390" s="32"/>
      <c r="J390" s="32"/>
      <c r="K390" s="32"/>
      <c r="L390" s="32"/>
      <c r="M390" s="98"/>
      <c r="N390" s="98"/>
      <c r="O390" s="98"/>
    </row>
    <row r="391" spans="1:16">
      <c r="A391" s="46" t="s">
        <v>295</v>
      </c>
      <c r="B391" s="49"/>
      <c r="C391" s="49"/>
      <c r="D391" s="49"/>
      <c r="E391" s="46"/>
      <c r="F391" s="49"/>
      <c r="G391" s="49"/>
      <c r="H391" s="46"/>
      <c r="I391" s="49"/>
      <c r="J391" s="46"/>
      <c r="K391" s="49"/>
      <c r="L391" s="49"/>
      <c r="M391" s="46"/>
      <c r="N391" s="49"/>
      <c r="O391" s="49"/>
    </row>
    <row r="392" spans="1:16">
      <c r="A392" s="47" t="s">
        <v>194</v>
      </c>
      <c r="B392" s="47" t="s">
        <v>51</v>
      </c>
      <c r="C392" s="47" t="s">
        <v>52</v>
      </c>
      <c r="D392" s="47" t="s">
        <v>53</v>
      </c>
      <c r="E392" s="47" t="s">
        <v>54</v>
      </c>
      <c r="F392" s="47" t="s">
        <v>55</v>
      </c>
      <c r="G392" s="47" t="s">
        <v>56</v>
      </c>
      <c r="H392" s="47" t="s">
        <v>57</v>
      </c>
      <c r="I392" s="47" t="s">
        <v>58</v>
      </c>
      <c r="J392" s="47" t="s">
        <v>59</v>
      </c>
      <c r="K392" s="47" t="s">
        <v>60</v>
      </c>
      <c r="L392" s="47" t="s">
        <v>61</v>
      </c>
      <c r="M392" s="47" t="s">
        <v>62</v>
      </c>
      <c r="N392" s="47" t="s">
        <v>63</v>
      </c>
      <c r="O392" s="47" t="s">
        <v>69</v>
      </c>
    </row>
    <row r="393" spans="1:16">
      <c r="A393" s="48" t="s">
        <v>39</v>
      </c>
      <c r="B393" s="49">
        <v>1001</v>
      </c>
      <c r="C393" s="49">
        <v>102</v>
      </c>
      <c r="D393" s="49">
        <v>616</v>
      </c>
      <c r="E393" s="49">
        <v>815</v>
      </c>
      <c r="F393" s="49">
        <v>1135</v>
      </c>
      <c r="G393" s="49">
        <v>1333</v>
      </c>
      <c r="H393" s="49">
        <v>1016</v>
      </c>
      <c r="I393" s="49">
        <v>1205</v>
      </c>
      <c r="J393" s="49">
        <v>2023</v>
      </c>
      <c r="K393" s="49">
        <v>2056</v>
      </c>
      <c r="L393" s="49">
        <v>2122</v>
      </c>
      <c r="M393" s="49">
        <v>1667</v>
      </c>
      <c r="N393" s="49">
        <f t="shared" ref="N393:N401" si="56">SUM(B393:M393)</f>
        <v>15091</v>
      </c>
      <c r="O393" s="49"/>
    </row>
    <row r="394" spans="1:16">
      <c r="A394" s="48" t="s">
        <v>41</v>
      </c>
      <c r="B394" s="49">
        <v>2195</v>
      </c>
      <c r="C394" s="49">
        <v>2002</v>
      </c>
      <c r="D394" s="49">
        <v>3246</v>
      </c>
      <c r="E394" s="49">
        <v>4015</v>
      </c>
      <c r="F394" s="49">
        <v>4508</v>
      </c>
      <c r="G394" s="49">
        <v>5138</v>
      </c>
      <c r="H394" s="49">
        <v>6011</v>
      </c>
      <c r="I394" s="49">
        <v>6613</v>
      </c>
      <c r="J394" s="49">
        <v>7699</v>
      </c>
      <c r="K394" s="49">
        <v>8107</v>
      </c>
      <c r="L394" s="49">
        <v>10013</v>
      </c>
      <c r="M394" s="49">
        <v>10127</v>
      </c>
      <c r="N394" s="49">
        <f t="shared" si="56"/>
        <v>69674</v>
      </c>
      <c r="O394" s="53">
        <f>N394/N393-1</f>
        <v>3.61692399443377</v>
      </c>
    </row>
    <row r="395" spans="1:16">
      <c r="A395" s="69" t="s">
        <v>296</v>
      </c>
      <c r="B395" s="69">
        <v>2076</v>
      </c>
      <c r="C395" s="69">
        <v>2002</v>
      </c>
      <c r="D395" s="69">
        <v>3206</v>
      </c>
      <c r="E395" s="69">
        <v>3846</v>
      </c>
      <c r="F395" s="69">
        <v>3409</v>
      </c>
      <c r="G395" s="69">
        <v>3533</v>
      </c>
      <c r="H395" s="69">
        <v>4469</v>
      </c>
      <c r="I395" s="69">
        <v>4611</v>
      </c>
      <c r="J395" s="69">
        <v>5009</v>
      </c>
      <c r="K395" s="69">
        <v>5178</v>
      </c>
      <c r="L395" s="69">
        <v>7027</v>
      </c>
      <c r="M395" s="69">
        <v>5280</v>
      </c>
      <c r="N395" s="68">
        <f t="shared" si="56"/>
        <v>49646</v>
      </c>
      <c r="O395" s="91"/>
    </row>
    <row r="396" spans="1:16">
      <c r="A396" s="69" t="s">
        <v>297</v>
      </c>
      <c r="B396" s="69">
        <v>119</v>
      </c>
      <c r="C396" s="69">
        <v>0</v>
      </c>
      <c r="D396" s="69">
        <v>40</v>
      </c>
      <c r="E396" s="69">
        <v>169</v>
      </c>
      <c r="F396" s="69">
        <v>1099</v>
      </c>
      <c r="G396" s="69">
        <v>1605</v>
      </c>
      <c r="H396" s="69">
        <v>1542</v>
      </c>
      <c r="I396" s="69">
        <v>2002</v>
      </c>
      <c r="J396" s="69">
        <v>2690</v>
      </c>
      <c r="K396" s="69">
        <v>2929</v>
      </c>
      <c r="L396" s="69">
        <v>2986</v>
      </c>
      <c r="M396" s="69">
        <v>4847</v>
      </c>
      <c r="N396" s="68">
        <f t="shared" si="56"/>
        <v>20028</v>
      </c>
      <c r="O396" s="91"/>
    </row>
    <row r="397" spans="1:16">
      <c r="A397" s="48" t="s">
        <v>43</v>
      </c>
      <c r="B397" s="49">
        <v>11009</v>
      </c>
      <c r="C397" s="49">
        <v>7117</v>
      </c>
      <c r="D397" s="49">
        <v>12026</v>
      </c>
      <c r="E397" s="49">
        <v>8813</v>
      </c>
      <c r="F397" s="49">
        <v>11009</v>
      </c>
      <c r="G397" s="49">
        <v>13157</v>
      </c>
      <c r="H397" s="49">
        <v>14037</v>
      </c>
      <c r="I397" s="49">
        <v>16017</v>
      </c>
      <c r="J397" s="49">
        <v>18005</v>
      </c>
      <c r="K397" s="49">
        <v>18016</v>
      </c>
      <c r="L397" s="49">
        <v>15072</v>
      </c>
      <c r="M397" s="49">
        <v>7795</v>
      </c>
      <c r="N397" s="49">
        <f t="shared" si="56"/>
        <v>152073</v>
      </c>
      <c r="O397" s="53">
        <f>N397/N394-1</f>
        <v>1.18263627752103</v>
      </c>
    </row>
    <row r="398" spans="1:16">
      <c r="A398" s="69" t="s">
        <v>296</v>
      </c>
      <c r="B398" s="69">
        <v>6482</v>
      </c>
      <c r="C398" s="69">
        <v>4073</v>
      </c>
      <c r="D398" s="69">
        <v>8122</v>
      </c>
      <c r="E398" s="69">
        <v>5694</v>
      </c>
      <c r="F398" s="69">
        <v>7884</v>
      </c>
      <c r="G398" s="69">
        <v>9123</v>
      </c>
      <c r="H398" s="69">
        <v>7585</v>
      </c>
      <c r="I398" s="69">
        <v>10236</v>
      </c>
      <c r="J398" s="69">
        <v>11935</v>
      </c>
      <c r="K398" s="69">
        <v>11721</v>
      </c>
      <c r="L398" s="69">
        <v>11263</v>
      </c>
      <c r="M398" s="69">
        <v>1411</v>
      </c>
      <c r="N398" s="68">
        <f t="shared" si="56"/>
        <v>95529</v>
      </c>
      <c r="O398" s="88"/>
    </row>
    <row r="399" spans="1:16">
      <c r="A399" s="69" t="s">
        <v>297</v>
      </c>
      <c r="B399" s="69">
        <v>4527</v>
      </c>
      <c r="C399" s="69">
        <v>3044</v>
      </c>
      <c r="D399" s="69">
        <v>3904</v>
      </c>
      <c r="E399" s="69">
        <v>3119</v>
      </c>
      <c r="F399" s="69">
        <v>3125</v>
      </c>
      <c r="G399" s="69">
        <v>4010</v>
      </c>
      <c r="H399" s="69">
        <v>5070</v>
      </c>
      <c r="I399" s="69">
        <v>5781</v>
      </c>
      <c r="J399" s="69">
        <v>6070</v>
      </c>
      <c r="K399" s="69">
        <v>6295</v>
      </c>
      <c r="L399" s="69">
        <v>3607</v>
      </c>
      <c r="M399" s="69">
        <v>2375</v>
      </c>
      <c r="N399" s="68">
        <f t="shared" si="56"/>
        <v>50927</v>
      </c>
      <c r="O399" s="88"/>
    </row>
    <row r="400" spans="1:16">
      <c r="A400" s="69" t="s">
        <v>298</v>
      </c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>
        <v>202</v>
      </c>
      <c r="M400" s="69">
        <v>2003</v>
      </c>
      <c r="N400" s="68">
        <f t="shared" si="56"/>
        <v>2205</v>
      </c>
      <c r="O400" s="88"/>
    </row>
    <row r="401" spans="1:16">
      <c r="A401" s="48" t="s">
        <v>75</v>
      </c>
      <c r="B401" s="49">
        <v>6016</v>
      </c>
      <c r="C401" s="49">
        <v>10073</v>
      </c>
      <c r="D401" s="49">
        <v>10087</v>
      </c>
      <c r="E401" s="49">
        <v>11080</v>
      </c>
      <c r="F401" s="49">
        <v>13029</v>
      </c>
      <c r="G401" s="49">
        <v>12132</v>
      </c>
      <c r="H401" s="49">
        <v>10039</v>
      </c>
      <c r="I401" s="49">
        <v>12103</v>
      </c>
      <c r="J401" s="49">
        <v>13211</v>
      </c>
      <c r="K401" s="29">
        <v>12085</v>
      </c>
      <c r="L401" s="49">
        <v>12506</v>
      </c>
      <c r="M401" s="49">
        <f>SUM(M402:M404)</f>
        <v>2018</v>
      </c>
      <c r="N401" s="68">
        <f t="shared" si="56"/>
        <v>124379</v>
      </c>
      <c r="O401" s="53"/>
    </row>
    <row r="402" spans="1:16">
      <c r="A402" s="89" t="s">
        <v>299</v>
      </c>
      <c r="B402" s="89">
        <v>3487</v>
      </c>
      <c r="C402" s="89">
        <v>5013</v>
      </c>
      <c r="D402" s="89">
        <v>1098</v>
      </c>
      <c r="E402" s="89">
        <v>4727</v>
      </c>
      <c r="F402" s="89">
        <v>3096</v>
      </c>
      <c r="G402" s="89">
        <v>2268</v>
      </c>
      <c r="H402" s="89">
        <v>2583</v>
      </c>
      <c r="I402" s="89" t="s">
        <v>300</v>
      </c>
      <c r="J402" s="89">
        <v>5225</v>
      </c>
      <c r="K402" s="89">
        <v>3767</v>
      </c>
      <c r="L402" s="89">
        <v>126</v>
      </c>
      <c r="M402" s="89">
        <v>8</v>
      </c>
      <c r="N402" s="68">
        <f>SUM(C402:H402)+5609+SUM(J402:M402)</f>
        <v>33520</v>
      </c>
      <c r="O402" s="88"/>
      <c r="P402"/>
    </row>
    <row r="403" spans="1:16">
      <c r="A403" s="99" t="s">
        <v>297</v>
      </c>
      <c r="B403" s="89">
        <v>1012</v>
      </c>
      <c r="C403" s="89">
        <v>3012</v>
      </c>
      <c r="D403" s="89">
        <v>3056</v>
      </c>
      <c r="E403" s="89">
        <v>3821</v>
      </c>
      <c r="F403" s="89">
        <v>3963</v>
      </c>
      <c r="G403" s="89">
        <v>5620</v>
      </c>
      <c r="H403" s="89">
        <v>3433</v>
      </c>
      <c r="I403" s="89">
        <v>3617</v>
      </c>
      <c r="J403" s="89">
        <v>3640</v>
      </c>
      <c r="K403" s="89">
        <v>3540</v>
      </c>
      <c r="L403" s="89">
        <v>0</v>
      </c>
      <c r="M403" s="89">
        <v>0</v>
      </c>
      <c r="N403" s="68">
        <f>SUM(C403:M403)</f>
        <v>33702</v>
      </c>
      <c r="O403" s="88"/>
    </row>
    <row r="404" spans="1:16">
      <c r="A404" s="89" t="s">
        <v>298</v>
      </c>
      <c r="B404" s="89">
        <v>1517</v>
      </c>
      <c r="C404" s="89">
        <v>2048</v>
      </c>
      <c r="D404" s="89">
        <v>2206</v>
      </c>
      <c r="E404" s="89">
        <v>2237</v>
      </c>
      <c r="F404" s="89">
        <v>2212</v>
      </c>
      <c r="G404" s="89">
        <v>1745</v>
      </c>
      <c r="H404" s="89">
        <v>1746</v>
      </c>
      <c r="I404" s="89">
        <v>1618</v>
      </c>
      <c r="J404" s="89">
        <v>1973</v>
      </c>
      <c r="K404" s="89">
        <v>2589</v>
      </c>
      <c r="L404" s="89">
        <v>2296</v>
      </c>
      <c r="M404" s="89">
        <v>2010</v>
      </c>
      <c r="N404" s="68">
        <f>SUM(C404:M404)</f>
        <v>22680</v>
      </c>
      <c r="O404" s="88"/>
    </row>
    <row r="405" spans="1:16">
      <c r="A405" s="48" t="s">
        <v>223</v>
      </c>
      <c r="B405" s="49">
        <v>10032</v>
      </c>
      <c r="C405" s="49">
        <v>6085</v>
      </c>
      <c r="D405" s="49">
        <v>8417</v>
      </c>
      <c r="E405" s="49">
        <v>9017</v>
      </c>
      <c r="F405" s="49">
        <v>10113</v>
      </c>
      <c r="G405" s="29">
        <v>10206</v>
      </c>
      <c r="H405" s="29">
        <v>11015</v>
      </c>
      <c r="I405" s="49">
        <v>11005</v>
      </c>
      <c r="J405" s="49">
        <v>10118</v>
      </c>
      <c r="K405" s="29">
        <v>6002</v>
      </c>
      <c r="L405" s="49">
        <v>1500</v>
      </c>
      <c r="M405" s="49">
        <f>SUM(M406:M409)</f>
        <v>219</v>
      </c>
      <c r="N405" s="68">
        <f t="shared" ref="N405:N409" si="57">SUM(B405:M405)</f>
        <v>93729</v>
      </c>
      <c r="O405" s="86">
        <f>N405/SUM(B401:F401)-1</f>
        <v>0.863955453912698</v>
      </c>
    </row>
    <row r="406" spans="1:16">
      <c r="A406" s="89" t="s">
        <v>299</v>
      </c>
      <c r="B406" s="89">
        <v>553</v>
      </c>
      <c r="C406" s="89">
        <v>536</v>
      </c>
      <c r="D406" s="89">
        <v>1564</v>
      </c>
      <c r="E406" s="89">
        <v>461</v>
      </c>
      <c r="F406" s="89">
        <v>462</v>
      </c>
      <c r="G406" s="89">
        <v>337</v>
      </c>
      <c r="H406" s="89">
        <v>24</v>
      </c>
      <c r="I406" s="89">
        <v>125</v>
      </c>
      <c r="J406" s="89">
        <v>1334</v>
      </c>
      <c r="K406" s="89">
        <v>1217</v>
      </c>
      <c r="L406" s="89">
        <v>259</v>
      </c>
      <c r="M406" s="89">
        <v>49</v>
      </c>
      <c r="N406" s="68">
        <f t="shared" si="57"/>
        <v>6921</v>
      </c>
      <c r="O406" s="88"/>
      <c r="P406"/>
    </row>
    <row r="407" spans="1:16">
      <c r="A407" s="99" t="s">
        <v>301</v>
      </c>
      <c r="B407" s="89"/>
      <c r="C407" s="89"/>
      <c r="D407" s="89">
        <v>824</v>
      </c>
      <c r="E407" s="89">
        <v>773</v>
      </c>
      <c r="F407" s="89">
        <v>492</v>
      </c>
      <c r="G407" s="89">
        <v>1542</v>
      </c>
      <c r="H407" s="89">
        <v>1945</v>
      </c>
      <c r="I407" s="89">
        <v>2297</v>
      </c>
      <c r="J407" s="89">
        <v>3085</v>
      </c>
      <c r="K407" s="89">
        <v>1948</v>
      </c>
      <c r="L407" s="89">
        <v>863</v>
      </c>
      <c r="M407" s="89">
        <v>60</v>
      </c>
      <c r="N407" s="68">
        <f t="shared" si="57"/>
        <v>13829</v>
      </c>
      <c r="O407" s="88"/>
    </row>
    <row r="408" spans="1:16">
      <c r="A408" s="89" t="s">
        <v>298</v>
      </c>
      <c r="B408" s="89">
        <v>1766</v>
      </c>
      <c r="C408" s="89">
        <v>1090</v>
      </c>
      <c r="D408" s="89">
        <v>1532</v>
      </c>
      <c r="E408" s="89">
        <v>1025</v>
      </c>
      <c r="F408" s="89">
        <v>801</v>
      </c>
      <c r="G408" s="89">
        <v>584</v>
      </c>
      <c r="H408" s="89">
        <v>693</v>
      </c>
      <c r="I408" s="89">
        <v>1207</v>
      </c>
      <c r="J408" s="89">
        <v>496</v>
      </c>
      <c r="K408" s="89">
        <v>847</v>
      </c>
      <c r="L408" s="89">
        <v>177</v>
      </c>
      <c r="M408" s="89">
        <v>46</v>
      </c>
      <c r="N408" s="68">
        <f t="shared" si="57"/>
        <v>10264</v>
      </c>
      <c r="O408" s="88"/>
    </row>
    <row r="409" spans="1:16">
      <c r="A409" s="89" t="s">
        <v>302</v>
      </c>
      <c r="B409" s="89"/>
      <c r="C409" s="89"/>
      <c r="D409" s="89"/>
      <c r="E409" s="89">
        <v>1768</v>
      </c>
      <c r="F409" s="89">
        <v>3732</v>
      </c>
      <c r="G409" s="89">
        <v>5283</v>
      </c>
      <c r="H409" s="89">
        <v>5628</v>
      </c>
      <c r="I409" s="89">
        <v>3842</v>
      </c>
      <c r="J409" s="89">
        <v>2600</v>
      </c>
      <c r="K409" s="89">
        <v>1990</v>
      </c>
      <c r="L409" s="89">
        <v>201</v>
      </c>
      <c r="M409" s="89">
        <v>64</v>
      </c>
      <c r="N409" s="68">
        <f t="shared" si="57"/>
        <v>25108</v>
      </c>
      <c r="O409" s="88"/>
    </row>
    <row r="410" spans="1:16">
      <c r="A410" s="48" t="s">
        <v>226</v>
      </c>
      <c r="B410" s="49">
        <v>159</v>
      </c>
      <c r="C410" s="49">
        <v>377</v>
      </c>
      <c r="D410" s="49">
        <v>0</v>
      </c>
      <c r="E410" s="49"/>
      <c r="F410" s="49"/>
      <c r="G410" s="29"/>
      <c r="H410" s="29"/>
      <c r="I410" s="49"/>
      <c r="J410" s="49"/>
      <c r="K410" s="29"/>
      <c r="L410" s="49"/>
      <c r="M410" s="49"/>
      <c r="N410" s="68"/>
      <c r="O410" s="86"/>
    </row>
    <row r="411" spans="1:16">
      <c r="A411" s="89" t="s">
        <v>299</v>
      </c>
      <c r="B411" s="89">
        <v>49</v>
      </c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68"/>
      <c r="O411" s="88"/>
      <c r="P411"/>
    </row>
    <row r="412" spans="1:16">
      <c r="A412" s="99" t="s">
        <v>301</v>
      </c>
      <c r="B412" s="89">
        <v>55</v>
      </c>
      <c r="C412" s="89">
        <v>217</v>
      </c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68"/>
      <c r="O412" s="88"/>
    </row>
    <row r="413" spans="1:16">
      <c r="A413" s="89" t="s">
        <v>298</v>
      </c>
      <c r="B413" s="89">
        <v>15</v>
      </c>
      <c r="C413" s="89">
        <v>45</v>
      </c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68"/>
      <c r="O413" s="88"/>
    </row>
    <row r="414" spans="1:16">
      <c r="A414" s="89" t="s">
        <v>302</v>
      </c>
      <c r="B414" s="89">
        <v>36</v>
      </c>
      <c r="C414" s="89">
        <v>113</v>
      </c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68"/>
      <c r="O414" s="88"/>
    </row>
    <row r="415" spans="1:16">
      <c r="A415" s="89" t="s">
        <v>303</v>
      </c>
      <c r="B415" s="89">
        <v>4</v>
      </c>
      <c r="C415" s="89">
        <v>2</v>
      </c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68"/>
    </row>
    <row r="416" spans="1:16">
      <c r="A416" s="46"/>
      <c r="B416" s="49"/>
      <c r="C416" s="49"/>
      <c r="D416" s="49"/>
      <c r="E416" s="46"/>
      <c r="F416" s="49"/>
      <c r="G416" s="49"/>
      <c r="H416" s="46"/>
      <c r="I416" s="49"/>
      <c r="J416" s="46"/>
      <c r="K416" s="49"/>
      <c r="L416" s="49"/>
      <c r="M416" s="46"/>
      <c r="N416" s="49"/>
      <c r="O416" s="49"/>
    </row>
    <row r="417" spans="1:15">
      <c r="A417" s="46" t="s">
        <v>304</v>
      </c>
      <c r="B417" s="49"/>
      <c r="C417" s="49"/>
      <c r="D417" s="49"/>
      <c r="E417" s="46"/>
      <c r="F417" s="49"/>
      <c r="G417" s="49"/>
      <c r="H417" s="46"/>
      <c r="I417" s="49"/>
      <c r="J417" s="46"/>
      <c r="K417" s="49"/>
      <c r="L417" s="49"/>
      <c r="M417" s="46"/>
      <c r="N417" s="49"/>
      <c r="O417" s="49"/>
    </row>
    <row r="418" spans="1:15">
      <c r="A418" s="47" t="s">
        <v>195</v>
      </c>
      <c r="B418" s="47" t="s">
        <v>51</v>
      </c>
      <c r="C418" s="47" t="s">
        <v>52</v>
      </c>
      <c r="D418" s="47" t="s">
        <v>53</v>
      </c>
      <c r="E418" s="47" t="s">
        <v>54</v>
      </c>
      <c r="F418" s="47" t="s">
        <v>55</v>
      </c>
      <c r="G418" s="47" t="s">
        <v>56</v>
      </c>
      <c r="H418" s="47" t="s">
        <v>57</v>
      </c>
      <c r="I418" s="47" t="s">
        <v>58</v>
      </c>
      <c r="J418" s="47" t="s">
        <v>59</v>
      </c>
      <c r="K418" s="47" t="s">
        <v>60</v>
      </c>
      <c r="L418" s="47" t="s">
        <v>61</v>
      </c>
      <c r="M418" s="47" t="s">
        <v>62</v>
      </c>
      <c r="N418" s="47" t="s">
        <v>63</v>
      </c>
      <c r="O418" s="47" t="s">
        <v>69</v>
      </c>
    </row>
    <row r="419" spans="1:15">
      <c r="A419" s="48" t="s">
        <v>39</v>
      </c>
      <c r="B419" s="42">
        <v>0</v>
      </c>
      <c r="C419" s="42">
        <v>0</v>
      </c>
      <c r="D419" s="42">
        <v>0</v>
      </c>
      <c r="E419" s="42">
        <v>0</v>
      </c>
      <c r="F419" s="42">
        <v>0</v>
      </c>
      <c r="G419" s="42">
        <v>879</v>
      </c>
      <c r="H419" s="42">
        <v>884</v>
      </c>
      <c r="I419" s="42">
        <v>928</v>
      </c>
      <c r="J419" s="42">
        <v>1050</v>
      </c>
      <c r="K419" s="42">
        <v>1743</v>
      </c>
      <c r="L419" s="42">
        <v>2032</v>
      </c>
      <c r="M419" s="42">
        <v>3024</v>
      </c>
      <c r="N419" s="49">
        <f t="shared" ref="N419:N434" si="58">SUM(B419:M419)</f>
        <v>10540</v>
      </c>
      <c r="O419" s="49"/>
    </row>
    <row r="420" spans="1:15">
      <c r="A420" s="48" t="s">
        <v>41</v>
      </c>
      <c r="B420" s="49">
        <f>10213-8699</f>
        <v>1514</v>
      </c>
      <c r="C420" s="49">
        <f>10841-10213</f>
        <v>628</v>
      </c>
      <c r="D420" s="49">
        <f>11838-10841</f>
        <v>997</v>
      </c>
      <c r="E420" s="49">
        <v>2270</v>
      </c>
      <c r="F420" s="49">
        <f>17803-14608</f>
        <v>3195</v>
      </c>
      <c r="G420" s="49">
        <v>3941</v>
      </c>
      <c r="H420" s="49">
        <v>4404</v>
      </c>
      <c r="I420" s="49">
        <v>4488</v>
      </c>
      <c r="J420" s="49">
        <f>34731-30636</f>
        <v>4095</v>
      </c>
      <c r="K420" s="49">
        <f>38385-34731</f>
        <v>3654</v>
      </c>
      <c r="L420" s="49">
        <v>5628</v>
      </c>
      <c r="M420" s="49">
        <v>7807</v>
      </c>
      <c r="N420" s="49">
        <f t="shared" si="58"/>
        <v>42621</v>
      </c>
      <c r="O420" s="53">
        <f>N420/N419-1</f>
        <v>3.04373814041746</v>
      </c>
    </row>
    <row r="421" spans="1:15">
      <c r="A421" s="48" t="s">
        <v>43</v>
      </c>
      <c r="B421" s="49">
        <v>8085</v>
      </c>
      <c r="C421" s="49">
        <v>3435</v>
      </c>
      <c r="D421" s="49">
        <v>10059</v>
      </c>
      <c r="E421" s="49">
        <v>9087</v>
      </c>
      <c r="F421" s="49">
        <v>10069</v>
      </c>
      <c r="G421" s="49">
        <v>11259</v>
      </c>
      <c r="H421" s="49">
        <v>12044</v>
      </c>
      <c r="I421" s="49">
        <v>12525</v>
      </c>
      <c r="J421" s="49">
        <v>11039</v>
      </c>
      <c r="K421" s="49">
        <v>7026</v>
      </c>
      <c r="L421" s="49">
        <v>8047</v>
      </c>
      <c r="M421" s="49">
        <v>8493</v>
      </c>
      <c r="N421" s="49">
        <f t="shared" si="58"/>
        <v>111168</v>
      </c>
      <c r="O421" s="53">
        <f>N421/N420-1</f>
        <v>1.60829168719645</v>
      </c>
    </row>
    <row r="422" spans="1:15">
      <c r="A422" s="69" t="s">
        <v>305</v>
      </c>
      <c r="B422" s="69">
        <v>6007</v>
      </c>
      <c r="C422" s="69">
        <v>1907</v>
      </c>
      <c r="D422" s="69">
        <v>5853</v>
      </c>
      <c r="E422" s="69">
        <v>7156</v>
      </c>
      <c r="F422" s="69">
        <v>5724</v>
      </c>
      <c r="G422" s="69">
        <v>6411</v>
      </c>
      <c r="H422" s="69">
        <v>5462</v>
      </c>
      <c r="I422" s="69">
        <v>6248</v>
      </c>
      <c r="J422" s="69">
        <v>6080</v>
      </c>
      <c r="K422" s="69">
        <v>3564</v>
      </c>
      <c r="L422" s="69">
        <v>3570</v>
      </c>
      <c r="M422" s="69">
        <v>3937</v>
      </c>
      <c r="N422" s="68">
        <f t="shared" si="58"/>
        <v>61919</v>
      </c>
    </row>
    <row r="423" spans="1:15">
      <c r="A423" s="69" t="s">
        <v>306</v>
      </c>
      <c r="B423" s="69">
        <v>2069</v>
      </c>
      <c r="C423" s="69">
        <v>1521</v>
      </c>
      <c r="D423" s="69">
        <v>4201</v>
      </c>
      <c r="E423" s="69">
        <v>1931</v>
      </c>
      <c r="F423" s="69">
        <v>4345</v>
      </c>
      <c r="G423" s="69">
        <v>4848</v>
      </c>
      <c r="H423" s="69">
        <v>6582</v>
      </c>
      <c r="I423" s="69">
        <v>6277</v>
      </c>
      <c r="J423" s="69">
        <v>561</v>
      </c>
      <c r="K423" s="69">
        <v>2159</v>
      </c>
      <c r="L423" s="69">
        <v>2720</v>
      </c>
      <c r="M423" s="69">
        <v>3320</v>
      </c>
      <c r="N423" s="68">
        <f t="shared" si="58"/>
        <v>40534</v>
      </c>
    </row>
    <row r="424" spans="1:15">
      <c r="A424" s="69" t="s">
        <v>307</v>
      </c>
      <c r="B424" s="69"/>
      <c r="C424" s="69"/>
      <c r="D424" s="69"/>
      <c r="E424" s="69"/>
      <c r="F424" s="69"/>
      <c r="G424" s="69"/>
      <c r="H424" s="69"/>
      <c r="I424" s="69"/>
      <c r="J424" s="69">
        <v>4398</v>
      </c>
      <c r="K424" s="69">
        <v>1303</v>
      </c>
      <c r="L424" s="69">
        <v>1757</v>
      </c>
      <c r="M424" s="69">
        <v>1194</v>
      </c>
      <c r="N424" s="68">
        <f t="shared" si="58"/>
        <v>8652</v>
      </c>
    </row>
    <row r="425" spans="1:15">
      <c r="A425" s="48" t="s">
        <v>75</v>
      </c>
      <c r="B425" s="49">
        <v>1139</v>
      </c>
      <c r="C425" s="49">
        <v>3198</v>
      </c>
      <c r="D425" s="49">
        <v>6172</v>
      </c>
      <c r="E425" s="49">
        <v>8726</v>
      </c>
      <c r="F425" s="49">
        <v>12058</v>
      </c>
      <c r="G425" s="49">
        <v>13209</v>
      </c>
      <c r="H425" s="49">
        <v>14335</v>
      </c>
      <c r="I425" s="49">
        <v>14190</v>
      </c>
      <c r="J425" s="49">
        <v>12053</v>
      </c>
      <c r="K425" s="49">
        <v>18202</v>
      </c>
      <c r="L425" s="49">
        <v>18508</v>
      </c>
      <c r="M425" s="49">
        <f>SUM(M426:M428)</f>
        <v>18618</v>
      </c>
      <c r="N425" s="68">
        <f t="shared" si="58"/>
        <v>140408</v>
      </c>
      <c r="O425" s="53">
        <f>N425/N421-1</f>
        <v>0.263025331030512</v>
      </c>
    </row>
    <row r="426" spans="1:15">
      <c r="A426" s="89" t="s">
        <v>305</v>
      </c>
      <c r="B426" s="89">
        <v>501</v>
      </c>
      <c r="C426" s="89">
        <v>1324</v>
      </c>
      <c r="D426" s="89">
        <v>2100</v>
      </c>
      <c r="E426" s="89">
        <v>1454</v>
      </c>
      <c r="F426" s="89">
        <v>1994</v>
      </c>
      <c r="G426" s="89">
        <v>1602</v>
      </c>
      <c r="H426" s="89">
        <v>2164</v>
      </c>
      <c r="I426" s="89">
        <v>2056</v>
      </c>
      <c r="J426" s="89">
        <v>4402</v>
      </c>
      <c r="K426" s="89">
        <v>6381</v>
      </c>
      <c r="L426" s="89">
        <v>7452</v>
      </c>
      <c r="M426" s="89">
        <v>7024</v>
      </c>
      <c r="N426" s="64">
        <f t="shared" si="58"/>
        <v>38454</v>
      </c>
    </row>
    <row r="427" spans="1:15">
      <c r="A427" s="89" t="s">
        <v>306</v>
      </c>
      <c r="B427" s="89">
        <v>426</v>
      </c>
      <c r="C427" s="89">
        <v>1712</v>
      </c>
      <c r="D427" s="89">
        <v>3154</v>
      </c>
      <c r="E427" s="89">
        <v>6146</v>
      </c>
      <c r="F427" s="89">
        <v>7121</v>
      </c>
      <c r="G427" s="89">
        <v>8934</v>
      </c>
      <c r="H427" s="89">
        <v>9283</v>
      </c>
      <c r="I427" s="89">
        <v>10024</v>
      </c>
      <c r="J427" s="89">
        <v>8071</v>
      </c>
      <c r="K427" s="89">
        <v>8768</v>
      </c>
      <c r="L427" s="89">
        <v>7856</v>
      </c>
      <c r="M427" s="89">
        <v>9121</v>
      </c>
      <c r="N427" s="64">
        <f t="shared" si="58"/>
        <v>80616</v>
      </c>
    </row>
    <row r="428" spans="1:15">
      <c r="A428" s="89" t="s">
        <v>307</v>
      </c>
      <c r="B428" s="89">
        <v>212</v>
      </c>
      <c r="C428" s="89">
        <v>162</v>
      </c>
      <c r="D428" s="89">
        <v>918</v>
      </c>
      <c r="E428" s="89">
        <v>1126</v>
      </c>
      <c r="F428" s="89">
        <v>2943</v>
      </c>
      <c r="G428" s="89">
        <v>2673</v>
      </c>
      <c r="H428" s="89">
        <v>2888</v>
      </c>
      <c r="I428" s="89">
        <v>2110</v>
      </c>
      <c r="J428" s="89">
        <v>3327</v>
      </c>
      <c r="K428" s="89">
        <v>3053</v>
      </c>
      <c r="L428" s="89">
        <v>3200</v>
      </c>
      <c r="M428" s="89">
        <v>2473</v>
      </c>
      <c r="N428" s="64">
        <f t="shared" si="58"/>
        <v>25085</v>
      </c>
    </row>
    <row r="429" spans="1:15">
      <c r="A429" s="48" t="s">
        <v>223</v>
      </c>
      <c r="B429" s="49">
        <v>12277</v>
      </c>
      <c r="C429" s="49">
        <v>6566</v>
      </c>
      <c r="D429" s="49">
        <v>14567</v>
      </c>
      <c r="E429" s="49">
        <v>15005</v>
      </c>
      <c r="F429" s="49">
        <v>18165</v>
      </c>
      <c r="G429" s="100">
        <v>20116</v>
      </c>
      <c r="H429" s="29">
        <v>22093</v>
      </c>
      <c r="I429" s="49">
        <v>30305</v>
      </c>
      <c r="J429" s="49">
        <v>33767</v>
      </c>
      <c r="K429" s="29">
        <v>38177</v>
      </c>
      <c r="L429" s="49">
        <v>40169</v>
      </c>
      <c r="M429" s="49">
        <f>SUM(M430:M434)</f>
        <v>40173</v>
      </c>
      <c r="N429" s="68">
        <f t="shared" si="58"/>
        <v>291380</v>
      </c>
      <c r="O429" s="86">
        <f>N429/SUM(B425:H425)-1</f>
        <v>3.95232591736492</v>
      </c>
    </row>
    <row r="430" spans="1:15">
      <c r="A430" s="89" t="s">
        <v>305</v>
      </c>
      <c r="B430" s="89">
        <v>4606</v>
      </c>
      <c r="C430" s="89">
        <v>2043</v>
      </c>
      <c r="D430" s="89">
        <v>2784</v>
      </c>
      <c r="E430" s="89">
        <v>3207</v>
      </c>
      <c r="F430" s="89">
        <v>4219</v>
      </c>
      <c r="G430" s="89">
        <v>6132</v>
      </c>
      <c r="H430" s="89">
        <v>3378</v>
      </c>
      <c r="I430" s="89">
        <v>4599</v>
      </c>
      <c r="J430" s="89">
        <v>7754</v>
      </c>
      <c r="K430" s="89">
        <v>7828</v>
      </c>
      <c r="L430" s="89">
        <v>8239</v>
      </c>
      <c r="M430" s="89">
        <v>7385</v>
      </c>
      <c r="N430" s="64">
        <f t="shared" si="58"/>
        <v>62174</v>
      </c>
    </row>
    <row r="431" spans="1:15">
      <c r="A431" s="89" t="s">
        <v>306</v>
      </c>
      <c r="B431" s="89">
        <v>5326</v>
      </c>
      <c r="C431" s="89">
        <v>1661</v>
      </c>
      <c r="D431" s="89">
        <v>5135</v>
      </c>
      <c r="E431" s="89">
        <v>4779</v>
      </c>
      <c r="F431" s="89">
        <v>6581</v>
      </c>
      <c r="G431" s="89">
        <v>5905</v>
      </c>
      <c r="H431" s="89">
        <v>6811</v>
      </c>
      <c r="I431" s="89">
        <v>6878</v>
      </c>
      <c r="J431" s="89">
        <v>8370</v>
      </c>
      <c r="K431" s="89">
        <v>10286</v>
      </c>
      <c r="L431" s="89">
        <v>11260</v>
      </c>
      <c r="M431" s="89">
        <v>11338</v>
      </c>
      <c r="N431" s="64">
        <f t="shared" si="58"/>
        <v>84330</v>
      </c>
    </row>
    <row r="432" spans="1:15">
      <c r="A432" s="89" t="s">
        <v>307</v>
      </c>
      <c r="B432" s="89">
        <v>1498</v>
      </c>
      <c r="C432" s="89">
        <v>596</v>
      </c>
      <c r="D432" s="89">
        <v>1904</v>
      </c>
      <c r="E432" s="89">
        <v>1651</v>
      </c>
      <c r="F432" s="89">
        <v>1954</v>
      </c>
      <c r="G432" s="89">
        <v>1720</v>
      </c>
      <c r="H432" s="89">
        <v>1706</v>
      </c>
      <c r="I432" s="89">
        <v>1942</v>
      </c>
      <c r="J432" s="89">
        <v>1746</v>
      </c>
      <c r="K432" s="89">
        <v>2288</v>
      </c>
      <c r="L432" s="89">
        <v>2344</v>
      </c>
      <c r="M432" s="89">
        <v>2222</v>
      </c>
      <c r="N432" s="64">
        <f t="shared" si="58"/>
        <v>21571</v>
      </c>
    </row>
    <row r="433" spans="1:15">
      <c r="A433" s="89" t="s">
        <v>308</v>
      </c>
      <c r="B433" s="89">
        <v>847</v>
      </c>
      <c r="C433" s="89">
        <v>2266</v>
      </c>
      <c r="D433" s="89">
        <v>4744</v>
      </c>
      <c r="E433" s="89">
        <v>5368</v>
      </c>
      <c r="F433" s="89">
        <v>5411</v>
      </c>
      <c r="G433" s="89">
        <v>5470</v>
      </c>
      <c r="H433" s="89">
        <v>7386</v>
      </c>
      <c r="I433" s="89">
        <v>1942</v>
      </c>
      <c r="J433" s="89">
        <v>7181</v>
      </c>
      <c r="K433" s="89">
        <v>7913</v>
      </c>
      <c r="L433" s="89">
        <v>9062</v>
      </c>
      <c r="M433" s="89">
        <v>10437</v>
      </c>
      <c r="N433" s="64">
        <f t="shared" si="58"/>
        <v>68027</v>
      </c>
    </row>
    <row r="434" spans="1:15">
      <c r="A434" s="89" t="s">
        <v>309</v>
      </c>
      <c r="B434" s="89"/>
      <c r="C434" s="89"/>
      <c r="D434" s="89"/>
      <c r="E434" s="89"/>
      <c r="F434" s="89"/>
      <c r="G434" s="89">
        <v>889</v>
      </c>
      <c r="H434" s="89">
        <v>2812</v>
      </c>
      <c r="I434" s="89">
        <v>8032</v>
      </c>
      <c r="J434" s="89">
        <v>7331</v>
      </c>
      <c r="K434" s="89">
        <v>7670</v>
      </c>
      <c r="L434" s="89">
        <v>7945</v>
      </c>
      <c r="M434" s="89">
        <v>8791</v>
      </c>
      <c r="N434" s="64">
        <f t="shared" si="58"/>
        <v>43470</v>
      </c>
    </row>
    <row r="435" spans="1:15">
      <c r="A435" s="48" t="s">
        <v>226</v>
      </c>
      <c r="B435" s="49">
        <v>23004</v>
      </c>
      <c r="C435" s="49">
        <v>22064</v>
      </c>
      <c r="D435" s="49">
        <v>37095</v>
      </c>
      <c r="E435" s="49">
        <v>41039</v>
      </c>
      <c r="F435" s="49"/>
      <c r="G435" s="100"/>
      <c r="H435" s="29"/>
      <c r="I435" s="49"/>
      <c r="J435" s="49"/>
      <c r="K435" s="29"/>
      <c r="L435" s="49"/>
      <c r="M435" s="49"/>
      <c r="N435" s="68"/>
      <c r="O435" s="86"/>
    </row>
    <row r="436" spans="1:15">
      <c r="A436" s="89" t="s">
        <v>305</v>
      </c>
      <c r="B436" s="89">
        <v>4519</v>
      </c>
      <c r="C436" s="89">
        <v>2511</v>
      </c>
      <c r="D436" s="89">
        <v>8380</v>
      </c>
      <c r="E436" s="89">
        <v>9000</v>
      </c>
      <c r="F436" s="89"/>
      <c r="G436" s="89"/>
      <c r="H436" s="89"/>
      <c r="I436" s="89"/>
      <c r="J436" s="89"/>
      <c r="K436" s="89"/>
      <c r="L436" s="89"/>
      <c r="M436" s="89"/>
      <c r="N436" s="64"/>
    </row>
    <row r="437" spans="1:15">
      <c r="A437" s="89" t="s">
        <v>306</v>
      </c>
      <c r="B437" s="89">
        <v>5948</v>
      </c>
      <c r="C437" s="89">
        <v>5325</v>
      </c>
      <c r="D437" s="89">
        <v>6048</v>
      </c>
      <c r="E437" s="89">
        <v>9431</v>
      </c>
      <c r="F437" s="89"/>
      <c r="G437" s="89"/>
      <c r="H437" s="89"/>
      <c r="I437" s="89"/>
      <c r="J437" s="89"/>
      <c r="K437" s="89"/>
      <c r="L437" s="89"/>
      <c r="M437" s="89"/>
      <c r="N437" s="64"/>
    </row>
    <row r="438" spans="1:15">
      <c r="A438" s="89" t="s">
        <v>307</v>
      </c>
      <c r="B438" s="89">
        <v>918</v>
      </c>
      <c r="C438" s="89">
        <v>1220</v>
      </c>
      <c r="D438" s="89">
        <v>969</v>
      </c>
      <c r="E438" s="89">
        <v>999</v>
      </c>
      <c r="F438" s="89"/>
      <c r="G438" s="89"/>
      <c r="H438" s="89"/>
      <c r="I438" s="89"/>
      <c r="J438" s="89"/>
      <c r="K438" s="89"/>
      <c r="L438" s="89"/>
      <c r="M438" s="89"/>
      <c r="N438" s="64"/>
    </row>
    <row r="439" spans="1:15">
      <c r="A439" s="89" t="s">
        <v>308</v>
      </c>
      <c r="B439" s="89">
        <v>6358</v>
      </c>
      <c r="C439" s="89">
        <v>8054</v>
      </c>
      <c r="D439" s="89">
        <v>10052</v>
      </c>
      <c r="E439" s="89">
        <v>7256</v>
      </c>
      <c r="F439" s="89"/>
      <c r="G439" s="89"/>
      <c r="H439" s="89"/>
      <c r="I439" s="89"/>
      <c r="J439" s="89"/>
      <c r="K439" s="89"/>
      <c r="L439" s="89"/>
      <c r="M439" s="89"/>
      <c r="N439" s="64"/>
    </row>
    <row r="440" spans="1:15">
      <c r="A440" s="89" t="s">
        <v>309</v>
      </c>
      <c r="B440" s="89">
        <v>5261</v>
      </c>
      <c r="C440" s="89">
        <v>4954</v>
      </c>
      <c r="D440" s="89">
        <v>4451</v>
      </c>
      <c r="E440" s="89">
        <v>5173</v>
      </c>
      <c r="F440" s="89"/>
      <c r="G440" s="89"/>
      <c r="H440" s="89"/>
      <c r="I440" s="89"/>
      <c r="J440" s="89"/>
      <c r="K440" s="89"/>
      <c r="L440" s="89"/>
      <c r="M440" s="89"/>
      <c r="N440" s="64"/>
    </row>
    <row r="442" spans="1:15">
      <c r="A442" s="46" t="s">
        <v>310</v>
      </c>
    </row>
    <row r="443" spans="1:15">
      <c r="A443" s="47" t="s">
        <v>311</v>
      </c>
      <c r="B443" s="47" t="s">
        <v>51</v>
      </c>
      <c r="C443" s="47" t="s">
        <v>52</v>
      </c>
      <c r="D443" s="47" t="s">
        <v>53</v>
      </c>
      <c r="E443" s="47" t="s">
        <v>54</v>
      </c>
      <c r="F443" s="47" t="s">
        <v>55</v>
      </c>
      <c r="G443" s="47" t="s">
        <v>56</v>
      </c>
      <c r="H443" s="47" t="s">
        <v>57</v>
      </c>
      <c r="I443" s="47" t="s">
        <v>58</v>
      </c>
      <c r="J443" s="47" t="s">
        <v>59</v>
      </c>
      <c r="K443" s="47" t="s">
        <v>60</v>
      </c>
      <c r="L443" s="47" t="s">
        <v>61</v>
      </c>
      <c r="M443" s="47" t="s">
        <v>62</v>
      </c>
      <c r="N443" s="47" t="s">
        <v>63</v>
      </c>
      <c r="O443" s="47" t="s">
        <v>69</v>
      </c>
    </row>
    <row r="444" spans="1:15">
      <c r="A444" s="48" t="s">
        <v>41</v>
      </c>
      <c r="B444" s="69">
        <f t="shared" ref="B444:M444" si="59">SUM(B445:B449)</f>
        <v>0</v>
      </c>
      <c r="C444" s="69">
        <f t="shared" si="59"/>
        <v>180</v>
      </c>
      <c r="D444" s="69">
        <f t="shared" si="59"/>
        <v>990</v>
      </c>
      <c r="E444" s="69">
        <f t="shared" si="59"/>
        <v>1644</v>
      </c>
      <c r="F444" s="69">
        <f t="shared" si="59"/>
        <v>1349</v>
      </c>
      <c r="G444" s="69">
        <f t="shared" si="59"/>
        <v>4976</v>
      </c>
      <c r="H444" s="69">
        <f t="shared" si="59"/>
        <v>5249</v>
      </c>
      <c r="I444" s="69">
        <f t="shared" si="59"/>
        <v>6955</v>
      </c>
      <c r="J444" s="69">
        <f t="shared" si="59"/>
        <v>10290</v>
      </c>
      <c r="K444" s="69">
        <f t="shared" si="59"/>
        <v>11624</v>
      </c>
      <c r="L444" s="69">
        <f t="shared" si="59"/>
        <v>15555</v>
      </c>
      <c r="M444" s="69">
        <f t="shared" si="59"/>
        <v>16705</v>
      </c>
      <c r="N444" s="49">
        <f t="shared" ref="N444:N468" si="60">SUM(B444:M444)</f>
        <v>75517</v>
      </c>
      <c r="O444" s="49"/>
    </row>
    <row r="445" spans="1:15">
      <c r="A445" s="69" t="s">
        <v>312</v>
      </c>
      <c r="B445" s="69">
        <v>0</v>
      </c>
      <c r="C445" s="69">
        <v>0</v>
      </c>
      <c r="D445" s="69">
        <v>625</v>
      </c>
      <c r="E445" s="69">
        <v>922</v>
      </c>
      <c r="F445" s="69">
        <v>847</v>
      </c>
      <c r="G445" s="69">
        <v>1100</v>
      </c>
      <c r="H445" s="69">
        <v>2651</v>
      </c>
      <c r="I445" s="69">
        <v>1686</v>
      </c>
      <c r="J445" s="69">
        <v>3189</v>
      </c>
      <c r="K445" s="69">
        <v>4195</v>
      </c>
      <c r="L445" s="69">
        <v>3914</v>
      </c>
      <c r="M445" s="69">
        <v>4045</v>
      </c>
      <c r="N445" s="68">
        <f t="shared" si="60"/>
        <v>23174</v>
      </c>
      <c r="O445" s="101"/>
    </row>
    <row r="446" spans="1:15">
      <c r="A446" s="69" t="s">
        <v>313</v>
      </c>
      <c r="B446" s="69">
        <v>0</v>
      </c>
      <c r="C446" s="69">
        <v>180</v>
      </c>
      <c r="D446" s="69">
        <v>365</v>
      </c>
      <c r="E446" s="69">
        <v>722</v>
      </c>
      <c r="F446" s="69">
        <v>502</v>
      </c>
      <c r="G446" s="69">
        <v>2191</v>
      </c>
      <c r="H446" s="69">
        <v>1216</v>
      </c>
      <c r="I446" s="69">
        <v>2993</v>
      </c>
      <c r="J446" s="69">
        <v>3858</v>
      </c>
      <c r="K446" s="69">
        <v>3235</v>
      </c>
      <c r="L446" s="69">
        <v>5187</v>
      </c>
      <c r="M446" s="69">
        <v>6404</v>
      </c>
      <c r="N446" s="68">
        <f t="shared" si="60"/>
        <v>26853</v>
      </c>
      <c r="O446" s="101"/>
    </row>
    <row r="447" spans="1:15">
      <c r="A447" s="69" t="s">
        <v>314</v>
      </c>
      <c r="B447" s="69">
        <v>0</v>
      </c>
      <c r="C447" s="69">
        <v>0</v>
      </c>
      <c r="D447" s="69">
        <v>0</v>
      </c>
      <c r="E447" s="69">
        <v>0</v>
      </c>
      <c r="F447" s="69">
        <v>0</v>
      </c>
      <c r="G447" s="69">
        <v>1147</v>
      </c>
      <c r="H447" s="69">
        <v>762</v>
      </c>
      <c r="I447" s="69">
        <v>974</v>
      </c>
      <c r="J447" s="69">
        <v>1579</v>
      </c>
      <c r="K447" s="69">
        <v>1083</v>
      </c>
      <c r="L447" s="69">
        <v>1451</v>
      </c>
      <c r="M447" s="69">
        <v>1391</v>
      </c>
      <c r="N447" s="68">
        <f t="shared" si="60"/>
        <v>8387</v>
      </c>
      <c r="O447" s="101"/>
    </row>
    <row r="448" spans="1:15">
      <c r="A448" s="69" t="s">
        <v>315</v>
      </c>
      <c r="B448" s="69">
        <v>0</v>
      </c>
      <c r="C448" s="69">
        <v>0</v>
      </c>
      <c r="D448" s="69">
        <v>0</v>
      </c>
      <c r="E448" s="69">
        <v>0</v>
      </c>
      <c r="F448" s="69">
        <v>0</v>
      </c>
      <c r="G448" s="69">
        <v>538</v>
      </c>
      <c r="H448" s="69">
        <v>620</v>
      </c>
      <c r="I448" s="69">
        <v>1302</v>
      </c>
      <c r="J448" s="69">
        <v>1664</v>
      </c>
      <c r="K448" s="69">
        <v>1776</v>
      </c>
      <c r="L448" s="69">
        <v>2248</v>
      </c>
      <c r="M448" s="69">
        <v>2218</v>
      </c>
      <c r="N448" s="68">
        <f t="shared" si="60"/>
        <v>10366</v>
      </c>
      <c r="O448" s="101"/>
    </row>
    <row r="449" spans="1:15">
      <c r="A449" s="69" t="s">
        <v>316</v>
      </c>
      <c r="B449" s="69">
        <v>0</v>
      </c>
      <c r="C449" s="69">
        <v>0</v>
      </c>
      <c r="D449" s="69">
        <v>0</v>
      </c>
      <c r="E449" s="69">
        <v>0</v>
      </c>
      <c r="F449" s="69">
        <v>0</v>
      </c>
      <c r="G449" s="69">
        <v>0</v>
      </c>
      <c r="H449" s="69">
        <v>0</v>
      </c>
      <c r="I449" s="69">
        <v>0</v>
      </c>
      <c r="J449" s="69">
        <v>0</v>
      </c>
      <c r="K449" s="69">
        <v>1335</v>
      </c>
      <c r="L449" s="69">
        <v>2755</v>
      </c>
      <c r="M449" s="69">
        <v>2647</v>
      </c>
      <c r="N449" s="68">
        <f t="shared" si="60"/>
        <v>6737</v>
      </c>
      <c r="O449" s="101"/>
    </row>
    <row r="450" spans="1:15">
      <c r="A450" s="48" t="s">
        <v>43</v>
      </c>
      <c r="B450" s="69">
        <f t="shared" ref="B450:M450" si="61">SUM(B451:B455)</f>
        <v>10478</v>
      </c>
      <c r="C450" s="69">
        <f t="shared" si="61"/>
        <v>6383</v>
      </c>
      <c r="D450" s="69">
        <f t="shared" si="61"/>
        <v>9645</v>
      </c>
      <c r="E450" s="69">
        <f t="shared" si="61"/>
        <v>6202</v>
      </c>
      <c r="F450" s="69">
        <f t="shared" si="61"/>
        <v>8510</v>
      </c>
      <c r="G450" s="69">
        <f t="shared" si="61"/>
        <v>17635</v>
      </c>
      <c r="H450" s="69">
        <f t="shared" si="61"/>
        <v>17407</v>
      </c>
      <c r="I450" s="69">
        <f t="shared" si="61"/>
        <v>17966</v>
      </c>
      <c r="J450" s="69">
        <f t="shared" si="61"/>
        <v>9842</v>
      </c>
      <c r="K450" s="69">
        <f t="shared" si="61"/>
        <v>10721</v>
      </c>
      <c r="L450" s="69">
        <f t="shared" si="61"/>
        <v>12015</v>
      </c>
      <c r="M450" s="69">
        <f t="shared" si="61"/>
        <v>15701</v>
      </c>
      <c r="N450" s="49">
        <f t="shared" si="60"/>
        <v>142505</v>
      </c>
      <c r="O450" s="102">
        <f>N450/N444-1</f>
        <v>0.887058543109499</v>
      </c>
    </row>
    <row r="451" spans="1:15">
      <c r="A451" s="69" t="s">
        <v>312</v>
      </c>
      <c r="B451" s="69">
        <v>4088</v>
      </c>
      <c r="C451" s="69">
        <v>1357</v>
      </c>
      <c r="D451" s="69">
        <v>2373</v>
      </c>
      <c r="E451" s="69">
        <v>954</v>
      </c>
      <c r="F451" s="69">
        <v>1957</v>
      </c>
      <c r="G451" s="69">
        <v>4163</v>
      </c>
      <c r="H451" s="69">
        <v>4220</v>
      </c>
      <c r="I451" s="69">
        <v>4409</v>
      </c>
      <c r="J451" s="69">
        <v>2049</v>
      </c>
      <c r="K451" s="69">
        <v>2610</v>
      </c>
      <c r="L451" s="69">
        <v>3297</v>
      </c>
      <c r="M451" s="69">
        <v>3901</v>
      </c>
      <c r="N451" s="68">
        <f t="shared" si="60"/>
        <v>35378</v>
      </c>
      <c r="O451" s="101"/>
    </row>
    <row r="452" spans="1:15">
      <c r="A452" s="69" t="s">
        <v>313</v>
      </c>
      <c r="B452" s="69">
        <v>2206</v>
      </c>
      <c r="C452" s="69">
        <v>2374</v>
      </c>
      <c r="D452" s="69">
        <v>2912</v>
      </c>
      <c r="E452" s="69">
        <v>2845</v>
      </c>
      <c r="F452" s="69">
        <v>3377</v>
      </c>
      <c r="G452" s="69">
        <v>6243</v>
      </c>
      <c r="H452" s="69">
        <v>5206</v>
      </c>
      <c r="I452" s="69">
        <v>5730</v>
      </c>
      <c r="J452" s="69">
        <v>3759</v>
      </c>
      <c r="K452" s="69">
        <v>3284</v>
      </c>
      <c r="L452" s="69">
        <v>2757</v>
      </c>
      <c r="M452" s="69">
        <v>4832</v>
      </c>
      <c r="N452" s="68">
        <f t="shared" si="60"/>
        <v>45525</v>
      </c>
      <c r="O452" s="101"/>
    </row>
    <row r="453" spans="1:15">
      <c r="A453" s="69" t="s">
        <v>314</v>
      </c>
      <c r="B453" s="69">
        <v>1088</v>
      </c>
      <c r="C453" s="69">
        <v>170</v>
      </c>
      <c r="D453" s="69">
        <v>898</v>
      </c>
      <c r="E453" s="69">
        <v>515</v>
      </c>
      <c r="F453" s="69">
        <v>721</v>
      </c>
      <c r="G453" s="69">
        <v>1626</v>
      </c>
      <c r="H453" s="69">
        <v>1386</v>
      </c>
      <c r="I453" s="69">
        <v>1303</v>
      </c>
      <c r="J453" s="69">
        <v>474</v>
      </c>
      <c r="K453" s="69">
        <v>923</v>
      </c>
      <c r="L453" s="69">
        <v>790</v>
      </c>
      <c r="M453" s="69">
        <v>1315</v>
      </c>
      <c r="N453" s="68">
        <f t="shared" si="60"/>
        <v>11209</v>
      </c>
      <c r="O453" s="101"/>
    </row>
    <row r="454" spans="1:15">
      <c r="A454" s="69" t="s">
        <v>315</v>
      </c>
      <c r="B454" s="69">
        <v>881</v>
      </c>
      <c r="C454" s="69">
        <v>1470</v>
      </c>
      <c r="D454" s="69">
        <v>1933</v>
      </c>
      <c r="E454" s="69">
        <v>1357</v>
      </c>
      <c r="F454" s="69">
        <v>1633</v>
      </c>
      <c r="G454" s="69">
        <v>2802</v>
      </c>
      <c r="H454" s="69">
        <v>2115</v>
      </c>
      <c r="I454" s="69">
        <v>3831</v>
      </c>
      <c r="J454" s="69">
        <v>2583</v>
      </c>
      <c r="K454" s="69">
        <v>2237</v>
      </c>
      <c r="L454" s="69">
        <v>2248</v>
      </c>
      <c r="M454" s="69">
        <v>2869</v>
      </c>
      <c r="N454" s="68">
        <f t="shared" si="60"/>
        <v>25959</v>
      </c>
      <c r="O454" s="101"/>
    </row>
    <row r="455" spans="1:15">
      <c r="A455" s="69" t="s">
        <v>316</v>
      </c>
      <c r="B455" s="69">
        <v>2215</v>
      </c>
      <c r="C455" s="69">
        <v>1012</v>
      </c>
      <c r="D455" s="69">
        <v>1529</v>
      </c>
      <c r="E455" s="69">
        <v>531</v>
      </c>
      <c r="F455" s="69">
        <v>822</v>
      </c>
      <c r="G455" s="69">
        <v>2801</v>
      </c>
      <c r="H455" s="69">
        <v>4480</v>
      </c>
      <c r="I455" s="69">
        <v>2693</v>
      </c>
      <c r="J455" s="69">
        <v>977</v>
      </c>
      <c r="K455" s="69">
        <v>1667</v>
      </c>
      <c r="L455" s="69">
        <v>2923</v>
      </c>
      <c r="M455" s="69">
        <v>2784</v>
      </c>
      <c r="N455" s="68">
        <f t="shared" si="60"/>
        <v>24434</v>
      </c>
    </row>
    <row r="456" spans="1:15">
      <c r="A456" s="48" t="s">
        <v>75</v>
      </c>
      <c r="B456" s="69">
        <f t="shared" ref="B456:M456" si="62">SUM(B457:B461)</f>
        <v>3812</v>
      </c>
      <c r="C456" s="69">
        <f t="shared" si="62"/>
        <v>4283</v>
      </c>
      <c r="D456" s="69">
        <f t="shared" si="62"/>
        <v>8517</v>
      </c>
      <c r="E456" s="69">
        <f t="shared" si="62"/>
        <v>11013</v>
      </c>
      <c r="F456" s="69">
        <f t="shared" si="62"/>
        <v>11302</v>
      </c>
      <c r="G456" s="69">
        <f t="shared" si="62"/>
        <v>9221</v>
      </c>
      <c r="H456" s="69">
        <f t="shared" si="62"/>
        <v>12922</v>
      </c>
      <c r="I456" s="69">
        <f t="shared" si="62"/>
        <v>13205</v>
      </c>
      <c r="J456" s="69">
        <f t="shared" si="62"/>
        <v>18058</v>
      </c>
      <c r="K456" s="69">
        <f t="shared" si="62"/>
        <v>20454</v>
      </c>
      <c r="L456" s="69">
        <f t="shared" si="62"/>
        <v>20060</v>
      </c>
      <c r="M456" s="69">
        <f t="shared" si="62"/>
        <v>21906</v>
      </c>
      <c r="N456" s="68">
        <f t="shared" si="60"/>
        <v>154753</v>
      </c>
      <c r="O456" s="102">
        <f>N456/N450-1</f>
        <v>0.0859478614785447</v>
      </c>
    </row>
    <row r="457" spans="1:15">
      <c r="A457" s="89" t="s">
        <v>312</v>
      </c>
      <c r="B457" s="89">
        <v>1135</v>
      </c>
      <c r="C457" s="89">
        <v>680</v>
      </c>
      <c r="D457" s="89">
        <v>1703</v>
      </c>
      <c r="E457" s="89">
        <v>3601</v>
      </c>
      <c r="F457" s="89">
        <v>2323</v>
      </c>
      <c r="G457" s="89">
        <v>1733</v>
      </c>
      <c r="H457" s="89">
        <v>841</v>
      </c>
      <c r="I457" s="89">
        <v>1665</v>
      </c>
      <c r="J457" s="89">
        <v>2867</v>
      </c>
      <c r="K457" s="89">
        <v>2917</v>
      </c>
      <c r="L457" s="89">
        <v>2747</v>
      </c>
      <c r="M457" s="89">
        <v>1950</v>
      </c>
      <c r="N457" s="64">
        <f t="shared" si="60"/>
        <v>24162</v>
      </c>
      <c r="O457" s="101"/>
    </row>
    <row r="458" spans="1:15">
      <c r="A458" s="89" t="s">
        <v>313</v>
      </c>
      <c r="B458" s="89">
        <v>532</v>
      </c>
      <c r="C458" s="89">
        <v>1641</v>
      </c>
      <c r="D458" s="89">
        <v>2260</v>
      </c>
      <c r="E458" s="89">
        <v>1639</v>
      </c>
      <c r="F458" s="89">
        <v>3937</v>
      </c>
      <c r="G458" s="89">
        <v>3792</v>
      </c>
      <c r="H458" s="89">
        <v>3190</v>
      </c>
      <c r="I458" s="89">
        <v>2646</v>
      </c>
      <c r="J458" s="89">
        <v>4157</v>
      </c>
      <c r="K458" s="89">
        <v>4292</v>
      </c>
      <c r="L458" s="89">
        <v>3872</v>
      </c>
      <c r="M458" s="89">
        <v>5600</v>
      </c>
      <c r="N458" s="64">
        <f t="shared" si="60"/>
        <v>37558</v>
      </c>
      <c r="O458" s="101"/>
    </row>
    <row r="459" spans="1:15">
      <c r="A459" s="89" t="s">
        <v>314</v>
      </c>
      <c r="B459" s="89">
        <v>251</v>
      </c>
      <c r="C459" s="89">
        <v>258</v>
      </c>
      <c r="D459" s="89">
        <v>306</v>
      </c>
      <c r="E459" s="89">
        <v>876</v>
      </c>
      <c r="F459" s="89">
        <v>1121</v>
      </c>
      <c r="G459" s="89">
        <v>448</v>
      </c>
      <c r="H459" s="89">
        <v>159</v>
      </c>
      <c r="I459" s="89">
        <v>358</v>
      </c>
      <c r="J459" s="89">
        <v>439</v>
      </c>
      <c r="K459" s="89">
        <v>634</v>
      </c>
      <c r="L459" s="89">
        <v>813</v>
      </c>
      <c r="M459" s="89">
        <v>580</v>
      </c>
      <c r="N459" s="64">
        <f t="shared" si="60"/>
        <v>6243</v>
      </c>
      <c r="O459" s="101"/>
    </row>
    <row r="460" spans="1:15">
      <c r="A460" s="89" t="s">
        <v>315</v>
      </c>
      <c r="B460" s="89">
        <v>280</v>
      </c>
      <c r="C460" s="89">
        <v>642</v>
      </c>
      <c r="D460" s="89">
        <v>1157</v>
      </c>
      <c r="E460" s="89">
        <v>1374</v>
      </c>
      <c r="F460" s="89">
        <v>1365</v>
      </c>
      <c r="G460" s="89">
        <v>1429</v>
      </c>
      <c r="H460" s="89">
        <v>1354</v>
      </c>
      <c r="I460" s="89">
        <v>551</v>
      </c>
      <c r="J460" s="89">
        <v>945</v>
      </c>
      <c r="K460" s="89">
        <v>799</v>
      </c>
      <c r="L460" s="89">
        <v>588</v>
      </c>
      <c r="M460" s="89">
        <v>575</v>
      </c>
      <c r="N460" s="64">
        <f t="shared" si="60"/>
        <v>11059</v>
      </c>
      <c r="O460" s="101"/>
    </row>
    <row r="461" spans="1:15">
      <c r="A461" s="89" t="s">
        <v>316</v>
      </c>
      <c r="B461" s="89">
        <v>1614</v>
      </c>
      <c r="C461" s="89">
        <v>1062</v>
      </c>
      <c r="D461" s="89">
        <v>3091</v>
      </c>
      <c r="E461" s="89">
        <v>3523</v>
      </c>
      <c r="F461" s="89">
        <v>2556</v>
      </c>
      <c r="G461" s="89">
        <v>1819</v>
      </c>
      <c r="H461" s="89">
        <v>7378</v>
      </c>
      <c r="I461" s="89">
        <v>7985</v>
      </c>
      <c r="J461" s="89">
        <v>9650</v>
      </c>
      <c r="K461" s="89">
        <v>11812</v>
      </c>
      <c r="L461" s="89">
        <v>12040</v>
      </c>
      <c r="M461" s="89">
        <v>13201</v>
      </c>
      <c r="N461" s="64">
        <f t="shared" si="60"/>
        <v>75731</v>
      </c>
    </row>
    <row r="462" spans="1:15">
      <c r="A462" s="48" t="s">
        <v>223</v>
      </c>
      <c r="B462" s="69">
        <f>SUM(B463:B467)</f>
        <v>13559</v>
      </c>
      <c r="C462" s="69">
        <f>SUM(C463:C467)</f>
        <v>6486</v>
      </c>
      <c r="D462" s="69">
        <f>SUM(D463:D467)</f>
        <v>11906</v>
      </c>
      <c r="E462" s="69">
        <f>SUM(E463:E467)</f>
        <v>12725</v>
      </c>
      <c r="F462" s="69">
        <f t="shared" ref="F462:M462" si="63">SUM(F463:F468)</f>
        <v>14601</v>
      </c>
      <c r="G462" s="69">
        <f t="shared" si="63"/>
        <v>15007</v>
      </c>
      <c r="H462" s="69">
        <f t="shared" si="63"/>
        <v>15903</v>
      </c>
      <c r="I462" s="69">
        <f t="shared" si="63"/>
        <v>17807</v>
      </c>
      <c r="J462" s="69">
        <f t="shared" si="63"/>
        <v>17014</v>
      </c>
      <c r="K462" s="69">
        <f t="shared" si="63"/>
        <v>17412</v>
      </c>
      <c r="L462" s="69">
        <f t="shared" si="63"/>
        <v>17882</v>
      </c>
      <c r="M462" s="69">
        <f t="shared" si="63"/>
        <v>14572</v>
      </c>
      <c r="N462" s="68">
        <f t="shared" si="60"/>
        <v>174874</v>
      </c>
      <c r="O462" s="102">
        <f>N462/N456-1</f>
        <v>0.130020096540939</v>
      </c>
    </row>
    <row r="463" spans="1:15">
      <c r="A463" s="89" t="s">
        <v>312</v>
      </c>
      <c r="B463" s="89">
        <v>1625</v>
      </c>
      <c r="C463" s="89">
        <v>1100</v>
      </c>
      <c r="D463" s="89">
        <v>1939</v>
      </c>
      <c r="E463" s="89">
        <v>2350</v>
      </c>
      <c r="F463" s="89">
        <v>2800</v>
      </c>
      <c r="G463" s="89">
        <v>2760</v>
      </c>
      <c r="H463" s="89">
        <v>3120</v>
      </c>
      <c r="I463" s="89">
        <v>3710</v>
      </c>
      <c r="J463" s="89">
        <v>3437</v>
      </c>
      <c r="K463" s="89">
        <v>4155</v>
      </c>
      <c r="L463" s="89">
        <v>4108</v>
      </c>
      <c r="M463" s="89">
        <v>3400</v>
      </c>
      <c r="N463" s="64">
        <f t="shared" si="60"/>
        <v>34504</v>
      </c>
      <c r="O463" s="101"/>
    </row>
    <row r="464" spans="1:15">
      <c r="A464" s="89" t="s">
        <v>313</v>
      </c>
      <c r="B464" s="89">
        <v>3622</v>
      </c>
      <c r="C464" s="89">
        <v>1299</v>
      </c>
      <c r="D464" s="89">
        <v>3333</v>
      </c>
      <c r="E464" s="89">
        <v>3722</v>
      </c>
      <c r="F464" s="89">
        <v>3961</v>
      </c>
      <c r="G464" s="89">
        <v>4094</v>
      </c>
      <c r="H464" s="89">
        <v>3273</v>
      </c>
      <c r="I464" s="89">
        <v>3061</v>
      </c>
      <c r="J464" s="89">
        <v>3343</v>
      </c>
      <c r="K464" s="89">
        <v>2721</v>
      </c>
      <c r="L464" s="89">
        <v>2878</v>
      </c>
      <c r="M464" s="89">
        <v>2184</v>
      </c>
      <c r="N464" s="64">
        <f t="shared" si="60"/>
        <v>37491</v>
      </c>
      <c r="O464" s="101"/>
    </row>
    <row r="465" spans="1:15">
      <c r="A465" s="89" t="s">
        <v>314</v>
      </c>
      <c r="B465" s="89">
        <v>272</v>
      </c>
      <c r="C465" s="89">
        <v>100</v>
      </c>
      <c r="D465" s="89">
        <v>170</v>
      </c>
      <c r="E465" s="89">
        <v>250</v>
      </c>
      <c r="F465" s="89">
        <v>200</v>
      </c>
      <c r="G465" s="89">
        <v>200</v>
      </c>
      <c r="H465" s="89">
        <v>101</v>
      </c>
      <c r="I465" s="89">
        <v>200</v>
      </c>
      <c r="J465" s="89">
        <v>113</v>
      </c>
      <c r="K465" s="89">
        <v>47</v>
      </c>
      <c r="L465" s="89">
        <v>2</v>
      </c>
      <c r="M465" s="89">
        <v>2</v>
      </c>
      <c r="N465" s="64">
        <f t="shared" si="60"/>
        <v>1657</v>
      </c>
      <c r="O465" s="101"/>
    </row>
    <row r="466" spans="1:15">
      <c r="A466" s="89" t="s">
        <v>315</v>
      </c>
      <c r="B466" s="89">
        <v>434</v>
      </c>
      <c r="C466" s="89">
        <v>184</v>
      </c>
      <c r="D466" s="89">
        <v>264</v>
      </c>
      <c r="E466" s="89">
        <v>400</v>
      </c>
      <c r="F466" s="89">
        <v>897</v>
      </c>
      <c r="G466" s="89">
        <v>611</v>
      </c>
      <c r="H466" s="89">
        <v>317</v>
      </c>
      <c r="I466" s="89">
        <v>458</v>
      </c>
      <c r="J466" s="89">
        <v>334</v>
      </c>
      <c r="K466" s="89">
        <v>101</v>
      </c>
      <c r="L466" s="89">
        <v>133</v>
      </c>
      <c r="M466" s="89">
        <v>148</v>
      </c>
      <c r="N466" s="64">
        <f t="shared" si="60"/>
        <v>4281</v>
      </c>
      <c r="O466" s="101"/>
    </row>
    <row r="467" spans="1:15">
      <c r="A467" s="89" t="s">
        <v>316</v>
      </c>
      <c r="B467" s="89">
        <v>7606</v>
      </c>
      <c r="C467" s="89">
        <v>3803</v>
      </c>
      <c r="D467" s="89">
        <v>6200</v>
      </c>
      <c r="E467" s="89">
        <v>6003</v>
      </c>
      <c r="F467" s="89">
        <v>6743</v>
      </c>
      <c r="G467" s="89">
        <v>7043</v>
      </c>
      <c r="H467" s="89">
        <v>8282</v>
      </c>
      <c r="I467" s="89">
        <v>9468</v>
      </c>
      <c r="J467" s="89">
        <v>9650</v>
      </c>
      <c r="K467" s="89">
        <v>9998</v>
      </c>
      <c r="L467" s="89">
        <v>10572</v>
      </c>
      <c r="M467" s="89">
        <v>8448</v>
      </c>
      <c r="N467" s="64">
        <f t="shared" si="60"/>
        <v>93816</v>
      </c>
    </row>
    <row r="468" spans="1:15">
      <c r="A468" s="89" t="s">
        <v>317</v>
      </c>
      <c r="B468" s="89"/>
      <c r="C468" s="89"/>
      <c r="D468" s="89"/>
      <c r="E468" s="89"/>
      <c r="F468" s="89"/>
      <c r="G468" s="89">
        <v>299</v>
      </c>
      <c r="H468" s="89">
        <v>810</v>
      </c>
      <c r="I468" s="89">
        <v>910</v>
      </c>
      <c r="J468" s="89">
        <v>137</v>
      </c>
      <c r="K468" s="89">
        <v>390</v>
      </c>
      <c r="L468" s="89">
        <v>189</v>
      </c>
      <c r="M468" s="89">
        <v>390</v>
      </c>
      <c r="N468" s="64">
        <f t="shared" si="60"/>
        <v>3125</v>
      </c>
    </row>
    <row r="469" spans="1:15">
      <c r="A469" s="48" t="s">
        <v>226</v>
      </c>
      <c r="B469" s="69">
        <f>SUM(B470:B475)</f>
        <v>4552</v>
      </c>
      <c r="C469" s="69">
        <f>SUM(C470:C475)</f>
        <v>5100</v>
      </c>
      <c r="D469" s="69">
        <v>10871</v>
      </c>
      <c r="E469" s="69">
        <v>9268</v>
      </c>
      <c r="F469" s="69"/>
      <c r="G469" s="69"/>
      <c r="H469" s="69"/>
      <c r="I469" s="69"/>
      <c r="J469" s="69"/>
      <c r="K469" s="69"/>
      <c r="L469" s="69"/>
      <c r="M469" s="69"/>
      <c r="N469" s="68"/>
      <c r="O469" s="102"/>
    </row>
    <row r="470" spans="1:15">
      <c r="A470" s="89" t="s">
        <v>312</v>
      </c>
      <c r="B470" s="89">
        <v>1020</v>
      </c>
      <c r="C470" s="89">
        <v>1000</v>
      </c>
      <c r="D470" s="89">
        <v>2000</v>
      </c>
      <c r="E470" s="89">
        <v>1900</v>
      </c>
      <c r="F470" s="89"/>
      <c r="G470" s="89"/>
      <c r="H470" s="89"/>
      <c r="I470" s="89"/>
      <c r="J470" s="89"/>
      <c r="K470" s="89"/>
      <c r="L470" s="89"/>
      <c r="M470" s="89"/>
      <c r="N470" s="64"/>
      <c r="O470" s="101"/>
    </row>
    <row r="471" spans="1:15">
      <c r="A471" s="89" t="s">
        <v>313</v>
      </c>
      <c r="B471" s="89">
        <v>889</v>
      </c>
      <c r="C471" s="89">
        <v>688</v>
      </c>
      <c r="D471" s="89">
        <v>2144</v>
      </c>
      <c r="E471" s="89">
        <v>2653</v>
      </c>
      <c r="F471" s="89"/>
      <c r="G471" s="89"/>
      <c r="H471" s="89"/>
      <c r="I471" s="89"/>
      <c r="J471" s="89"/>
      <c r="K471" s="89"/>
      <c r="L471" s="89"/>
      <c r="M471" s="89"/>
      <c r="N471" s="64"/>
      <c r="O471" s="101"/>
    </row>
    <row r="472" spans="1:15">
      <c r="A472" s="89" t="s">
        <v>314</v>
      </c>
      <c r="B472" s="89">
        <v>2</v>
      </c>
      <c r="C472" s="89">
        <v>2</v>
      </c>
      <c r="D472" s="89">
        <v>0</v>
      </c>
      <c r="E472" s="89">
        <v>2</v>
      </c>
      <c r="F472" s="89"/>
      <c r="G472" s="89"/>
      <c r="H472" s="89"/>
      <c r="I472" s="89"/>
      <c r="J472" s="89"/>
      <c r="K472" s="89"/>
      <c r="L472" s="89"/>
      <c r="M472" s="89"/>
      <c r="N472" s="64"/>
      <c r="O472" s="101"/>
    </row>
    <row r="473" spans="1:15">
      <c r="A473" s="89" t="s">
        <v>315</v>
      </c>
      <c r="B473" s="89">
        <v>9</v>
      </c>
      <c r="C473" s="89">
        <v>25</v>
      </c>
      <c r="D473" s="89">
        <v>150</v>
      </c>
      <c r="E473" s="89">
        <v>615</v>
      </c>
      <c r="F473" s="89"/>
      <c r="G473" s="89"/>
      <c r="H473" s="89"/>
      <c r="I473" s="89"/>
      <c r="J473" s="89"/>
      <c r="K473" s="89"/>
      <c r="L473" s="89"/>
      <c r="M473" s="89"/>
      <c r="N473" s="64"/>
      <c r="O473" s="101"/>
    </row>
    <row r="474" spans="1:15">
      <c r="A474" s="89" t="s">
        <v>316</v>
      </c>
      <c r="B474" s="89">
        <v>2623</v>
      </c>
      <c r="C474" s="89">
        <v>3098</v>
      </c>
      <c r="D474" s="89">
        <v>5601</v>
      </c>
      <c r="E474" s="89">
        <v>4098</v>
      </c>
      <c r="F474" s="89"/>
      <c r="G474" s="89"/>
      <c r="H474" s="89"/>
      <c r="I474" s="89"/>
      <c r="J474" s="89"/>
      <c r="K474" s="89"/>
      <c r="L474" s="89"/>
      <c r="M474" s="89"/>
      <c r="N474" s="64"/>
    </row>
    <row r="475" spans="1:15">
      <c r="A475" s="89" t="s">
        <v>317</v>
      </c>
      <c r="B475" s="89">
        <v>9</v>
      </c>
      <c r="C475" s="89">
        <v>287</v>
      </c>
      <c r="D475" s="89">
        <v>621</v>
      </c>
      <c r="E475" s="89">
        <v>0</v>
      </c>
      <c r="F475" s="89"/>
      <c r="G475" s="89"/>
      <c r="H475" s="89"/>
      <c r="I475" s="89"/>
      <c r="J475" s="89"/>
      <c r="K475" s="89"/>
      <c r="L475" s="89"/>
      <c r="M475" s="89"/>
      <c r="N475" s="64"/>
    </row>
    <row r="476" spans="1:1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</row>
    <row r="477" spans="1:15">
      <c r="A477" s="46" t="s">
        <v>318</v>
      </c>
    </row>
    <row r="478" spans="1:15">
      <c r="A478" s="47" t="s">
        <v>319</v>
      </c>
      <c r="B478" s="47" t="s">
        <v>51</v>
      </c>
      <c r="C478" s="47" t="s">
        <v>52</v>
      </c>
      <c r="D478" s="47" t="s">
        <v>53</v>
      </c>
      <c r="E478" s="47" t="s">
        <v>54</v>
      </c>
      <c r="F478" s="47" t="s">
        <v>55</v>
      </c>
      <c r="G478" s="47" t="s">
        <v>56</v>
      </c>
      <c r="H478" s="47" t="s">
        <v>57</v>
      </c>
      <c r="I478" s="47" t="s">
        <v>58</v>
      </c>
      <c r="J478" s="47" t="s">
        <v>59</v>
      </c>
      <c r="K478" s="47" t="s">
        <v>60</v>
      </c>
      <c r="L478" s="47" t="s">
        <v>61</v>
      </c>
      <c r="M478" s="47" t="s">
        <v>62</v>
      </c>
      <c r="N478" s="47" t="s">
        <v>63</v>
      </c>
      <c r="O478" s="47" t="s">
        <v>69</v>
      </c>
    </row>
    <row r="479" spans="1:15">
      <c r="A479" s="48" t="s">
        <v>41</v>
      </c>
      <c r="B479" s="69">
        <v>0</v>
      </c>
      <c r="C479" s="69">
        <v>20167</v>
      </c>
      <c r="D479" s="69">
        <v>39745</v>
      </c>
      <c r="E479" s="69">
        <v>29251</v>
      </c>
      <c r="F479" s="69">
        <v>26742</v>
      </c>
      <c r="G479" s="69">
        <v>30100</v>
      </c>
      <c r="H479" s="69">
        <v>26907</v>
      </c>
      <c r="I479" s="69">
        <v>41188</v>
      </c>
      <c r="J479" s="69">
        <v>35176</v>
      </c>
      <c r="K479" s="69">
        <v>39128</v>
      </c>
      <c r="L479" s="69">
        <v>45576</v>
      </c>
      <c r="M479" s="69">
        <v>55742</v>
      </c>
      <c r="N479" s="49">
        <f t="shared" ref="N479:N484" si="64">SUM(B479:M479)</f>
        <v>389722</v>
      </c>
      <c r="O479" s="49"/>
    </row>
    <row r="480" spans="1:15">
      <c r="A480" s="48" t="s">
        <v>43</v>
      </c>
      <c r="B480" s="69">
        <v>37048</v>
      </c>
      <c r="C480" s="69">
        <v>22110</v>
      </c>
      <c r="D480" s="69">
        <v>41980</v>
      </c>
      <c r="E480" s="69">
        <v>24908</v>
      </c>
      <c r="F480" s="69">
        <v>29169</v>
      </c>
      <c r="G480" s="69">
        <v>39798</v>
      </c>
      <c r="H480" s="69">
        <v>37128</v>
      </c>
      <c r="I480" s="69">
        <v>33866</v>
      </c>
      <c r="J480" s="69">
        <v>37416</v>
      </c>
      <c r="K480" s="69">
        <v>41255</v>
      </c>
      <c r="L480" s="69">
        <v>31982</v>
      </c>
      <c r="M480" s="69">
        <v>34523</v>
      </c>
      <c r="N480" s="49">
        <f t="shared" si="64"/>
        <v>411183</v>
      </c>
      <c r="O480" s="101"/>
    </row>
    <row r="481" spans="1:16">
      <c r="A481" s="48" t="s">
        <v>75</v>
      </c>
      <c r="B481" s="69">
        <f t="shared" ref="B481:J481" si="65">B482</f>
        <v>16416</v>
      </c>
      <c r="C481" s="69">
        <f t="shared" si="65"/>
        <v>30267</v>
      </c>
      <c r="D481" s="69">
        <f t="shared" si="65"/>
        <v>23159</v>
      </c>
      <c r="E481" s="69">
        <f t="shared" si="65"/>
        <v>18086</v>
      </c>
      <c r="F481" s="69">
        <f t="shared" si="65"/>
        <v>20346</v>
      </c>
      <c r="G481" s="69">
        <f t="shared" si="65"/>
        <v>13763</v>
      </c>
      <c r="H481" s="69">
        <f t="shared" si="65"/>
        <v>15499</v>
      </c>
      <c r="I481" s="69">
        <f t="shared" si="65"/>
        <v>15844</v>
      </c>
      <c r="J481" s="69">
        <f t="shared" si="65"/>
        <v>16146</v>
      </c>
      <c r="K481" s="69">
        <v>44600</v>
      </c>
      <c r="L481" s="69">
        <v>59372</v>
      </c>
      <c r="M481" s="69">
        <f>M482</f>
        <v>25015</v>
      </c>
      <c r="N481" s="49">
        <f t="shared" si="64"/>
        <v>298513</v>
      </c>
      <c r="O481" s="103">
        <f>N481/N480-1</f>
        <v>-0.274014246697942</v>
      </c>
    </row>
    <row r="482" spans="1:16">
      <c r="A482" s="89" t="s">
        <v>320</v>
      </c>
      <c r="B482" s="89">
        <v>16416</v>
      </c>
      <c r="C482" s="89">
        <v>30267</v>
      </c>
      <c r="D482" s="89">
        <v>23159</v>
      </c>
      <c r="E482" s="89">
        <v>18086</v>
      </c>
      <c r="F482" s="89">
        <v>20346</v>
      </c>
      <c r="G482" s="89">
        <v>13763</v>
      </c>
      <c r="H482" s="89">
        <v>15499</v>
      </c>
      <c r="I482" s="89">
        <v>15844</v>
      </c>
      <c r="J482" s="89">
        <v>16146</v>
      </c>
      <c r="K482" s="89">
        <v>20337</v>
      </c>
      <c r="L482" s="89">
        <v>22985</v>
      </c>
      <c r="M482" s="89">
        <v>25015</v>
      </c>
      <c r="N482" s="69">
        <f t="shared" si="64"/>
        <v>237863</v>
      </c>
    </row>
    <row r="483" spans="1:16">
      <c r="A483" s="48" t="s">
        <v>223</v>
      </c>
      <c r="B483" s="69">
        <v>15520</v>
      </c>
      <c r="C483" s="69">
        <v>12649</v>
      </c>
      <c r="D483" s="69">
        <v>16046</v>
      </c>
      <c r="E483" s="69">
        <v>29251</v>
      </c>
      <c r="F483" s="69">
        <v>17025</v>
      </c>
      <c r="G483" s="69">
        <v>10187</v>
      </c>
      <c r="H483" s="69">
        <v>15765</v>
      </c>
      <c r="I483" s="69">
        <v>26461</v>
      </c>
      <c r="J483" s="69">
        <v>28918</v>
      </c>
      <c r="K483" s="69">
        <v>34185</v>
      </c>
      <c r="L483" s="69">
        <f>L484</f>
        <v>34777</v>
      </c>
      <c r="M483" s="69">
        <v>37747</v>
      </c>
      <c r="N483" s="69">
        <f t="shared" si="64"/>
        <v>278531</v>
      </c>
      <c r="O483" s="103">
        <f>N483/N481-1</f>
        <v>-0.0669384582915987</v>
      </c>
    </row>
    <row r="484" spans="1:16">
      <c r="A484" s="89" t="s">
        <v>320</v>
      </c>
      <c r="B484" s="89">
        <v>15520</v>
      </c>
      <c r="C484" s="89">
        <v>12649</v>
      </c>
      <c r="D484" s="89">
        <v>16046</v>
      </c>
      <c r="E484" s="89">
        <v>29251</v>
      </c>
      <c r="F484" s="89">
        <v>17025</v>
      </c>
      <c r="G484" s="89">
        <v>10187</v>
      </c>
      <c r="H484" s="89">
        <v>15765</v>
      </c>
      <c r="I484" s="89">
        <v>26461</v>
      </c>
      <c r="J484" s="89">
        <v>28918</v>
      </c>
      <c r="K484" s="89">
        <v>34185</v>
      </c>
      <c r="L484" s="89">
        <v>34777</v>
      </c>
      <c r="M484" s="89">
        <v>37747</v>
      </c>
      <c r="N484" s="69">
        <f t="shared" si="64"/>
        <v>278531</v>
      </c>
    </row>
    <row r="485" spans="1:16">
      <c r="A485" s="48" t="s">
        <v>226</v>
      </c>
      <c r="B485" s="69">
        <v>24924</v>
      </c>
      <c r="C485" s="69">
        <v>22065</v>
      </c>
      <c r="D485" s="69">
        <v>39957</v>
      </c>
      <c r="E485" s="69">
        <v>28990</v>
      </c>
      <c r="F485" s="69"/>
      <c r="G485" s="69"/>
      <c r="H485" s="69"/>
      <c r="I485" s="69"/>
      <c r="J485" s="69"/>
      <c r="K485" s="69"/>
      <c r="L485" s="69"/>
      <c r="M485" s="69"/>
      <c r="N485" s="69"/>
      <c r="O485" s="103"/>
    </row>
    <row r="486" spans="1:16">
      <c r="A486" s="89" t="s">
        <v>320</v>
      </c>
      <c r="B486" s="89">
        <v>24924</v>
      </c>
      <c r="C486" s="89">
        <v>22065</v>
      </c>
      <c r="D486" s="89">
        <v>39957</v>
      </c>
      <c r="E486" s="89">
        <v>28990</v>
      </c>
      <c r="F486" s="89"/>
      <c r="G486" s="89"/>
      <c r="H486" s="89"/>
      <c r="I486" s="89"/>
      <c r="J486" s="89"/>
      <c r="K486" s="89"/>
      <c r="L486" s="89"/>
      <c r="M486" s="89"/>
      <c r="N486" s="69"/>
    </row>
    <row r="487" spans="1:16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68"/>
    </row>
    <row r="488" spans="1:16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68"/>
    </row>
    <row r="489" spans="1:16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68"/>
    </row>
    <row r="490" spans="1:16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68"/>
    </row>
    <row r="491" spans="1:16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68"/>
    </row>
    <row r="492" spans="1:16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68"/>
    </row>
    <row r="494" spans="1:16">
      <c r="A494" s="46" t="s">
        <v>321</v>
      </c>
      <c r="B494" s="64"/>
      <c r="C494" s="64"/>
      <c r="D494" s="64"/>
      <c r="E494" s="64"/>
      <c r="F494" s="64"/>
      <c r="G494" s="64"/>
      <c r="H494" s="64"/>
      <c r="I494" s="64"/>
      <c r="J494" s="64"/>
      <c r="K494" s="65"/>
      <c r="L494" s="65"/>
      <c r="M494" s="65"/>
      <c r="N494" s="65"/>
      <c r="O494" s="61"/>
      <c r="P494" s="61"/>
    </row>
    <row r="495" spans="1:16">
      <c r="A495" s="47" t="s">
        <v>322</v>
      </c>
      <c r="B495" s="47" t="s">
        <v>51</v>
      </c>
      <c r="C495" s="47" t="s">
        <v>52</v>
      </c>
      <c r="D495" s="47" t="s">
        <v>53</v>
      </c>
      <c r="E495" s="47" t="s">
        <v>54</v>
      </c>
      <c r="F495" s="47" t="s">
        <v>55</v>
      </c>
      <c r="G495" s="47" t="s">
        <v>56</v>
      </c>
      <c r="H495" s="47" t="s">
        <v>57</v>
      </c>
      <c r="I495" s="47" t="s">
        <v>58</v>
      </c>
      <c r="J495" s="47" t="s">
        <v>59</v>
      </c>
      <c r="K495" s="47" t="s">
        <v>60</v>
      </c>
      <c r="L495" s="47" t="s">
        <v>61</v>
      </c>
      <c r="M495" s="47" t="s">
        <v>62</v>
      </c>
      <c r="N495" s="47" t="s">
        <v>63</v>
      </c>
      <c r="O495" s="47" t="s">
        <v>69</v>
      </c>
      <c r="P495" s="61"/>
    </row>
    <row r="496" spans="1:16">
      <c r="A496" s="48" t="s">
        <v>41</v>
      </c>
      <c r="B496" s="49">
        <f t="shared" ref="B496:M496" si="66">SUM(B$497:B$499)</f>
        <v>21649</v>
      </c>
      <c r="C496" s="49">
        <f t="shared" si="66"/>
        <v>7475</v>
      </c>
      <c r="D496" s="49">
        <f t="shared" si="66"/>
        <v>18601</v>
      </c>
      <c r="E496" s="49">
        <f t="shared" si="66"/>
        <v>22843</v>
      </c>
      <c r="F496" s="49">
        <f t="shared" si="66"/>
        <v>21458</v>
      </c>
      <c r="G496" s="49">
        <f t="shared" si="66"/>
        <v>15145</v>
      </c>
      <c r="H496" s="49">
        <f t="shared" si="66"/>
        <v>16788</v>
      </c>
      <c r="I496" s="49">
        <f t="shared" si="66"/>
        <v>19425</v>
      </c>
      <c r="J496" s="49">
        <f t="shared" si="66"/>
        <v>24950</v>
      </c>
      <c r="K496" s="49">
        <f t="shared" si="66"/>
        <v>33816</v>
      </c>
      <c r="L496" s="49">
        <f t="shared" si="66"/>
        <v>22134</v>
      </c>
      <c r="M496" s="49">
        <f t="shared" si="66"/>
        <v>23597</v>
      </c>
      <c r="N496" s="49">
        <f t="shared" ref="N496:N511" si="67">SUM(B496:M496)</f>
        <v>247881</v>
      </c>
      <c r="O496" s="49"/>
      <c r="P496" s="104"/>
    </row>
    <row r="497" spans="1:16">
      <c r="A497" s="69" t="s">
        <v>323</v>
      </c>
      <c r="B497" s="69">
        <v>4484</v>
      </c>
      <c r="C497" s="69">
        <v>1512</v>
      </c>
      <c r="D497" s="69">
        <v>4617</v>
      </c>
      <c r="E497" s="69">
        <v>9200</v>
      </c>
      <c r="F497" s="69">
        <v>5521</v>
      </c>
      <c r="G497" s="69">
        <v>4058</v>
      </c>
      <c r="H497" s="69">
        <v>6236</v>
      </c>
      <c r="I497" s="69">
        <v>2685</v>
      </c>
      <c r="J497" s="69">
        <v>9762</v>
      </c>
      <c r="K497" s="69">
        <v>10764</v>
      </c>
      <c r="L497" s="69">
        <v>13431</v>
      </c>
      <c r="M497" s="69">
        <v>8240</v>
      </c>
      <c r="N497" s="69">
        <f t="shared" si="67"/>
        <v>80510</v>
      </c>
      <c r="O497" s="49"/>
      <c r="P497" s="104"/>
    </row>
    <row r="498" spans="1:16">
      <c r="A498" s="69" t="s">
        <v>324</v>
      </c>
      <c r="B498" s="69">
        <v>11989</v>
      </c>
      <c r="C498" s="69">
        <v>5950</v>
      </c>
      <c r="D498" s="69">
        <v>11498</v>
      </c>
      <c r="E498" s="69">
        <v>9513</v>
      </c>
      <c r="F498" s="69">
        <v>11506</v>
      </c>
      <c r="G498" s="69">
        <v>8129</v>
      </c>
      <c r="H498" s="69">
        <v>4369</v>
      </c>
      <c r="I498" s="69">
        <v>7827</v>
      </c>
      <c r="J498" s="69">
        <v>13979</v>
      </c>
      <c r="K498" s="69">
        <v>13901</v>
      </c>
      <c r="L498" s="69">
        <v>8554</v>
      </c>
      <c r="M498" s="69">
        <v>12818</v>
      </c>
      <c r="N498" s="69">
        <f t="shared" si="67"/>
        <v>120033</v>
      </c>
      <c r="O498" s="49"/>
      <c r="P498" s="104"/>
    </row>
    <row r="499" spans="1:16">
      <c r="A499" s="69" t="s">
        <v>325</v>
      </c>
      <c r="B499" s="69">
        <v>5176</v>
      </c>
      <c r="C499" s="69">
        <v>13</v>
      </c>
      <c r="D499" s="69">
        <v>2486</v>
      </c>
      <c r="E499" s="69">
        <v>4130</v>
      </c>
      <c r="F499" s="69">
        <v>4431</v>
      </c>
      <c r="G499" s="69">
        <v>2958</v>
      </c>
      <c r="H499" s="69">
        <v>6183</v>
      </c>
      <c r="I499" s="69">
        <v>8913</v>
      </c>
      <c r="J499" s="69">
        <v>1209</v>
      </c>
      <c r="K499" s="69">
        <v>9151</v>
      </c>
      <c r="L499" s="69">
        <v>149</v>
      </c>
      <c r="M499" s="69">
        <v>2539</v>
      </c>
      <c r="N499" s="69">
        <f t="shared" si="67"/>
        <v>47338</v>
      </c>
      <c r="O499" s="49"/>
      <c r="P499" s="104"/>
    </row>
    <row r="500" spans="1:16">
      <c r="A500" s="48" t="s">
        <v>43</v>
      </c>
      <c r="B500" s="49">
        <f t="shared" ref="B500:G500" si="68">SUM(B$501:B$503)</f>
        <v>28760</v>
      </c>
      <c r="C500" s="49">
        <f t="shared" si="68"/>
        <v>18455</v>
      </c>
      <c r="D500" s="49">
        <f t="shared" si="68"/>
        <v>15574</v>
      </c>
      <c r="E500" s="49">
        <f t="shared" si="68"/>
        <v>6455</v>
      </c>
      <c r="F500" s="49">
        <f t="shared" si="68"/>
        <v>10649</v>
      </c>
      <c r="G500" s="49">
        <f t="shared" si="68"/>
        <v>14969</v>
      </c>
      <c r="H500" s="49">
        <f t="shared" ref="H500:M500" si="69">SUM(H501:H503)</f>
        <v>12133</v>
      </c>
      <c r="I500" s="49">
        <f t="shared" si="69"/>
        <v>16940</v>
      </c>
      <c r="J500" s="49">
        <f t="shared" si="69"/>
        <v>12832</v>
      </c>
      <c r="K500" s="49">
        <f t="shared" si="69"/>
        <v>15566</v>
      </c>
      <c r="L500" s="69">
        <f t="shared" si="69"/>
        <v>15660</v>
      </c>
      <c r="M500" s="69">
        <f t="shared" si="69"/>
        <v>22044</v>
      </c>
      <c r="N500" s="49">
        <f t="shared" si="67"/>
        <v>190037</v>
      </c>
      <c r="O500" s="49"/>
      <c r="P500" s="104"/>
    </row>
    <row r="501" spans="1:16">
      <c r="A501" s="69" t="s">
        <v>323</v>
      </c>
      <c r="B501" s="69">
        <v>12074</v>
      </c>
      <c r="C501" s="69">
        <v>8871</v>
      </c>
      <c r="D501" s="69">
        <v>7231</v>
      </c>
      <c r="E501" s="69">
        <v>1990</v>
      </c>
      <c r="F501" s="69">
        <v>3640</v>
      </c>
      <c r="G501" s="69">
        <v>5597</v>
      </c>
      <c r="H501" s="69">
        <v>5515</v>
      </c>
      <c r="I501" s="69">
        <v>9215</v>
      </c>
      <c r="J501" s="69">
        <v>4955</v>
      </c>
      <c r="K501" s="69">
        <v>5008</v>
      </c>
      <c r="L501" s="69">
        <v>3601</v>
      </c>
      <c r="M501" s="69">
        <v>5372</v>
      </c>
      <c r="N501" s="69">
        <f t="shared" si="67"/>
        <v>73069</v>
      </c>
      <c r="O501" s="104"/>
      <c r="P501" s="104"/>
    </row>
    <row r="502" spans="1:16">
      <c r="A502" s="69" t="s">
        <v>324</v>
      </c>
      <c r="B502" s="69">
        <v>10940</v>
      </c>
      <c r="C502" s="69">
        <v>7499</v>
      </c>
      <c r="D502" s="69">
        <v>6082</v>
      </c>
      <c r="E502" s="69">
        <v>3001</v>
      </c>
      <c r="F502" s="69">
        <v>6145</v>
      </c>
      <c r="G502" s="69">
        <v>6856</v>
      </c>
      <c r="H502" s="69">
        <v>4364</v>
      </c>
      <c r="I502" s="69">
        <v>5171</v>
      </c>
      <c r="J502" s="69">
        <v>5374</v>
      </c>
      <c r="K502" s="69">
        <v>6505</v>
      </c>
      <c r="L502" s="69">
        <v>3959</v>
      </c>
      <c r="M502" s="69">
        <v>8818</v>
      </c>
      <c r="N502" s="69">
        <f t="shared" si="67"/>
        <v>74714</v>
      </c>
      <c r="O502" s="104"/>
      <c r="P502" s="104"/>
    </row>
    <row r="503" spans="1:16">
      <c r="A503" s="69" t="s">
        <v>325</v>
      </c>
      <c r="B503" s="69">
        <v>5746</v>
      </c>
      <c r="C503" s="69">
        <v>2085</v>
      </c>
      <c r="D503" s="69">
        <v>2261</v>
      </c>
      <c r="E503" s="69">
        <v>1464</v>
      </c>
      <c r="F503" s="69">
        <v>864</v>
      </c>
      <c r="G503" s="69">
        <v>2516</v>
      </c>
      <c r="H503" s="69">
        <v>2254</v>
      </c>
      <c r="I503" s="69">
        <v>2554</v>
      </c>
      <c r="J503" s="69">
        <v>2503</v>
      </c>
      <c r="K503" s="69">
        <v>4053</v>
      </c>
      <c r="L503" s="69">
        <v>8100</v>
      </c>
      <c r="M503" s="69">
        <v>7854</v>
      </c>
      <c r="N503" s="69">
        <f t="shared" si="67"/>
        <v>42254</v>
      </c>
      <c r="O503" s="104"/>
      <c r="P503" s="104"/>
    </row>
    <row r="504" spans="1:16">
      <c r="A504" s="48" t="s">
        <v>75</v>
      </c>
      <c r="B504" s="49">
        <f t="shared" ref="B504:M504" si="70">SUM(B505:B507)</f>
        <v>14046</v>
      </c>
      <c r="C504" s="49">
        <f t="shared" si="70"/>
        <v>11587</v>
      </c>
      <c r="D504" s="49">
        <f t="shared" si="70"/>
        <v>8379</v>
      </c>
      <c r="E504" s="49">
        <f t="shared" si="70"/>
        <v>6371</v>
      </c>
      <c r="F504" s="49">
        <f t="shared" si="70"/>
        <v>9392</v>
      </c>
      <c r="G504" s="49">
        <f t="shared" si="70"/>
        <v>8871</v>
      </c>
      <c r="H504" s="49">
        <f t="shared" si="70"/>
        <v>7582</v>
      </c>
      <c r="I504" s="49">
        <f t="shared" si="70"/>
        <v>8756</v>
      </c>
      <c r="J504" s="49">
        <f t="shared" si="70"/>
        <v>9045</v>
      </c>
      <c r="K504" s="49">
        <f t="shared" si="70"/>
        <v>10727</v>
      </c>
      <c r="L504" s="49">
        <f t="shared" si="70"/>
        <v>7600</v>
      </c>
      <c r="M504" s="49">
        <f t="shared" si="70"/>
        <v>9995</v>
      </c>
      <c r="N504" s="69">
        <f t="shared" si="67"/>
        <v>112351</v>
      </c>
      <c r="O504" s="105">
        <f>N504/N500-1</f>
        <v>-0.408794076942911</v>
      </c>
      <c r="P504" s="101"/>
    </row>
    <row r="505" spans="1:16">
      <c r="A505" s="89" t="s">
        <v>323</v>
      </c>
      <c r="B505" s="89">
        <v>5335</v>
      </c>
      <c r="C505" s="89">
        <v>4500</v>
      </c>
      <c r="D505" s="89">
        <v>4872</v>
      </c>
      <c r="E505" s="89">
        <v>2696</v>
      </c>
      <c r="F505" s="89">
        <v>2856</v>
      </c>
      <c r="G505" s="89">
        <v>2715</v>
      </c>
      <c r="H505" s="89">
        <v>2479</v>
      </c>
      <c r="I505" s="89">
        <v>2248</v>
      </c>
      <c r="J505" s="89">
        <v>2062</v>
      </c>
      <c r="K505" s="89">
        <v>2598</v>
      </c>
      <c r="L505" s="89">
        <v>2312</v>
      </c>
      <c r="M505" s="89">
        <v>2919</v>
      </c>
      <c r="N505" s="89">
        <f t="shared" si="67"/>
        <v>37592</v>
      </c>
    </row>
    <row r="506" spans="1:16">
      <c r="A506" s="89" t="s">
        <v>324</v>
      </c>
      <c r="B506" s="89">
        <v>6501</v>
      </c>
      <c r="C506" s="89">
        <v>7071</v>
      </c>
      <c r="D506" s="89">
        <v>2783</v>
      </c>
      <c r="E506" s="89">
        <v>2820</v>
      </c>
      <c r="F506" s="89">
        <v>4757</v>
      </c>
      <c r="G506" s="89">
        <v>4214</v>
      </c>
      <c r="H506" s="89">
        <v>3349</v>
      </c>
      <c r="I506" s="89">
        <v>3439</v>
      </c>
      <c r="J506" s="89">
        <v>3393</v>
      </c>
      <c r="K506" s="89">
        <v>5459</v>
      </c>
      <c r="L506" s="89">
        <v>3675</v>
      </c>
      <c r="M506" s="89">
        <v>6464</v>
      </c>
      <c r="N506" s="89">
        <f t="shared" si="67"/>
        <v>53925</v>
      </c>
    </row>
    <row r="507" spans="1:16">
      <c r="A507" s="89" t="s">
        <v>325</v>
      </c>
      <c r="B507" s="89">
        <v>2210</v>
      </c>
      <c r="C507" s="89">
        <v>16</v>
      </c>
      <c r="D507" s="89">
        <v>724</v>
      </c>
      <c r="E507" s="89">
        <v>855</v>
      </c>
      <c r="F507" s="89">
        <v>1779</v>
      </c>
      <c r="G507" s="89">
        <v>1942</v>
      </c>
      <c r="H507" s="89">
        <v>1754</v>
      </c>
      <c r="I507" s="89">
        <v>3069</v>
      </c>
      <c r="J507" s="89">
        <v>3590</v>
      </c>
      <c r="K507" s="89">
        <v>2670</v>
      </c>
      <c r="L507" s="89">
        <v>1613</v>
      </c>
      <c r="M507" s="89">
        <v>612</v>
      </c>
      <c r="N507" s="89">
        <f t="shared" si="67"/>
        <v>20834</v>
      </c>
    </row>
    <row r="508" spans="1:16">
      <c r="A508" s="48" t="s">
        <v>223</v>
      </c>
      <c r="B508" s="49">
        <f t="shared" ref="B508:M508" si="71">SUM(B509:B511)</f>
        <v>10197</v>
      </c>
      <c r="C508" s="49">
        <f t="shared" si="71"/>
        <v>5807</v>
      </c>
      <c r="D508" s="49">
        <f t="shared" si="71"/>
        <v>4078</v>
      </c>
      <c r="E508" s="49">
        <f t="shared" si="71"/>
        <v>4247</v>
      </c>
      <c r="F508" s="49">
        <f t="shared" si="71"/>
        <v>3906</v>
      </c>
      <c r="G508" s="49">
        <f t="shared" si="71"/>
        <v>2490</v>
      </c>
      <c r="H508" s="49">
        <f t="shared" si="71"/>
        <v>4074</v>
      </c>
      <c r="I508" s="49">
        <f t="shared" si="71"/>
        <v>5614</v>
      </c>
      <c r="J508" s="49">
        <f t="shared" si="71"/>
        <v>6581</v>
      </c>
      <c r="K508" s="49">
        <f t="shared" si="71"/>
        <v>9151</v>
      </c>
      <c r="L508" s="49">
        <f t="shared" si="71"/>
        <v>10781</v>
      </c>
      <c r="M508" s="49">
        <f t="shared" si="71"/>
        <v>13390</v>
      </c>
      <c r="N508" s="49">
        <f t="shared" si="67"/>
        <v>80316</v>
      </c>
      <c r="O508" s="105">
        <f>N508/N504-1</f>
        <v>-0.285133198636416</v>
      </c>
      <c r="P508" s="101"/>
    </row>
    <row r="509" spans="1:16">
      <c r="A509" s="89" t="s">
        <v>323</v>
      </c>
      <c r="B509" s="89">
        <v>1564</v>
      </c>
      <c r="C509" s="89">
        <v>1012</v>
      </c>
      <c r="D509" s="89">
        <v>1402</v>
      </c>
      <c r="E509" s="89">
        <v>802</v>
      </c>
      <c r="F509" s="89">
        <v>791</v>
      </c>
      <c r="G509" s="89">
        <v>992</v>
      </c>
      <c r="H509" s="89">
        <v>1512</v>
      </c>
      <c r="I509" s="89">
        <v>1861</v>
      </c>
      <c r="J509" s="89">
        <v>1931</v>
      </c>
      <c r="K509" s="89">
        <v>2089</v>
      </c>
      <c r="L509" s="89">
        <v>1769</v>
      </c>
      <c r="M509" s="89">
        <v>2944</v>
      </c>
      <c r="N509" s="89">
        <f t="shared" si="67"/>
        <v>18669</v>
      </c>
    </row>
    <row r="510" spans="1:16">
      <c r="A510" s="89" t="s">
        <v>324</v>
      </c>
      <c r="B510" s="89">
        <v>8473</v>
      </c>
      <c r="C510" s="89">
        <v>4682</v>
      </c>
      <c r="D510" s="89">
        <v>2494</v>
      </c>
      <c r="E510" s="89">
        <v>3133</v>
      </c>
      <c r="F510" s="89">
        <v>3072</v>
      </c>
      <c r="G510" s="89">
        <v>1494</v>
      </c>
      <c r="H510" s="89">
        <v>2555</v>
      </c>
      <c r="I510" s="89">
        <v>3740</v>
      </c>
      <c r="J510" s="89">
        <v>4649</v>
      </c>
      <c r="K510" s="89">
        <v>7062</v>
      </c>
      <c r="L510" s="89">
        <v>9012</v>
      </c>
      <c r="M510" s="89">
        <v>10445</v>
      </c>
      <c r="N510" s="89">
        <f t="shared" si="67"/>
        <v>60811</v>
      </c>
    </row>
    <row r="511" spans="1:16">
      <c r="A511" s="89" t="s">
        <v>325</v>
      </c>
      <c r="B511" s="89">
        <v>160</v>
      </c>
      <c r="C511" s="89">
        <v>113</v>
      </c>
      <c r="D511" s="89">
        <v>182</v>
      </c>
      <c r="E511" s="89">
        <v>312</v>
      </c>
      <c r="F511" s="89">
        <v>43</v>
      </c>
      <c r="G511" s="89">
        <v>4</v>
      </c>
      <c r="H511" s="89">
        <v>7</v>
      </c>
      <c r="I511" s="89">
        <v>13</v>
      </c>
      <c r="J511" s="89">
        <v>1</v>
      </c>
      <c r="K511" s="89"/>
      <c r="L511" s="89"/>
      <c r="M511" s="89">
        <v>1</v>
      </c>
      <c r="N511" s="89">
        <f t="shared" si="67"/>
        <v>836</v>
      </c>
    </row>
    <row r="512" spans="1:16">
      <c r="A512" s="48" t="s">
        <v>226</v>
      </c>
      <c r="B512" s="49">
        <f>SUM(B513:B519)</f>
        <v>8923</v>
      </c>
      <c r="C512" s="49">
        <f>SUM(C513:C519)</f>
        <v>7615</v>
      </c>
      <c r="D512" s="49">
        <v>18045</v>
      </c>
      <c r="E512" s="49">
        <v>14660</v>
      </c>
      <c r="F512" s="49"/>
      <c r="G512" s="49"/>
      <c r="H512" s="49"/>
      <c r="I512" s="49"/>
      <c r="J512" s="49"/>
      <c r="K512" s="49"/>
      <c r="L512" s="49"/>
      <c r="M512" s="49"/>
      <c r="N512" s="49"/>
      <c r="O512" s="105"/>
      <c r="P512" s="101"/>
    </row>
    <row r="513" spans="1:15">
      <c r="A513" s="89" t="s">
        <v>323</v>
      </c>
      <c r="B513" s="89">
        <v>1371</v>
      </c>
      <c r="C513" s="89">
        <v>947</v>
      </c>
      <c r="D513" s="89">
        <v>982</v>
      </c>
      <c r="E513" s="89">
        <v>1561</v>
      </c>
      <c r="F513" s="89"/>
      <c r="G513" s="89"/>
      <c r="H513" s="89"/>
      <c r="I513" s="89"/>
      <c r="J513" s="89"/>
      <c r="K513" s="89"/>
      <c r="L513" s="89"/>
      <c r="M513" s="89"/>
      <c r="N513" s="89"/>
    </row>
    <row r="514" spans="1:15">
      <c r="A514" s="89" t="s">
        <v>324</v>
      </c>
      <c r="B514" s="89">
        <v>6340</v>
      </c>
      <c r="C514" s="89">
        <v>6192</v>
      </c>
      <c r="D514" s="89">
        <v>7445</v>
      </c>
      <c r="E514" s="89">
        <v>6132</v>
      </c>
      <c r="F514" s="89"/>
      <c r="G514" s="89"/>
      <c r="H514" s="89"/>
      <c r="I514" s="89"/>
      <c r="J514" s="89"/>
      <c r="K514" s="89"/>
      <c r="L514" s="89"/>
      <c r="M514" s="89"/>
      <c r="N514" s="89"/>
    </row>
    <row r="515" spans="1:15">
      <c r="A515" s="89" t="s">
        <v>325</v>
      </c>
      <c r="B515" s="89">
        <v>0</v>
      </c>
      <c r="C515" s="89">
        <v>0</v>
      </c>
      <c r="D515" s="89">
        <v>1</v>
      </c>
      <c r="E515" s="89">
        <v>1</v>
      </c>
      <c r="F515" s="89"/>
      <c r="G515" s="89"/>
      <c r="H515" s="89"/>
      <c r="I515" s="89"/>
      <c r="J515" s="89"/>
      <c r="K515" s="89"/>
      <c r="L515" s="89"/>
      <c r="M515" s="89"/>
      <c r="N515" s="89"/>
    </row>
    <row r="516" spans="1:15">
      <c r="A516" s="89" t="s">
        <v>326</v>
      </c>
      <c r="B516" s="89">
        <v>522</v>
      </c>
      <c r="C516" s="89">
        <v>271</v>
      </c>
      <c r="D516" s="89">
        <v>482</v>
      </c>
      <c r="E516" s="89">
        <v>0</v>
      </c>
      <c r="F516" s="89"/>
      <c r="G516" s="89"/>
      <c r="H516" s="89"/>
      <c r="I516" s="89"/>
      <c r="J516" s="89"/>
      <c r="K516" s="89"/>
      <c r="L516" s="89"/>
      <c r="M516" s="89"/>
      <c r="N516" s="68"/>
    </row>
    <row r="517" spans="1:15">
      <c r="A517" s="89" t="s">
        <v>327</v>
      </c>
      <c r="B517" s="89">
        <v>151</v>
      </c>
      <c r="C517" s="89">
        <v>85</v>
      </c>
      <c r="D517" s="89">
        <v>156</v>
      </c>
      <c r="E517" s="89">
        <v>203</v>
      </c>
      <c r="F517" s="89"/>
      <c r="G517" s="89"/>
      <c r="H517" s="89"/>
      <c r="I517" s="89"/>
      <c r="J517" s="89"/>
      <c r="K517" s="89"/>
      <c r="L517" s="89"/>
      <c r="M517" s="89"/>
      <c r="N517" s="68"/>
    </row>
    <row r="518" spans="1:15">
      <c r="A518" s="89" t="s">
        <v>328</v>
      </c>
      <c r="B518" s="89">
        <v>388</v>
      </c>
      <c r="C518" s="89">
        <v>35</v>
      </c>
      <c r="D518" s="89">
        <v>97</v>
      </c>
      <c r="E518" s="89">
        <v>54</v>
      </c>
      <c r="F518" s="89"/>
      <c r="G518" s="89"/>
      <c r="H518" s="89"/>
      <c r="I518" s="89"/>
      <c r="J518" s="89"/>
      <c r="K518" s="89"/>
      <c r="L518" s="89"/>
      <c r="M518" s="89"/>
      <c r="N518" s="68"/>
    </row>
    <row r="519" spans="1:15">
      <c r="A519" s="89" t="s">
        <v>329</v>
      </c>
      <c r="B519" s="89">
        <v>151</v>
      </c>
      <c r="C519" s="89">
        <v>85</v>
      </c>
      <c r="D519" s="89">
        <v>345</v>
      </c>
      <c r="E519" s="89">
        <v>322</v>
      </c>
      <c r="F519" s="89"/>
      <c r="G519" s="89"/>
      <c r="H519" s="89"/>
      <c r="I519" s="89"/>
      <c r="J519" s="89"/>
      <c r="K519" s="89"/>
      <c r="L519" s="89"/>
      <c r="M519" s="89"/>
      <c r="N519" s="68"/>
    </row>
    <row r="521" spans="1:15">
      <c r="A521" s="46" t="s">
        <v>330</v>
      </c>
    </row>
    <row r="522" spans="1:15">
      <c r="A522" s="92" t="s">
        <v>331</v>
      </c>
      <c r="B522" s="92" t="s">
        <v>51</v>
      </c>
      <c r="C522" s="92" t="s">
        <v>52</v>
      </c>
      <c r="D522" s="92" t="s">
        <v>53</v>
      </c>
      <c r="E522" s="92" t="s">
        <v>54</v>
      </c>
      <c r="F522" s="92" t="s">
        <v>55</v>
      </c>
      <c r="G522" s="92" t="s">
        <v>56</v>
      </c>
      <c r="H522" s="92" t="s">
        <v>57</v>
      </c>
      <c r="I522" s="92" t="s">
        <v>58</v>
      </c>
      <c r="J522" s="92" t="s">
        <v>59</v>
      </c>
      <c r="K522" s="92" t="s">
        <v>60</v>
      </c>
      <c r="L522" s="92" t="s">
        <v>61</v>
      </c>
      <c r="M522" s="92" t="s">
        <v>62</v>
      </c>
      <c r="N522" s="92" t="s">
        <v>63</v>
      </c>
      <c r="O522" s="92" t="s">
        <v>69</v>
      </c>
    </row>
    <row r="523" spans="1:15">
      <c r="A523" s="93" t="s">
        <v>41</v>
      </c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95"/>
    </row>
    <row r="524" spans="1:15">
      <c r="A524" s="93" t="s">
        <v>43</v>
      </c>
      <c r="B524" s="49">
        <f t="shared" ref="B524:M524" si="72">SUM(B525:B528)</f>
        <v>1315</v>
      </c>
      <c r="C524" s="49">
        <f t="shared" si="72"/>
        <v>1688</v>
      </c>
      <c r="D524" s="49">
        <f t="shared" si="72"/>
        <v>1969</v>
      </c>
      <c r="E524" s="49">
        <f t="shared" si="72"/>
        <v>2386</v>
      </c>
      <c r="F524" s="49">
        <f t="shared" si="72"/>
        <v>2010</v>
      </c>
      <c r="G524" s="49">
        <f t="shared" si="72"/>
        <v>3682</v>
      </c>
      <c r="H524" s="49">
        <f t="shared" si="72"/>
        <v>3245</v>
      </c>
      <c r="I524" s="49">
        <f t="shared" si="72"/>
        <v>2195</v>
      </c>
      <c r="J524" s="49">
        <f t="shared" si="72"/>
        <v>2492</v>
      </c>
      <c r="K524" s="49">
        <f t="shared" si="72"/>
        <v>1293</v>
      </c>
      <c r="L524" s="49">
        <f t="shared" si="72"/>
        <v>1530</v>
      </c>
      <c r="M524" s="49">
        <f t="shared" si="72"/>
        <v>1679</v>
      </c>
      <c r="N524" s="68">
        <f t="shared" ref="N524:N540" si="73">SUM(B524:M524)</f>
        <v>25484</v>
      </c>
      <c r="O524" s="95"/>
    </row>
    <row r="525" spans="1:15">
      <c r="A525" s="69" t="s">
        <v>332</v>
      </c>
      <c r="B525" s="69">
        <v>100</v>
      </c>
      <c r="C525" s="69">
        <v>253</v>
      </c>
      <c r="D525" s="69">
        <v>327</v>
      </c>
      <c r="E525" s="69">
        <v>176</v>
      </c>
      <c r="F525" s="69">
        <v>372</v>
      </c>
      <c r="G525" s="69">
        <v>0</v>
      </c>
      <c r="H525" s="69">
        <v>157</v>
      </c>
      <c r="I525" s="69">
        <v>385</v>
      </c>
      <c r="J525" s="69">
        <v>864</v>
      </c>
      <c r="K525" s="69">
        <v>803</v>
      </c>
      <c r="L525" s="69">
        <v>313</v>
      </c>
      <c r="M525" s="69">
        <v>302</v>
      </c>
      <c r="N525" s="68">
        <f t="shared" si="73"/>
        <v>4052</v>
      </c>
      <c r="O525" s="49"/>
    </row>
    <row r="526" spans="1:15">
      <c r="A526" s="69" t="s">
        <v>333</v>
      </c>
      <c r="B526" s="69">
        <v>158</v>
      </c>
      <c r="C526" s="69">
        <v>66</v>
      </c>
      <c r="D526" s="69">
        <v>193</v>
      </c>
      <c r="E526" s="69">
        <v>270</v>
      </c>
      <c r="F526" s="69">
        <v>131</v>
      </c>
      <c r="G526" s="69">
        <v>68</v>
      </c>
      <c r="H526" s="69">
        <v>77</v>
      </c>
      <c r="I526" s="69">
        <v>142</v>
      </c>
      <c r="J526" s="69">
        <v>6</v>
      </c>
      <c r="K526" s="69">
        <v>0</v>
      </c>
      <c r="L526" s="69">
        <v>0</v>
      </c>
      <c r="M526" s="69">
        <v>0</v>
      </c>
      <c r="N526" s="68">
        <f t="shared" si="73"/>
        <v>1111</v>
      </c>
      <c r="O526" s="49"/>
    </row>
    <row r="527" spans="1:15">
      <c r="A527" s="69" t="s">
        <v>334</v>
      </c>
      <c r="B527" s="69">
        <v>0</v>
      </c>
      <c r="C527" s="69">
        <v>308</v>
      </c>
      <c r="D527" s="69">
        <v>328</v>
      </c>
      <c r="E527" s="69">
        <v>850</v>
      </c>
      <c r="F527" s="69">
        <v>0</v>
      </c>
      <c r="G527" s="69">
        <v>1550</v>
      </c>
      <c r="H527" s="69">
        <v>1540</v>
      </c>
      <c r="I527" s="69">
        <v>690</v>
      </c>
      <c r="J527" s="69">
        <v>470</v>
      </c>
      <c r="K527" s="69">
        <v>0</v>
      </c>
      <c r="L527" s="69">
        <v>127</v>
      </c>
      <c r="M527" s="69">
        <v>258</v>
      </c>
      <c r="N527" s="68">
        <f t="shared" si="73"/>
        <v>6121</v>
      </c>
      <c r="O527" s="49"/>
    </row>
    <row r="528" spans="1:15">
      <c r="A528" s="69" t="s">
        <v>335</v>
      </c>
      <c r="B528" s="69">
        <v>1057</v>
      </c>
      <c r="C528" s="69">
        <v>1061</v>
      </c>
      <c r="D528" s="69">
        <v>1121</v>
      </c>
      <c r="E528" s="69">
        <v>1090</v>
      </c>
      <c r="F528" s="69">
        <v>1507</v>
      </c>
      <c r="G528" s="69">
        <v>2064</v>
      </c>
      <c r="H528" s="69">
        <v>1471</v>
      </c>
      <c r="I528" s="69">
        <v>978</v>
      </c>
      <c r="J528" s="69">
        <v>1152</v>
      </c>
      <c r="K528" s="69">
        <v>490</v>
      </c>
      <c r="L528" s="69">
        <v>1090</v>
      </c>
      <c r="M528" s="69">
        <v>1119</v>
      </c>
      <c r="N528" s="68">
        <f t="shared" si="73"/>
        <v>14200</v>
      </c>
      <c r="O528" s="49"/>
    </row>
    <row r="529" spans="1:15">
      <c r="A529" s="93" t="s">
        <v>75</v>
      </c>
      <c r="B529" s="106">
        <f t="shared" ref="B529:M529" si="74">SUM(B530:B534)</f>
        <v>270</v>
      </c>
      <c r="C529" s="106">
        <f t="shared" si="74"/>
        <v>1134</v>
      </c>
      <c r="D529" s="106">
        <f t="shared" si="74"/>
        <v>989</v>
      </c>
      <c r="E529" s="106">
        <f t="shared" si="74"/>
        <v>1124</v>
      </c>
      <c r="F529" s="106">
        <f t="shared" si="74"/>
        <v>1209</v>
      </c>
      <c r="G529" s="106">
        <f t="shared" si="74"/>
        <v>952</v>
      </c>
      <c r="H529" s="106">
        <f t="shared" si="74"/>
        <v>1615</v>
      </c>
      <c r="I529" s="106">
        <f t="shared" si="74"/>
        <v>2873</v>
      </c>
      <c r="J529" s="106">
        <f t="shared" si="74"/>
        <v>5953</v>
      </c>
      <c r="K529" s="106">
        <f t="shared" si="74"/>
        <v>9976</v>
      </c>
      <c r="L529" s="106">
        <f t="shared" si="74"/>
        <v>13869</v>
      </c>
      <c r="M529" s="106">
        <f t="shared" si="74"/>
        <v>13471</v>
      </c>
      <c r="N529" s="68">
        <f t="shared" si="73"/>
        <v>53435</v>
      </c>
      <c r="O529" s="107">
        <f>N529/N524-1</f>
        <v>1.09680583895778</v>
      </c>
    </row>
    <row r="530" spans="1:15">
      <c r="A530" s="89" t="s">
        <v>332</v>
      </c>
      <c r="B530" s="89">
        <v>54</v>
      </c>
      <c r="C530" s="89">
        <v>328</v>
      </c>
      <c r="D530" s="89">
        <v>120</v>
      </c>
      <c r="E530" s="89">
        <v>91</v>
      </c>
      <c r="F530" s="89">
        <v>129</v>
      </c>
      <c r="G530" s="89">
        <v>0</v>
      </c>
      <c r="H530" s="89">
        <v>52</v>
      </c>
      <c r="I530" s="89">
        <v>445</v>
      </c>
      <c r="J530" s="89">
        <v>7</v>
      </c>
      <c r="K530" s="89"/>
      <c r="L530" s="89">
        <v>42</v>
      </c>
      <c r="M530" s="89">
        <v>0</v>
      </c>
      <c r="N530" s="64">
        <f t="shared" si="73"/>
        <v>1268</v>
      </c>
      <c r="O530" s="49"/>
    </row>
    <row r="531" spans="1:15">
      <c r="A531" s="89" t="s">
        <v>333</v>
      </c>
      <c r="B531" s="89">
        <v>0</v>
      </c>
      <c r="C531" s="89">
        <v>0</v>
      </c>
      <c r="D531" s="89">
        <v>100</v>
      </c>
      <c r="E531" s="89">
        <v>137</v>
      </c>
      <c r="F531" s="89">
        <v>8</v>
      </c>
      <c r="G531" s="89">
        <v>1</v>
      </c>
      <c r="H531" s="89">
        <v>27</v>
      </c>
      <c r="I531" s="89">
        <v>347</v>
      </c>
      <c r="J531" s="89">
        <v>4</v>
      </c>
      <c r="K531" s="89"/>
      <c r="L531" s="89">
        <v>2</v>
      </c>
      <c r="M531" s="89">
        <v>2</v>
      </c>
      <c r="N531" s="64">
        <f t="shared" si="73"/>
        <v>628</v>
      </c>
      <c r="O531" s="49"/>
    </row>
    <row r="532" spans="1:15">
      <c r="A532" s="89" t="s">
        <v>334</v>
      </c>
      <c r="B532" s="108">
        <v>0</v>
      </c>
      <c r="C532" s="108">
        <v>236</v>
      </c>
      <c r="D532" s="108">
        <v>97</v>
      </c>
      <c r="E532" s="108">
        <v>259</v>
      </c>
      <c r="F532" s="108">
        <v>91</v>
      </c>
      <c r="G532" s="108">
        <v>0</v>
      </c>
      <c r="H532" s="108">
        <v>244</v>
      </c>
      <c r="I532" s="108">
        <v>283</v>
      </c>
      <c r="J532" s="108">
        <v>995</v>
      </c>
      <c r="K532" s="108">
        <v>1044</v>
      </c>
      <c r="L532" s="108">
        <v>3543</v>
      </c>
      <c r="M532" s="108">
        <v>2700</v>
      </c>
      <c r="N532" s="64">
        <f t="shared" si="73"/>
        <v>9492</v>
      </c>
      <c r="O532" s="106"/>
    </row>
    <row r="533" spans="1:15">
      <c r="A533" s="89" t="s">
        <v>336</v>
      </c>
      <c r="B533" s="108"/>
      <c r="C533" s="108"/>
      <c r="D533" s="108"/>
      <c r="E533" s="108"/>
      <c r="F533" s="108"/>
      <c r="G533" s="108"/>
      <c r="H533" s="108"/>
      <c r="I533" s="108"/>
      <c r="J533" s="89">
        <v>4017</v>
      </c>
      <c r="K533" s="89">
        <v>8038</v>
      </c>
      <c r="L533" s="108">
        <v>10019</v>
      </c>
      <c r="M533" s="108">
        <v>10055</v>
      </c>
      <c r="N533" s="64">
        <f t="shared" si="73"/>
        <v>32129</v>
      </c>
      <c r="O533" s="106"/>
    </row>
    <row r="534" spans="1:15">
      <c r="A534" s="89" t="s">
        <v>335</v>
      </c>
      <c r="B534" s="89">
        <v>216</v>
      </c>
      <c r="C534" s="89">
        <v>570</v>
      </c>
      <c r="D534" s="89">
        <v>672</v>
      </c>
      <c r="E534" s="89">
        <v>637</v>
      </c>
      <c r="F534" s="89">
        <v>981</v>
      </c>
      <c r="G534" s="89">
        <v>951</v>
      </c>
      <c r="H534" s="89">
        <v>1292</v>
      </c>
      <c r="I534" s="89">
        <v>1798</v>
      </c>
      <c r="J534" s="89">
        <v>930</v>
      </c>
      <c r="K534" s="89">
        <v>894</v>
      </c>
      <c r="L534" s="89">
        <v>263</v>
      </c>
      <c r="M534" s="89">
        <v>714</v>
      </c>
      <c r="N534" s="64">
        <f t="shared" si="73"/>
        <v>9918</v>
      </c>
    </row>
    <row r="535" spans="1:15">
      <c r="A535" s="93" t="s">
        <v>223</v>
      </c>
      <c r="B535" s="106">
        <f t="shared" ref="B535:M535" si="75">SUM(B536:B540)</f>
        <v>11829</v>
      </c>
      <c r="C535" s="106">
        <f t="shared" si="75"/>
        <v>4605</v>
      </c>
      <c r="D535" s="106">
        <f t="shared" si="75"/>
        <v>6431</v>
      </c>
      <c r="E535" s="106">
        <f t="shared" si="75"/>
        <v>7678</v>
      </c>
      <c r="F535" s="106">
        <f t="shared" si="75"/>
        <v>8021</v>
      </c>
      <c r="G535" s="106">
        <f t="shared" si="75"/>
        <v>13842</v>
      </c>
      <c r="H535" s="106">
        <f t="shared" si="75"/>
        <v>13899</v>
      </c>
      <c r="I535" s="106">
        <f t="shared" si="75"/>
        <v>15692</v>
      </c>
      <c r="J535" s="106">
        <f t="shared" si="75"/>
        <v>15994</v>
      </c>
      <c r="K535" s="106">
        <f t="shared" si="75"/>
        <v>17842</v>
      </c>
      <c r="L535" s="106">
        <f t="shared" si="75"/>
        <v>18700</v>
      </c>
      <c r="M535" s="106">
        <f t="shared" si="75"/>
        <v>9982</v>
      </c>
      <c r="N535" s="106">
        <f t="shared" si="73"/>
        <v>144515</v>
      </c>
      <c r="O535" s="107">
        <f>N535/N529-1</f>
        <v>1.70450079535885</v>
      </c>
    </row>
    <row r="536" spans="1:15">
      <c r="A536" s="89" t="s">
        <v>334</v>
      </c>
      <c r="B536" s="108">
        <v>1467</v>
      </c>
      <c r="C536" s="108">
        <v>503</v>
      </c>
      <c r="D536" s="108">
        <v>445</v>
      </c>
      <c r="E536" s="108">
        <v>901</v>
      </c>
      <c r="F536" s="108">
        <v>1119</v>
      </c>
      <c r="G536" s="108">
        <v>1330</v>
      </c>
      <c r="H536" s="108">
        <v>1359</v>
      </c>
      <c r="I536" s="108">
        <v>1659</v>
      </c>
      <c r="J536" s="108">
        <v>676</v>
      </c>
      <c r="K536" s="108">
        <v>1340</v>
      </c>
      <c r="L536" s="108">
        <v>808</v>
      </c>
      <c r="M536" s="108">
        <v>352</v>
      </c>
      <c r="N536" s="64">
        <f t="shared" si="73"/>
        <v>11959</v>
      </c>
      <c r="O536" s="106"/>
    </row>
    <row r="537" spans="1:15">
      <c r="A537" s="89" t="s">
        <v>336</v>
      </c>
      <c r="B537" s="108">
        <v>8816</v>
      </c>
      <c r="C537" s="108">
        <v>3419</v>
      </c>
      <c r="D537" s="108">
        <v>5322</v>
      </c>
      <c r="E537" s="108">
        <v>5862</v>
      </c>
      <c r="F537" s="108">
        <v>6001</v>
      </c>
      <c r="G537" s="108">
        <v>6199</v>
      </c>
      <c r="H537" s="108">
        <v>5853</v>
      </c>
      <c r="I537" s="108">
        <v>6454</v>
      </c>
      <c r="J537" s="89">
        <v>7019</v>
      </c>
      <c r="K537" s="89">
        <v>8571</v>
      </c>
      <c r="L537" s="108">
        <v>10005</v>
      </c>
      <c r="M537" s="108">
        <v>5693</v>
      </c>
      <c r="N537" s="64">
        <f t="shared" si="73"/>
        <v>79214</v>
      </c>
      <c r="O537" s="106"/>
    </row>
    <row r="538" spans="1:15">
      <c r="A538" s="89" t="s">
        <v>335</v>
      </c>
      <c r="B538" s="89">
        <v>1546</v>
      </c>
      <c r="C538" s="89">
        <v>683</v>
      </c>
      <c r="D538" s="89">
        <v>664</v>
      </c>
      <c r="E538" s="89">
        <v>915</v>
      </c>
      <c r="F538" s="89">
        <v>901</v>
      </c>
      <c r="G538" s="89">
        <v>1063</v>
      </c>
      <c r="H538" s="89">
        <v>686</v>
      </c>
      <c r="I538" s="89">
        <v>1126</v>
      </c>
      <c r="J538" s="89">
        <v>608</v>
      </c>
      <c r="K538" s="89">
        <v>777</v>
      </c>
      <c r="L538" s="89">
        <v>642</v>
      </c>
      <c r="M538" s="89">
        <v>502</v>
      </c>
      <c r="N538" s="64">
        <f t="shared" si="73"/>
        <v>10113</v>
      </c>
    </row>
    <row r="539" spans="1:15">
      <c r="A539" s="89" t="s">
        <v>337</v>
      </c>
      <c r="B539" s="89"/>
      <c r="C539" s="89"/>
      <c r="D539" s="89"/>
      <c r="E539" s="89"/>
      <c r="F539" s="89"/>
      <c r="G539" s="89">
        <v>5250</v>
      </c>
      <c r="H539" s="89">
        <v>6001</v>
      </c>
      <c r="I539" s="89">
        <v>6453</v>
      </c>
      <c r="J539" s="89">
        <v>4872</v>
      </c>
      <c r="K539" s="89">
        <v>5102</v>
      </c>
      <c r="L539" s="89">
        <v>6148</v>
      </c>
      <c r="M539" s="89">
        <v>2991</v>
      </c>
      <c r="N539" s="64">
        <f t="shared" si="73"/>
        <v>36817</v>
      </c>
    </row>
    <row r="540" spans="1:15">
      <c r="A540" s="89" t="s">
        <v>338</v>
      </c>
      <c r="B540" s="89"/>
      <c r="C540" s="89"/>
      <c r="D540" s="89"/>
      <c r="E540" s="89"/>
      <c r="F540" s="89"/>
      <c r="G540" s="89"/>
      <c r="H540" s="89"/>
      <c r="I540" s="89"/>
      <c r="J540" s="89">
        <v>2819</v>
      </c>
      <c r="K540" s="89">
        <v>2052</v>
      </c>
      <c r="L540" s="89">
        <v>1097</v>
      </c>
      <c r="M540" s="89">
        <v>444</v>
      </c>
      <c r="N540" s="64">
        <f t="shared" si="73"/>
        <v>6412</v>
      </c>
    </row>
    <row r="541" ht="12.6" customHeight="1" spans="1:15">
      <c r="A541" s="93" t="s">
        <v>226</v>
      </c>
      <c r="B541" s="106">
        <f>SUM(B542:B546)</f>
        <v>7655</v>
      </c>
      <c r="C541" s="106">
        <f>SUM(C542:C546)</f>
        <v>3823</v>
      </c>
      <c r="D541" s="106">
        <v>14242</v>
      </c>
      <c r="E541" s="106">
        <v>26797</v>
      </c>
      <c r="F541" s="106"/>
      <c r="G541" s="106"/>
      <c r="H541" s="106"/>
      <c r="I541" s="106"/>
      <c r="J541" s="106"/>
      <c r="K541" s="106"/>
      <c r="L541" s="106"/>
      <c r="M541" s="106"/>
      <c r="N541" s="106"/>
      <c r="O541" s="107"/>
    </row>
    <row r="542" spans="1:15">
      <c r="A542" s="89" t="s">
        <v>334</v>
      </c>
      <c r="B542" s="108">
        <v>299</v>
      </c>
      <c r="C542" s="108">
        <v>143</v>
      </c>
      <c r="D542" s="108">
        <v>227</v>
      </c>
      <c r="E542" s="108">
        <v>169</v>
      </c>
      <c r="F542" s="108"/>
      <c r="G542" s="108"/>
      <c r="H542" s="108"/>
      <c r="I542" s="108"/>
      <c r="J542" s="108"/>
      <c r="K542" s="108"/>
      <c r="L542" s="108"/>
      <c r="M542" s="108"/>
      <c r="N542" s="64"/>
      <c r="O542" s="106"/>
    </row>
    <row r="543" spans="1:15">
      <c r="A543" s="89" t="s">
        <v>336</v>
      </c>
      <c r="B543" s="108">
        <v>4371</v>
      </c>
      <c r="C543" s="108">
        <v>2152</v>
      </c>
      <c r="D543" s="108">
        <v>3365</v>
      </c>
      <c r="E543" s="108">
        <v>2656</v>
      </c>
      <c r="F543" s="108"/>
      <c r="G543" s="108"/>
      <c r="H543" s="108"/>
      <c r="I543" s="108"/>
      <c r="J543" s="89"/>
      <c r="K543" s="89"/>
      <c r="L543" s="108"/>
      <c r="M543" s="108"/>
      <c r="N543" s="64"/>
      <c r="O543" s="106"/>
    </row>
    <row r="544" spans="1:15">
      <c r="A544" s="89" t="s">
        <v>335</v>
      </c>
      <c r="B544" s="89">
        <v>339</v>
      </c>
      <c r="C544" s="89">
        <v>146</v>
      </c>
      <c r="D544" s="89">
        <v>153</v>
      </c>
      <c r="E544" s="89">
        <v>121</v>
      </c>
      <c r="F544" s="89"/>
      <c r="G544" s="89"/>
      <c r="H544" s="89"/>
      <c r="I544" s="89"/>
      <c r="J544" s="89"/>
      <c r="K544" s="89"/>
      <c r="L544" s="89"/>
      <c r="M544" s="89"/>
      <c r="N544" s="64"/>
    </row>
    <row r="545" spans="1:16">
      <c r="A545" s="89" t="s">
        <v>337</v>
      </c>
      <c r="B545" s="108">
        <v>2301</v>
      </c>
      <c r="C545" s="108">
        <v>1017</v>
      </c>
      <c r="D545" s="89">
        <v>1792</v>
      </c>
      <c r="E545" s="89">
        <v>1137</v>
      </c>
      <c r="F545" s="89"/>
      <c r="G545" s="89"/>
      <c r="H545" s="89"/>
      <c r="I545" s="89"/>
      <c r="J545" s="89"/>
      <c r="K545" s="89"/>
      <c r="L545" s="89"/>
      <c r="M545" s="89"/>
      <c r="N545" s="64"/>
    </row>
    <row r="546" spans="1:16">
      <c r="A546" s="89" t="s">
        <v>338</v>
      </c>
      <c r="B546" s="108">
        <v>345</v>
      </c>
      <c r="C546" s="108">
        <v>365</v>
      </c>
      <c r="D546" s="89">
        <v>465</v>
      </c>
      <c r="E546" s="89">
        <v>651</v>
      </c>
      <c r="F546" s="89"/>
      <c r="G546" s="89"/>
      <c r="H546" s="89"/>
      <c r="I546" s="89"/>
      <c r="J546" s="89"/>
      <c r="K546" s="89"/>
      <c r="L546" s="89"/>
      <c r="M546" s="89"/>
      <c r="N546" s="64"/>
    </row>
    <row r="547" spans="1:16">
      <c r="A547" s="89" t="s">
        <v>339</v>
      </c>
      <c r="B547" s="89">
        <v>6368</v>
      </c>
      <c r="C547" s="89">
        <v>3138</v>
      </c>
      <c r="D547" s="89">
        <v>5996</v>
      </c>
      <c r="E547" s="89">
        <v>6434</v>
      </c>
      <c r="F547" s="89"/>
      <c r="G547" s="89"/>
      <c r="H547" s="89"/>
      <c r="I547" s="89"/>
      <c r="J547" s="89"/>
      <c r="K547" s="89"/>
      <c r="L547" s="89"/>
      <c r="M547" s="89"/>
      <c r="N547" s="68"/>
    </row>
    <row r="548" spans="1:16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68"/>
    </row>
    <row r="549" spans="1:16">
      <c r="A549" s="89"/>
    </row>
    <row r="550" spans="1:16">
      <c r="A550" s="46" t="s">
        <v>340</v>
      </c>
    </row>
    <row r="551" spans="1:16">
      <c r="A551" s="92" t="s">
        <v>190</v>
      </c>
      <c r="B551" s="92" t="s">
        <v>51</v>
      </c>
      <c r="C551" s="92" t="s">
        <v>52</v>
      </c>
      <c r="D551" s="92" t="s">
        <v>53</v>
      </c>
      <c r="E551" s="92" t="s">
        <v>54</v>
      </c>
      <c r="F551" s="92" t="s">
        <v>55</v>
      </c>
      <c r="G551" s="92" t="s">
        <v>56</v>
      </c>
      <c r="H551" s="92" t="s">
        <v>57</v>
      </c>
      <c r="I551" s="92" t="s">
        <v>58</v>
      </c>
      <c r="J551" s="92" t="s">
        <v>59</v>
      </c>
      <c r="K551" s="92" t="s">
        <v>60</v>
      </c>
      <c r="L551" s="92" t="s">
        <v>61</v>
      </c>
      <c r="M551" s="92" t="s">
        <v>62</v>
      </c>
      <c r="N551" s="92" t="s">
        <v>63</v>
      </c>
      <c r="O551" s="92" t="s">
        <v>69</v>
      </c>
    </row>
    <row r="552" spans="1:16">
      <c r="A552" s="93" t="s">
        <v>41</v>
      </c>
      <c r="B552" s="49"/>
      <c r="C552" s="49"/>
      <c r="D552" s="49"/>
      <c r="E552" s="49"/>
      <c r="F552" s="49"/>
      <c r="G552" s="49"/>
      <c r="H552" s="49"/>
      <c r="I552" s="49"/>
      <c r="J552" s="49"/>
      <c r="K552" s="49">
        <v>199</v>
      </c>
      <c r="L552" s="49">
        <v>2012</v>
      </c>
      <c r="M552" s="49">
        <v>3796</v>
      </c>
      <c r="N552" s="49">
        <f t="shared" ref="N552:N563" si="76">SUM(B552:M552)</f>
        <v>6007</v>
      </c>
      <c r="O552" s="95"/>
      <c r="P552" s="95"/>
    </row>
    <row r="553" spans="1:16">
      <c r="A553" s="93" t="s">
        <v>43</v>
      </c>
      <c r="B553" s="49">
        <v>3530</v>
      </c>
      <c r="C553" s="49">
        <v>2916</v>
      </c>
      <c r="D553" s="49">
        <v>1795</v>
      </c>
      <c r="E553" s="49">
        <v>2137</v>
      </c>
      <c r="F553" s="49">
        <v>4330</v>
      </c>
      <c r="G553" s="49">
        <v>4302</v>
      </c>
      <c r="H553" s="49">
        <v>5022</v>
      </c>
      <c r="I553" s="49">
        <v>7166</v>
      </c>
      <c r="J553" s="49">
        <v>8276</v>
      </c>
      <c r="K553" s="49">
        <v>10119</v>
      </c>
      <c r="L553" s="49">
        <v>11011</v>
      </c>
      <c r="M553" s="49">
        <v>11337</v>
      </c>
      <c r="N553" s="49">
        <f t="shared" si="76"/>
        <v>71941</v>
      </c>
      <c r="O553" s="95"/>
      <c r="P553" s="95"/>
    </row>
    <row r="554" spans="1:16">
      <c r="A554" s="93" t="s">
        <v>75</v>
      </c>
      <c r="B554" s="106">
        <v>3116</v>
      </c>
      <c r="C554" s="106">
        <v>5455</v>
      </c>
      <c r="D554" s="106">
        <v>6663</v>
      </c>
      <c r="E554" s="106">
        <v>8101</v>
      </c>
      <c r="F554" s="106">
        <v>8678</v>
      </c>
      <c r="G554" s="106">
        <v>10620</v>
      </c>
      <c r="H554" s="106">
        <v>12039</v>
      </c>
      <c r="I554" s="106">
        <v>12303</v>
      </c>
      <c r="J554" s="106">
        <f t="shared" ref="J554:M554" si="77">SUM(J555:J556)</f>
        <v>10328</v>
      </c>
      <c r="K554" s="106">
        <f t="shared" si="77"/>
        <v>10423</v>
      </c>
      <c r="L554" s="106">
        <v>13104</v>
      </c>
      <c r="M554" s="106">
        <f t="shared" si="77"/>
        <v>10290</v>
      </c>
      <c r="N554" s="49">
        <f t="shared" si="76"/>
        <v>111120</v>
      </c>
      <c r="O554" s="107">
        <f>N554/N553-1</f>
        <v>0.544599046440833</v>
      </c>
      <c r="P554" s="95"/>
    </row>
    <row r="555" spans="1:16">
      <c r="A555" s="89" t="s">
        <v>341</v>
      </c>
      <c r="B555" s="89">
        <v>3116</v>
      </c>
      <c r="C555" s="89">
        <v>4839</v>
      </c>
      <c r="D555" s="89">
        <v>4517</v>
      </c>
      <c r="E555" s="89">
        <v>6463</v>
      </c>
      <c r="F555" s="89">
        <v>6223</v>
      </c>
      <c r="G555" s="89">
        <v>6147</v>
      </c>
      <c r="H555" s="89">
        <v>6170</v>
      </c>
      <c r="I555" s="89">
        <v>6882</v>
      </c>
      <c r="J555" s="89">
        <v>8701</v>
      </c>
      <c r="K555" s="89">
        <v>8517</v>
      </c>
      <c r="L555" s="89">
        <v>6751</v>
      </c>
      <c r="M555" s="89">
        <v>7980</v>
      </c>
      <c r="N555" s="64">
        <f t="shared" si="76"/>
        <v>76306</v>
      </c>
      <c r="O555" s="49"/>
      <c r="P555" s="95"/>
    </row>
    <row r="556" spans="1:16">
      <c r="A556" s="89" t="s">
        <v>342</v>
      </c>
      <c r="B556" s="89">
        <v>0</v>
      </c>
      <c r="C556" s="89">
        <v>616</v>
      </c>
      <c r="D556" s="89">
        <v>2146</v>
      </c>
      <c r="E556" s="89">
        <v>1638</v>
      </c>
      <c r="F556" s="89">
        <v>2106</v>
      </c>
      <c r="G556" s="89">
        <v>2072</v>
      </c>
      <c r="H556" s="89">
        <v>1502</v>
      </c>
      <c r="I556" s="89">
        <v>1648</v>
      </c>
      <c r="J556" s="89">
        <v>1627</v>
      </c>
      <c r="K556" s="89">
        <v>1906</v>
      </c>
      <c r="L556" s="89">
        <v>1639</v>
      </c>
      <c r="M556" s="89">
        <v>2310</v>
      </c>
      <c r="N556" s="64">
        <f t="shared" si="76"/>
        <v>19210</v>
      </c>
      <c r="O556" s="49"/>
      <c r="P556" s="95"/>
    </row>
    <row r="557" spans="1:16">
      <c r="A557" s="89" t="s">
        <v>343</v>
      </c>
      <c r="B557" s="108">
        <v>0</v>
      </c>
      <c r="C557" s="108">
        <v>0</v>
      </c>
      <c r="D557" s="108">
        <v>0</v>
      </c>
      <c r="E557" s="108">
        <v>0</v>
      </c>
      <c r="F557" s="108">
        <v>349</v>
      </c>
      <c r="G557" s="108">
        <v>2401</v>
      </c>
      <c r="H557" s="108">
        <v>4367</v>
      </c>
      <c r="I557" s="108">
        <v>3833</v>
      </c>
      <c r="J557" s="108">
        <v>1725</v>
      </c>
      <c r="K557" s="108">
        <v>2654</v>
      </c>
      <c r="L557" s="108">
        <v>4714</v>
      </c>
      <c r="M557" s="108">
        <v>2329</v>
      </c>
      <c r="N557" s="64">
        <f t="shared" si="76"/>
        <v>22372</v>
      </c>
      <c r="O557" s="106"/>
      <c r="P557" s="95"/>
    </row>
    <row r="558" spans="1:16">
      <c r="A558" s="93" t="s">
        <v>223</v>
      </c>
      <c r="B558" s="106">
        <f t="shared" ref="B558:M558" si="78">SUM(B559:B563)</f>
        <v>12537</v>
      </c>
      <c r="C558" s="106">
        <f t="shared" si="78"/>
        <v>7510</v>
      </c>
      <c r="D558" s="106">
        <f t="shared" si="78"/>
        <v>13012</v>
      </c>
      <c r="E558" s="106">
        <f t="shared" si="78"/>
        <v>16089</v>
      </c>
      <c r="F558" s="106">
        <f t="shared" si="78"/>
        <v>18616</v>
      </c>
      <c r="G558" s="106">
        <f t="shared" si="78"/>
        <v>20106</v>
      </c>
      <c r="H558" s="106">
        <f t="shared" si="78"/>
        <v>15655</v>
      </c>
      <c r="I558" s="106">
        <f t="shared" si="78"/>
        <v>18015</v>
      </c>
      <c r="J558" s="106">
        <f t="shared" si="78"/>
        <v>20899</v>
      </c>
      <c r="K558" s="106">
        <f t="shared" si="78"/>
        <v>24676</v>
      </c>
      <c r="L558" s="106">
        <f t="shared" si="78"/>
        <v>26462</v>
      </c>
      <c r="M558" s="106">
        <f t="shared" si="78"/>
        <v>26913</v>
      </c>
      <c r="N558" s="68">
        <f t="shared" si="76"/>
        <v>220490</v>
      </c>
      <c r="O558" s="86">
        <f>N558/SUM(B554:M554)-1</f>
        <v>0.984251259899208</v>
      </c>
      <c r="P558" s="95"/>
    </row>
    <row r="559" spans="1:16">
      <c r="A559" s="89" t="s">
        <v>341</v>
      </c>
      <c r="B559" s="89">
        <v>5272</v>
      </c>
      <c r="C559" s="89">
        <v>2663</v>
      </c>
      <c r="D559" s="89">
        <v>7503</v>
      </c>
      <c r="E559" s="89">
        <v>11267</v>
      </c>
      <c r="F559" s="89">
        <v>13480</v>
      </c>
      <c r="G559" s="89">
        <v>14383</v>
      </c>
      <c r="H559" s="89">
        <v>9335</v>
      </c>
      <c r="I559" s="89">
        <v>8481</v>
      </c>
      <c r="J559" s="89">
        <v>7432</v>
      </c>
      <c r="K559" s="89">
        <v>5870</v>
      </c>
      <c r="L559" s="89">
        <v>6603</v>
      </c>
      <c r="M559" s="89">
        <v>7695</v>
      </c>
      <c r="N559" s="89">
        <f t="shared" si="76"/>
        <v>99984</v>
      </c>
      <c r="O559" s="49"/>
      <c r="P559" s="95"/>
    </row>
    <row r="560" spans="1:16">
      <c r="A560" s="89" t="s">
        <v>344</v>
      </c>
      <c r="B560" s="89">
        <v>5853</v>
      </c>
      <c r="C560" s="89">
        <v>4204</v>
      </c>
      <c r="D560" s="89">
        <v>4656</v>
      </c>
      <c r="E560" s="89">
        <v>3827</v>
      </c>
      <c r="F560" s="89">
        <v>4308</v>
      </c>
      <c r="G560" s="89">
        <v>4316</v>
      </c>
      <c r="H560" s="89">
        <v>3498</v>
      </c>
      <c r="I560" s="89">
        <v>4491</v>
      </c>
      <c r="J560" s="89">
        <v>4205</v>
      </c>
      <c r="K560" s="89">
        <v>2621</v>
      </c>
      <c r="L560" s="89">
        <v>2472</v>
      </c>
      <c r="M560" s="89">
        <v>2452</v>
      </c>
      <c r="N560" s="89">
        <f t="shared" si="76"/>
        <v>46903</v>
      </c>
      <c r="O560" s="49"/>
      <c r="P560" s="95"/>
    </row>
    <row r="561" spans="1:16">
      <c r="A561" s="89" t="s">
        <v>342</v>
      </c>
      <c r="B561" s="89">
        <v>704</v>
      </c>
      <c r="C561" s="89">
        <v>232</v>
      </c>
      <c r="D561" s="89">
        <v>488</v>
      </c>
      <c r="E561" s="89">
        <v>447</v>
      </c>
      <c r="F561" s="89">
        <v>450</v>
      </c>
      <c r="G561" s="89">
        <v>586</v>
      </c>
      <c r="H561" s="89">
        <v>1591</v>
      </c>
      <c r="I561" s="89">
        <v>3195</v>
      </c>
      <c r="J561" s="89">
        <v>3794</v>
      </c>
      <c r="K561" s="89">
        <v>3334</v>
      </c>
      <c r="L561" s="89">
        <v>4201</v>
      </c>
      <c r="M561" s="89">
        <v>3609</v>
      </c>
      <c r="N561" s="89">
        <f t="shared" si="76"/>
        <v>22631</v>
      </c>
      <c r="O561" s="49"/>
      <c r="P561" s="95"/>
    </row>
    <row r="562" spans="1:16">
      <c r="A562" s="89" t="s">
        <v>343</v>
      </c>
      <c r="B562" s="108">
        <v>708</v>
      </c>
      <c r="C562" s="108">
        <v>411</v>
      </c>
      <c r="D562" s="108">
        <v>365</v>
      </c>
      <c r="E562" s="108">
        <v>548</v>
      </c>
      <c r="F562" s="108">
        <v>378</v>
      </c>
      <c r="G562" s="108">
        <v>821</v>
      </c>
      <c r="H562" s="108">
        <v>1231</v>
      </c>
      <c r="I562" s="108">
        <v>1077</v>
      </c>
      <c r="J562" s="108">
        <v>1015</v>
      </c>
      <c r="K562" s="108">
        <v>1208</v>
      </c>
      <c r="L562" s="108">
        <v>2074</v>
      </c>
      <c r="M562" s="108">
        <v>3480</v>
      </c>
      <c r="N562" s="108">
        <f t="shared" si="76"/>
        <v>13316</v>
      </c>
      <c r="O562" s="106"/>
      <c r="P562" s="95"/>
    </row>
    <row r="563" spans="1:16">
      <c r="A563" s="89" t="s">
        <v>345</v>
      </c>
      <c r="B563" s="108"/>
      <c r="C563" s="108"/>
      <c r="D563" s="108"/>
      <c r="E563" s="108"/>
      <c r="F563" s="108"/>
      <c r="G563" s="108"/>
      <c r="H563" s="108"/>
      <c r="I563" s="108">
        <v>771</v>
      </c>
      <c r="J563" s="108">
        <v>4453</v>
      </c>
      <c r="K563" s="108">
        <v>11643</v>
      </c>
      <c r="L563" s="108">
        <v>11112</v>
      </c>
      <c r="M563" s="108">
        <v>9677</v>
      </c>
      <c r="N563" s="108">
        <f t="shared" si="76"/>
        <v>37656</v>
      </c>
      <c r="O563" s="106"/>
      <c r="P563" s="95"/>
    </row>
    <row r="564" spans="1:16">
      <c r="A564" s="93" t="s">
        <v>226</v>
      </c>
      <c r="B564" s="106">
        <f>SUM(B565:B570)</f>
        <v>11942</v>
      </c>
      <c r="C564" s="106">
        <f>SUM(C565:C570)</f>
        <v>14039</v>
      </c>
      <c r="D564" s="106">
        <v>15422</v>
      </c>
      <c r="E564" s="106">
        <v>13727</v>
      </c>
      <c r="F564" s="106"/>
      <c r="G564" s="106"/>
      <c r="H564" s="106"/>
      <c r="I564" s="106"/>
      <c r="J564" s="106"/>
      <c r="K564" s="106"/>
      <c r="L564" s="106"/>
      <c r="M564" s="106"/>
      <c r="N564" s="68"/>
      <c r="O564" s="86"/>
      <c r="P564" s="95"/>
    </row>
    <row r="565" spans="1:16">
      <c r="A565" s="89" t="s">
        <v>341</v>
      </c>
      <c r="B565" s="89">
        <v>4359</v>
      </c>
      <c r="C565" s="89">
        <v>3933</v>
      </c>
      <c r="D565" s="89">
        <v>2976</v>
      </c>
      <c r="E565" s="89">
        <v>2413</v>
      </c>
      <c r="F565" s="89"/>
      <c r="G565" s="89"/>
      <c r="H565" s="89"/>
      <c r="I565" s="89"/>
      <c r="J565" s="89"/>
      <c r="K565" s="89"/>
      <c r="L565" s="89"/>
      <c r="M565" s="89"/>
      <c r="N565" s="89"/>
      <c r="O565" s="49"/>
      <c r="P565" s="95"/>
    </row>
    <row r="566" spans="1:16">
      <c r="A566" s="89" t="s">
        <v>344</v>
      </c>
      <c r="B566" s="89">
        <v>1098</v>
      </c>
      <c r="C566" s="89">
        <v>1476</v>
      </c>
      <c r="D566" s="89">
        <v>1611</v>
      </c>
      <c r="E566" s="89">
        <v>4009</v>
      </c>
      <c r="F566" s="89"/>
      <c r="G566" s="89"/>
      <c r="H566" s="89"/>
      <c r="I566" s="89"/>
      <c r="J566" s="89"/>
      <c r="K566" s="89"/>
      <c r="L566" s="89"/>
      <c r="M566" s="89"/>
      <c r="N566" s="89"/>
      <c r="O566" s="49"/>
      <c r="P566" s="95"/>
    </row>
    <row r="567" spans="1:16">
      <c r="A567" s="89" t="s">
        <v>342</v>
      </c>
      <c r="B567" s="89">
        <v>1240</v>
      </c>
      <c r="C567" s="89">
        <v>2250</v>
      </c>
      <c r="D567" s="89">
        <v>3157</v>
      </c>
      <c r="E567" s="89">
        <v>1758</v>
      </c>
      <c r="F567" s="89"/>
      <c r="G567" s="89"/>
      <c r="H567" s="89"/>
      <c r="I567" s="89"/>
      <c r="J567" s="89"/>
      <c r="K567" s="89"/>
      <c r="L567" s="89"/>
      <c r="M567" s="89"/>
      <c r="N567" s="89"/>
      <c r="O567" s="49"/>
      <c r="P567" s="95"/>
    </row>
    <row r="568" spans="1:16">
      <c r="A568" s="89" t="s">
        <v>343</v>
      </c>
      <c r="B568" s="89">
        <v>953</v>
      </c>
      <c r="C568" s="89">
        <v>1186</v>
      </c>
      <c r="D568" s="108">
        <v>727</v>
      </c>
      <c r="E568" s="108">
        <v>769</v>
      </c>
      <c r="F568" s="108"/>
      <c r="G568" s="108"/>
      <c r="H568" s="108"/>
      <c r="I568" s="108"/>
      <c r="J568" s="108"/>
      <c r="K568" s="108"/>
      <c r="L568" s="108"/>
      <c r="M568" s="108"/>
      <c r="N568" s="108"/>
      <c r="O568" s="106"/>
      <c r="P568" s="95"/>
    </row>
    <row r="569" spans="1:16">
      <c r="A569" s="89" t="s">
        <v>345</v>
      </c>
      <c r="B569" s="89">
        <v>4192</v>
      </c>
      <c r="C569" s="89">
        <v>5064</v>
      </c>
      <c r="D569" s="108">
        <v>5478</v>
      </c>
      <c r="E569" s="108">
        <v>4635</v>
      </c>
      <c r="F569" s="108"/>
      <c r="G569" s="108"/>
      <c r="H569" s="108"/>
      <c r="I569" s="108"/>
      <c r="J569" s="108"/>
      <c r="K569" s="108"/>
      <c r="L569" s="108"/>
      <c r="M569" s="108"/>
      <c r="N569" s="108"/>
      <c r="O569" s="106"/>
      <c r="P569" s="95"/>
    </row>
    <row r="570" spans="1:16">
      <c r="A570" s="89" t="s">
        <v>346</v>
      </c>
      <c r="B570" s="89">
        <v>100</v>
      </c>
      <c r="C570" s="89">
        <v>130</v>
      </c>
      <c r="D570" s="89">
        <v>162</v>
      </c>
      <c r="E570" s="89">
        <v>143</v>
      </c>
      <c r="F570" s="89"/>
      <c r="G570" s="89"/>
      <c r="H570" s="89"/>
      <c r="I570" s="89"/>
      <c r="J570" s="89"/>
      <c r="K570" s="89"/>
      <c r="L570" s="89"/>
      <c r="M570" s="89"/>
      <c r="N570" s="68"/>
    </row>
    <row r="571" spans="1:16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68"/>
    </row>
    <row r="572" spans="1:16">
      <c r="A572" s="89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M572" s="95"/>
      <c r="N572" s="95"/>
      <c r="O572" s="95"/>
      <c r="P572" s="95"/>
    </row>
    <row r="573" spans="1:16">
      <c r="A573" s="46" t="s">
        <v>347</v>
      </c>
    </row>
    <row r="574" spans="1:16">
      <c r="A574" s="92" t="s">
        <v>348</v>
      </c>
      <c r="B574" s="92" t="s">
        <v>51</v>
      </c>
      <c r="C574" s="92" t="s">
        <v>52</v>
      </c>
      <c r="D574" s="92" t="s">
        <v>53</v>
      </c>
      <c r="E574" s="92" t="s">
        <v>54</v>
      </c>
      <c r="F574" s="92" t="s">
        <v>55</v>
      </c>
      <c r="G574" s="92" t="s">
        <v>56</v>
      </c>
      <c r="H574" s="92" t="s">
        <v>57</v>
      </c>
      <c r="I574" s="92" t="s">
        <v>58</v>
      </c>
      <c r="J574" s="92" t="s">
        <v>59</v>
      </c>
      <c r="K574" s="92" t="s">
        <v>60</v>
      </c>
      <c r="L574" s="92" t="s">
        <v>61</v>
      </c>
      <c r="M574" s="92" t="s">
        <v>62</v>
      </c>
      <c r="N574" s="92" t="s">
        <v>63</v>
      </c>
      <c r="O574" s="92" t="s">
        <v>69</v>
      </c>
    </row>
    <row r="575" spans="1:16">
      <c r="A575" s="93" t="s">
        <v>41</v>
      </c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95"/>
    </row>
    <row r="576" spans="1:16">
      <c r="A576" s="93" t="s">
        <v>43</v>
      </c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95"/>
    </row>
    <row r="577" spans="1:15">
      <c r="A577" s="93" t="s">
        <v>75</v>
      </c>
      <c r="B577" s="106">
        <f t="shared" ref="B577:J577" si="79">SUM(B578:B580)</f>
        <v>2115</v>
      </c>
      <c r="C577" s="106">
        <f t="shared" si="79"/>
        <v>9260</v>
      </c>
      <c r="D577" s="106">
        <f t="shared" si="79"/>
        <v>13527</v>
      </c>
      <c r="E577" s="106">
        <f t="shared" si="79"/>
        <v>11187</v>
      </c>
      <c r="F577" s="106">
        <f t="shared" si="79"/>
        <v>8412</v>
      </c>
      <c r="G577" s="106">
        <f t="shared" si="79"/>
        <v>8470</v>
      </c>
      <c r="H577" s="106">
        <f t="shared" si="79"/>
        <v>8235</v>
      </c>
      <c r="I577" s="106">
        <f t="shared" si="79"/>
        <v>10292</v>
      </c>
      <c r="J577" s="106">
        <f t="shared" si="79"/>
        <v>10712</v>
      </c>
      <c r="K577" s="106">
        <v>62086</v>
      </c>
      <c r="L577" s="106">
        <v>65034</v>
      </c>
      <c r="M577" s="106">
        <v>60447</v>
      </c>
      <c r="N577" s="106">
        <f t="shared" ref="N577:N585" si="80">SUM(B577:M577)</f>
        <v>269777</v>
      </c>
      <c r="O577" s="106"/>
    </row>
    <row r="578" spans="1:15">
      <c r="A578" s="89" t="s">
        <v>349</v>
      </c>
      <c r="B578" s="89">
        <v>0</v>
      </c>
      <c r="C578" s="89">
        <v>6661</v>
      </c>
      <c r="D578" s="89">
        <v>10550</v>
      </c>
      <c r="E578" s="89">
        <v>10615</v>
      </c>
      <c r="F578" s="89">
        <v>7215</v>
      </c>
      <c r="G578" s="89">
        <v>7238</v>
      </c>
      <c r="H578" s="89">
        <v>7507</v>
      </c>
      <c r="I578" s="89">
        <v>8855</v>
      </c>
      <c r="J578" s="89">
        <v>10221</v>
      </c>
      <c r="K578" s="89">
        <v>13052</v>
      </c>
      <c r="L578" s="89">
        <v>15188</v>
      </c>
      <c r="M578" s="89">
        <v>12538</v>
      </c>
      <c r="N578" s="64">
        <f t="shared" si="80"/>
        <v>109640</v>
      </c>
      <c r="O578" s="49"/>
    </row>
    <row r="579" spans="1:15">
      <c r="A579" s="89" t="s">
        <v>350</v>
      </c>
      <c r="B579" s="89">
        <v>2044</v>
      </c>
      <c r="C579" s="89">
        <v>2032</v>
      </c>
      <c r="D579" s="89">
        <v>2916</v>
      </c>
      <c r="E579" s="89">
        <v>430</v>
      </c>
      <c r="F579" s="89">
        <v>443</v>
      </c>
      <c r="G579" s="89">
        <v>1232</v>
      </c>
      <c r="H579" s="89">
        <v>489</v>
      </c>
      <c r="I579" s="89">
        <v>823</v>
      </c>
      <c r="J579" s="89">
        <v>470</v>
      </c>
      <c r="K579" s="89">
        <v>172</v>
      </c>
      <c r="L579" s="89">
        <v>272</v>
      </c>
      <c r="M579" s="89">
        <v>213</v>
      </c>
      <c r="N579" s="64">
        <f t="shared" si="80"/>
        <v>11536</v>
      </c>
      <c r="O579" s="49"/>
    </row>
    <row r="580" spans="1:15">
      <c r="A580" s="89" t="s">
        <v>351</v>
      </c>
      <c r="B580" s="108">
        <v>71</v>
      </c>
      <c r="C580" s="108">
        <v>567</v>
      </c>
      <c r="D580" s="108">
        <v>61</v>
      </c>
      <c r="E580" s="108">
        <v>142</v>
      </c>
      <c r="F580" s="108">
        <v>754</v>
      </c>
      <c r="G580" s="108">
        <v>0</v>
      </c>
      <c r="H580" s="108">
        <v>239</v>
      </c>
      <c r="I580" s="108">
        <v>614</v>
      </c>
      <c r="J580" s="108">
        <v>21</v>
      </c>
      <c r="K580" s="108">
        <v>15</v>
      </c>
      <c r="L580" s="108"/>
      <c r="M580" s="108"/>
      <c r="N580" s="64">
        <f t="shared" si="80"/>
        <v>2484</v>
      </c>
      <c r="O580" s="106"/>
    </row>
    <row r="581" spans="1:15">
      <c r="A581" s="93" t="s">
        <v>223</v>
      </c>
      <c r="B581" s="106">
        <f t="shared" ref="B581:M581" si="81">SUM(B582:B585)</f>
        <v>11881</v>
      </c>
      <c r="C581" s="106">
        <f t="shared" si="81"/>
        <v>5963</v>
      </c>
      <c r="D581" s="106">
        <f t="shared" si="81"/>
        <v>8114</v>
      </c>
      <c r="E581" s="106">
        <f t="shared" si="81"/>
        <v>8392</v>
      </c>
      <c r="F581" s="106">
        <f t="shared" si="81"/>
        <v>8315</v>
      </c>
      <c r="G581" s="106">
        <f t="shared" si="81"/>
        <v>9154</v>
      </c>
      <c r="H581" s="106">
        <f t="shared" si="81"/>
        <v>8133</v>
      </c>
      <c r="I581" s="106">
        <f t="shared" si="81"/>
        <v>11122</v>
      </c>
      <c r="J581" s="106">
        <f t="shared" si="81"/>
        <v>18551</v>
      </c>
      <c r="K581" s="106">
        <f t="shared" si="81"/>
        <v>30746</v>
      </c>
      <c r="L581" s="106">
        <f t="shared" si="81"/>
        <v>39065</v>
      </c>
      <c r="M581" s="106">
        <f t="shared" si="81"/>
        <v>27150</v>
      </c>
      <c r="N581" s="106">
        <f t="shared" si="80"/>
        <v>186586</v>
      </c>
      <c r="O581" s="86">
        <f>N581/SUM(B577:M577)-1</f>
        <v>-0.308369505183911</v>
      </c>
    </row>
    <row r="582" spans="1:15">
      <c r="A582" s="89" t="s">
        <v>349</v>
      </c>
      <c r="B582" s="89">
        <v>11092</v>
      </c>
      <c r="C582" s="89">
        <v>5188</v>
      </c>
      <c r="D582" s="89">
        <v>7618</v>
      </c>
      <c r="E582" s="89">
        <v>8125</v>
      </c>
      <c r="F582" s="89">
        <v>8314</v>
      </c>
      <c r="G582" s="89">
        <v>9154</v>
      </c>
      <c r="H582" s="89">
        <v>8133</v>
      </c>
      <c r="I582" s="89">
        <v>11122</v>
      </c>
      <c r="J582" s="89">
        <v>17551</v>
      </c>
      <c r="K582" s="89">
        <v>15616</v>
      </c>
      <c r="L582" s="89">
        <v>19027</v>
      </c>
      <c r="M582" s="89">
        <v>10659</v>
      </c>
      <c r="N582" s="106">
        <f t="shared" si="80"/>
        <v>131599</v>
      </c>
      <c r="O582" s="49"/>
    </row>
    <row r="583" spans="1:15">
      <c r="A583" s="89" t="s">
        <v>352</v>
      </c>
      <c r="B583" s="89"/>
      <c r="C583" s="89"/>
      <c r="D583" s="89"/>
      <c r="E583" s="89"/>
      <c r="F583" s="89"/>
      <c r="G583" s="89"/>
      <c r="H583" s="89"/>
      <c r="I583" s="89"/>
      <c r="J583" s="89">
        <v>1000</v>
      </c>
      <c r="K583" s="89">
        <v>15130</v>
      </c>
      <c r="L583" s="89">
        <v>20038</v>
      </c>
      <c r="M583" s="89">
        <v>16491</v>
      </c>
      <c r="N583" s="106">
        <f t="shared" si="80"/>
        <v>52659</v>
      </c>
      <c r="O583" s="49"/>
    </row>
    <row r="584" spans="1:15">
      <c r="A584" s="89" t="s">
        <v>350</v>
      </c>
      <c r="B584" s="89">
        <v>784</v>
      </c>
      <c r="C584" s="89">
        <v>775</v>
      </c>
      <c r="D584" s="89">
        <v>489</v>
      </c>
      <c r="E584" s="89">
        <v>266</v>
      </c>
      <c r="F584" s="89"/>
      <c r="G584" s="89"/>
      <c r="H584" s="89"/>
      <c r="I584" s="89"/>
      <c r="J584" s="89"/>
      <c r="K584" s="89"/>
      <c r="L584" s="89"/>
      <c r="M584" s="89"/>
      <c r="N584" s="106">
        <f t="shared" si="80"/>
        <v>2314</v>
      </c>
      <c r="O584" s="49"/>
    </row>
    <row r="585" spans="1:15">
      <c r="A585" s="89" t="s">
        <v>351</v>
      </c>
      <c r="B585" s="108">
        <v>5</v>
      </c>
      <c r="C585" s="108">
        <v>0</v>
      </c>
      <c r="D585" s="108">
        <v>7</v>
      </c>
      <c r="E585" s="108">
        <v>1</v>
      </c>
      <c r="F585" s="108">
        <v>1</v>
      </c>
      <c r="G585" s="108"/>
      <c r="H585" s="108"/>
      <c r="I585" s="108"/>
      <c r="J585" s="108"/>
      <c r="K585" s="108"/>
      <c r="L585" s="108"/>
      <c r="M585" s="108"/>
      <c r="N585" s="106">
        <f t="shared" si="80"/>
        <v>14</v>
      </c>
      <c r="O585" s="106"/>
    </row>
    <row r="586" spans="1:15">
      <c r="A586" s="93" t="s">
        <v>226</v>
      </c>
      <c r="B586" s="106">
        <f>SUM(B587:B590)</f>
        <v>44078</v>
      </c>
      <c r="C586" s="106">
        <v>98433</v>
      </c>
      <c r="D586" s="106">
        <v>58000</v>
      </c>
      <c r="E586" s="106">
        <v>125563</v>
      </c>
      <c r="F586" s="106"/>
      <c r="G586" s="106"/>
      <c r="H586" s="106"/>
      <c r="I586" s="106"/>
      <c r="J586" s="106"/>
      <c r="K586" s="106"/>
      <c r="L586" s="106"/>
      <c r="M586" s="106"/>
      <c r="N586" s="106"/>
      <c r="O586" s="86"/>
    </row>
    <row r="587" spans="1:15">
      <c r="A587" s="89" t="s">
        <v>349</v>
      </c>
      <c r="B587" s="89">
        <v>15932</v>
      </c>
      <c r="C587" s="89">
        <v>12899</v>
      </c>
      <c r="D587" s="89">
        <v>13961</v>
      </c>
      <c r="E587" s="89">
        <v>17831</v>
      </c>
      <c r="F587" s="89"/>
      <c r="G587" s="89"/>
      <c r="H587" s="89"/>
      <c r="I587" s="89"/>
      <c r="J587" s="89"/>
      <c r="K587" s="89"/>
      <c r="L587" s="89"/>
      <c r="M587" s="89"/>
      <c r="N587" s="106"/>
      <c r="O587" s="49"/>
    </row>
    <row r="588" spans="1:15">
      <c r="A588" s="89" t="s">
        <v>352</v>
      </c>
      <c r="B588" s="89">
        <v>28146</v>
      </c>
      <c r="C588" s="89">
        <v>28588</v>
      </c>
      <c r="D588" s="89">
        <v>32481</v>
      </c>
      <c r="E588" s="89">
        <v>38000</v>
      </c>
      <c r="F588" s="89"/>
      <c r="G588" s="89"/>
      <c r="H588" s="89"/>
      <c r="I588" s="89"/>
      <c r="J588" s="89"/>
      <c r="K588" s="89"/>
      <c r="L588" s="89"/>
      <c r="M588" s="89"/>
      <c r="N588" s="106"/>
      <c r="O588" s="49"/>
    </row>
    <row r="589" spans="1:15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106"/>
      <c r="O589" s="49"/>
    </row>
    <row r="590" spans="1:15">
      <c r="A590" s="89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6"/>
      <c r="O590" s="106"/>
    </row>
    <row r="591" spans="1:15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68"/>
    </row>
    <row r="592" spans="1:15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68"/>
    </row>
    <row r="593" spans="1:15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68"/>
    </row>
    <row r="594" spans="1:15">
      <c r="A594" s="89"/>
    </row>
    <row r="595" spans="1:15">
      <c r="A595" s="46" t="s">
        <v>353</v>
      </c>
    </row>
    <row r="596" spans="1:15">
      <c r="A596" s="92" t="s">
        <v>354</v>
      </c>
      <c r="B596" s="92" t="s">
        <v>51</v>
      </c>
      <c r="C596" s="92" t="s">
        <v>52</v>
      </c>
      <c r="D596" s="92" t="s">
        <v>53</v>
      </c>
      <c r="E596" s="92" t="s">
        <v>54</v>
      </c>
      <c r="F596" s="92" t="s">
        <v>55</v>
      </c>
      <c r="G596" s="92" t="s">
        <v>56</v>
      </c>
      <c r="H596" s="92" t="s">
        <v>57</v>
      </c>
      <c r="I596" s="92" t="s">
        <v>58</v>
      </c>
      <c r="J596" s="92" t="s">
        <v>59</v>
      </c>
      <c r="K596" s="92" t="s">
        <v>60</v>
      </c>
      <c r="L596" s="92" t="s">
        <v>61</v>
      </c>
      <c r="M596" s="92" t="s">
        <v>62</v>
      </c>
      <c r="N596" s="92" t="s">
        <v>63</v>
      </c>
      <c r="O596" s="92" t="s">
        <v>69</v>
      </c>
    </row>
    <row r="597" spans="1:15">
      <c r="A597" s="93" t="s">
        <v>75</v>
      </c>
      <c r="B597" s="106">
        <f t="shared" ref="B597:M597" si="82">SUM(B598:B598)</f>
        <v>0</v>
      </c>
      <c r="C597" s="106">
        <f t="shared" si="82"/>
        <v>0</v>
      </c>
      <c r="D597" s="106">
        <f t="shared" si="82"/>
        <v>0</v>
      </c>
      <c r="E597" s="106">
        <f t="shared" si="82"/>
        <v>0</v>
      </c>
      <c r="F597" s="106">
        <f t="shared" si="82"/>
        <v>0</v>
      </c>
      <c r="G597" s="106">
        <f t="shared" si="82"/>
        <v>9673</v>
      </c>
      <c r="H597" s="106">
        <f t="shared" si="82"/>
        <v>10058</v>
      </c>
      <c r="I597" s="106">
        <f t="shared" si="82"/>
        <v>11117</v>
      </c>
      <c r="J597" s="106">
        <f t="shared" si="82"/>
        <v>10007</v>
      </c>
      <c r="K597" s="106">
        <f t="shared" si="82"/>
        <v>9336</v>
      </c>
      <c r="L597" s="106">
        <f t="shared" si="82"/>
        <v>8473</v>
      </c>
      <c r="M597" s="106">
        <f t="shared" si="82"/>
        <v>7577</v>
      </c>
      <c r="N597" s="106">
        <f t="shared" ref="N597:N604" si="83">SUM(B597:M597)</f>
        <v>66241</v>
      </c>
      <c r="O597" s="106"/>
    </row>
    <row r="598" spans="1:15">
      <c r="A598" s="89" t="s">
        <v>355</v>
      </c>
      <c r="B598" s="89">
        <v>0</v>
      </c>
      <c r="C598" s="89">
        <v>0</v>
      </c>
      <c r="D598" s="89">
        <v>0</v>
      </c>
      <c r="E598" s="89">
        <v>0</v>
      </c>
      <c r="F598" s="89">
        <v>0</v>
      </c>
      <c r="G598" s="89">
        <v>9673</v>
      </c>
      <c r="H598" s="89">
        <v>10058</v>
      </c>
      <c r="I598" s="89">
        <v>11117</v>
      </c>
      <c r="J598" s="89">
        <v>10007</v>
      </c>
      <c r="K598" s="89">
        <v>9336</v>
      </c>
      <c r="L598" s="89">
        <v>8473</v>
      </c>
      <c r="M598" s="89">
        <v>7577</v>
      </c>
      <c r="N598" s="64">
        <f t="shared" si="83"/>
        <v>66241</v>
      </c>
      <c r="O598" s="49"/>
    </row>
    <row r="599" spans="1:15">
      <c r="A599" s="93" t="s">
        <v>223</v>
      </c>
      <c r="B599" s="106">
        <f t="shared" ref="B599:M599" si="84">SUM(B600:B604)</f>
        <v>9772</v>
      </c>
      <c r="C599" s="106">
        <f t="shared" si="84"/>
        <v>4775</v>
      </c>
      <c r="D599" s="106">
        <f t="shared" si="84"/>
        <v>4016</v>
      </c>
      <c r="E599" s="106">
        <f t="shared" si="84"/>
        <v>5519</v>
      </c>
      <c r="F599" s="106">
        <f t="shared" si="84"/>
        <v>5589</v>
      </c>
      <c r="G599" s="106">
        <f t="shared" si="84"/>
        <v>14894</v>
      </c>
      <c r="H599" s="106">
        <f t="shared" si="84"/>
        <v>16704</v>
      </c>
      <c r="I599" s="106">
        <f t="shared" si="84"/>
        <v>26438</v>
      </c>
      <c r="J599" s="106">
        <f t="shared" si="84"/>
        <v>29044</v>
      </c>
      <c r="K599" s="106">
        <f t="shared" si="84"/>
        <v>31155</v>
      </c>
      <c r="L599" s="106">
        <f t="shared" si="84"/>
        <v>34841</v>
      </c>
      <c r="M599" s="106">
        <f t="shared" si="84"/>
        <v>40551</v>
      </c>
      <c r="N599" s="106">
        <f t="shared" si="83"/>
        <v>223298</v>
      </c>
      <c r="O599" s="86">
        <f>N599/SUM(N597)-1</f>
        <v>2.37099379538352</v>
      </c>
    </row>
    <row r="600" spans="1:15">
      <c r="A600" s="89" t="s">
        <v>355</v>
      </c>
      <c r="B600" s="89">
        <v>9772</v>
      </c>
      <c r="C600" s="89">
        <v>4775</v>
      </c>
      <c r="D600" s="89">
        <v>4016</v>
      </c>
      <c r="E600" s="89">
        <v>5519</v>
      </c>
      <c r="F600" s="89">
        <v>5589</v>
      </c>
      <c r="G600" s="89">
        <v>5426</v>
      </c>
      <c r="H600" s="89">
        <v>6559</v>
      </c>
      <c r="I600" s="89">
        <v>6061</v>
      </c>
      <c r="J600" s="89">
        <v>7018</v>
      </c>
      <c r="K600" s="89">
        <v>7436</v>
      </c>
      <c r="L600" s="89">
        <v>7184</v>
      </c>
      <c r="M600" s="89">
        <v>3833</v>
      </c>
      <c r="N600" s="64">
        <f t="shared" si="83"/>
        <v>73188</v>
      </c>
      <c r="O600" s="49"/>
    </row>
    <row r="601" spans="1:15">
      <c r="A601" s="89" t="s">
        <v>356</v>
      </c>
      <c r="G601" s="89">
        <v>6391</v>
      </c>
      <c r="H601" s="89">
        <v>6424</v>
      </c>
      <c r="I601" s="89">
        <v>5510</v>
      </c>
      <c r="J601" s="89">
        <v>5058</v>
      </c>
      <c r="K601" s="89">
        <v>5302</v>
      </c>
      <c r="L601" s="89">
        <v>4214</v>
      </c>
      <c r="M601" s="89">
        <v>698</v>
      </c>
      <c r="N601" s="64">
        <f t="shared" si="83"/>
        <v>33597</v>
      </c>
    </row>
    <row r="602" spans="1:15">
      <c r="A602" s="89" t="s">
        <v>357</v>
      </c>
      <c r="G602" s="89">
        <v>3077</v>
      </c>
      <c r="H602" s="89">
        <v>3076</v>
      </c>
      <c r="I602" s="89">
        <v>2640</v>
      </c>
      <c r="J602" s="89">
        <v>2718</v>
      </c>
      <c r="K602" s="89">
        <v>2705</v>
      </c>
      <c r="L602" s="89">
        <v>3681</v>
      </c>
      <c r="M602" s="89">
        <v>1206</v>
      </c>
      <c r="N602" s="64">
        <f t="shared" si="83"/>
        <v>19103</v>
      </c>
    </row>
    <row r="603" spans="1:15">
      <c r="A603" s="89" t="s">
        <v>358</v>
      </c>
      <c r="G603" s="89"/>
      <c r="H603" s="89">
        <v>645</v>
      </c>
      <c r="I603" s="89">
        <v>12227</v>
      </c>
      <c r="J603" s="89">
        <v>14250</v>
      </c>
      <c r="K603" s="89">
        <v>15712</v>
      </c>
      <c r="L603" s="89">
        <v>18962</v>
      </c>
      <c r="M603" s="89">
        <v>14978</v>
      </c>
      <c r="N603" s="64">
        <f t="shared" si="83"/>
        <v>76774</v>
      </c>
    </row>
    <row r="604" spans="1:15">
      <c r="A604" s="89" t="s">
        <v>359</v>
      </c>
      <c r="G604" s="89"/>
      <c r="H604" s="89"/>
      <c r="I604" s="89"/>
      <c r="J604" s="89"/>
      <c r="K604" s="89"/>
      <c r="L604" s="89">
        <v>800</v>
      </c>
      <c r="M604" s="89">
        <v>19836</v>
      </c>
      <c r="N604" s="64">
        <f t="shared" si="83"/>
        <v>20636</v>
      </c>
    </row>
    <row r="605" spans="1:15">
      <c r="A605" s="93" t="s">
        <v>226</v>
      </c>
      <c r="B605" s="106">
        <f>SUM(B606:B610)</f>
        <v>46418</v>
      </c>
      <c r="C605" s="106">
        <f>SUM(C606:C610)</f>
        <v>30261</v>
      </c>
      <c r="D605" s="106">
        <v>90032</v>
      </c>
      <c r="E605" s="106">
        <v>96632</v>
      </c>
      <c r="F605" s="106"/>
      <c r="G605" s="106"/>
      <c r="H605" s="106"/>
      <c r="I605" s="106"/>
      <c r="J605" s="106"/>
      <c r="K605" s="106"/>
      <c r="L605" s="106"/>
      <c r="M605" s="106"/>
      <c r="N605" s="106"/>
      <c r="O605" s="86"/>
    </row>
    <row r="606" spans="1:15">
      <c r="A606" s="89" t="s">
        <v>355</v>
      </c>
      <c r="B606" s="89">
        <v>7630</v>
      </c>
      <c r="C606" s="89">
        <v>4842</v>
      </c>
      <c r="D606" s="89">
        <v>5450</v>
      </c>
      <c r="E606" s="89">
        <v>4594</v>
      </c>
      <c r="F606" s="89"/>
      <c r="G606" s="89"/>
      <c r="H606" s="89"/>
      <c r="I606" s="89"/>
      <c r="J606" s="89"/>
      <c r="K606" s="89"/>
      <c r="L606" s="89"/>
      <c r="M606" s="89"/>
      <c r="N606" s="64"/>
      <c r="O606" s="49"/>
    </row>
    <row r="607" spans="1:15">
      <c r="A607" s="89" t="s">
        <v>356</v>
      </c>
      <c r="B607" s="89">
        <v>4526</v>
      </c>
      <c r="C607" s="89">
        <v>6676</v>
      </c>
      <c r="D607" s="89">
        <v>8027</v>
      </c>
      <c r="E607" s="89">
        <v>7836</v>
      </c>
      <c r="G607" s="89"/>
      <c r="H607" s="89"/>
      <c r="I607" s="89"/>
      <c r="J607" s="89"/>
      <c r="K607" s="89"/>
      <c r="L607" s="89"/>
      <c r="M607" s="89"/>
      <c r="N607" s="64"/>
    </row>
    <row r="608" spans="1:15">
      <c r="A608" s="89" t="s">
        <v>357</v>
      </c>
      <c r="B608" s="89">
        <v>1054</v>
      </c>
      <c r="C608" s="89">
        <v>657</v>
      </c>
      <c r="D608" s="89">
        <v>2016</v>
      </c>
      <c r="E608" s="89">
        <v>2245</v>
      </c>
      <c r="G608" s="89"/>
      <c r="H608" s="89"/>
      <c r="I608" s="89"/>
      <c r="J608" s="89"/>
      <c r="K608" s="89"/>
      <c r="L608" s="89"/>
      <c r="M608" s="89"/>
      <c r="N608" s="64"/>
    </row>
    <row r="609" spans="1:15">
      <c r="A609" s="89" t="s">
        <v>358</v>
      </c>
      <c r="B609" s="89">
        <v>12880</v>
      </c>
      <c r="C609" s="89">
        <v>8016</v>
      </c>
      <c r="D609" s="89">
        <v>10077</v>
      </c>
      <c r="E609" s="89">
        <v>13597</v>
      </c>
      <c r="G609" s="89"/>
      <c r="H609" s="89"/>
      <c r="I609" s="89"/>
      <c r="J609" s="89"/>
      <c r="K609" s="89"/>
      <c r="L609" s="89"/>
      <c r="M609" s="89"/>
      <c r="N609" s="64"/>
    </row>
    <row r="610" spans="1:15">
      <c r="A610" s="89" t="s">
        <v>359</v>
      </c>
      <c r="B610" s="89">
        <v>20328</v>
      </c>
      <c r="C610" s="89">
        <v>10070</v>
      </c>
      <c r="D610" s="89">
        <v>11888</v>
      </c>
      <c r="E610" s="89">
        <v>11119</v>
      </c>
      <c r="G610" s="89"/>
      <c r="H610" s="89"/>
      <c r="I610" s="89"/>
      <c r="J610" s="89"/>
      <c r="K610" s="89"/>
      <c r="L610" s="89"/>
      <c r="M610" s="89"/>
      <c r="N610" s="64"/>
    </row>
    <row r="611" spans="1:15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68"/>
    </row>
    <row r="612" spans="1:15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68"/>
    </row>
    <row r="614" spans="1:15">
      <c r="A614" s="46" t="s">
        <v>360</v>
      </c>
    </row>
    <row r="615" spans="1:15">
      <c r="A615" s="92" t="s">
        <v>188</v>
      </c>
      <c r="B615" s="92" t="s">
        <v>51</v>
      </c>
      <c r="C615" s="92" t="s">
        <v>52</v>
      </c>
      <c r="D615" s="92" t="s">
        <v>53</v>
      </c>
      <c r="E615" s="92" t="s">
        <v>54</v>
      </c>
      <c r="F615" s="92" t="s">
        <v>55</v>
      </c>
      <c r="G615" s="92" t="s">
        <v>56</v>
      </c>
      <c r="H615" s="92" t="s">
        <v>57</v>
      </c>
      <c r="I615" s="92" t="s">
        <v>58</v>
      </c>
      <c r="J615" s="92" t="s">
        <v>59</v>
      </c>
      <c r="K615" s="92" t="s">
        <v>60</v>
      </c>
      <c r="L615" s="92" t="s">
        <v>61</v>
      </c>
      <c r="M615" s="92" t="s">
        <v>62</v>
      </c>
      <c r="N615" s="92" t="s">
        <v>63</v>
      </c>
      <c r="O615" s="92" t="s">
        <v>69</v>
      </c>
    </row>
    <row r="616" spans="1:15">
      <c r="A616" s="93" t="s">
        <v>223</v>
      </c>
      <c r="B616" s="42">
        <f t="shared" ref="B616:M616" si="85">SUM(B617:B641)</f>
        <v>191122</v>
      </c>
      <c r="C616" s="42">
        <f t="shared" si="85"/>
        <v>111114</v>
      </c>
      <c r="D616" s="42">
        <f t="shared" si="85"/>
        <v>245381</v>
      </c>
      <c r="E616" s="42">
        <f t="shared" si="85"/>
        <v>243301</v>
      </c>
      <c r="F616" s="42">
        <f t="shared" si="85"/>
        <v>252965</v>
      </c>
      <c r="G616" s="42">
        <f t="shared" si="85"/>
        <v>264722</v>
      </c>
      <c r="H616" s="42">
        <f t="shared" si="85"/>
        <v>299183</v>
      </c>
      <c r="I616" s="42">
        <f t="shared" si="85"/>
        <v>364421</v>
      </c>
      <c r="J616" s="42">
        <f t="shared" si="85"/>
        <v>385222</v>
      </c>
      <c r="K616" s="42">
        <f t="shared" si="85"/>
        <v>410313</v>
      </c>
      <c r="L616" s="42">
        <f t="shared" si="85"/>
        <v>388089</v>
      </c>
      <c r="M616" s="42">
        <f t="shared" si="85"/>
        <v>364102</v>
      </c>
      <c r="N616" s="25">
        <f t="shared" ref="N616:N641" si="86">SUM(B616:M616)</f>
        <v>3519935</v>
      </c>
    </row>
    <row r="617" spans="1:15">
      <c r="A617" s="89" t="s">
        <v>361</v>
      </c>
      <c r="B617" s="89">
        <v>29244</v>
      </c>
      <c r="C617" s="89">
        <v>27851</v>
      </c>
      <c r="D617" s="89">
        <v>50394</v>
      </c>
      <c r="E617" s="89">
        <v>49668</v>
      </c>
      <c r="F617" s="89">
        <v>48668</v>
      </c>
      <c r="G617" s="89">
        <v>38901</v>
      </c>
      <c r="H617" s="89">
        <v>39710</v>
      </c>
      <c r="I617" s="89">
        <v>42765</v>
      </c>
      <c r="J617" s="89">
        <v>38874</v>
      </c>
      <c r="K617" s="89">
        <v>39808</v>
      </c>
      <c r="L617" s="89">
        <v>36787</v>
      </c>
      <c r="M617" s="25">
        <v>40709</v>
      </c>
      <c r="N617" s="25">
        <f t="shared" si="86"/>
        <v>483379</v>
      </c>
    </row>
    <row r="618" spans="1:15">
      <c r="A618" s="89" t="s">
        <v>362</v>
      </c>
      <c r="B618" s="89">
        <v>0</v>
      </c>
      <c r="C618" s="89">
        <v>0</v>
      </c>
      <c r="D618" s="89">
        <v>0</v>
      </c>
      <c r="E618" s="89">
        <v>0</v>
      </c>
      <c r="F618" s="89">
        <v>331</v>
      </c>
      <c r="G618" s="89">
        <v>18021</v>
      </c>
      <c r="H618" s="89">
        <v>32466</v>
      </c>
      <c r="I618" s="89">
        <v>35957</v>
      </c>
      <c r="J618" s="89">
        <v>39490</v>
      </c>
      <c r="K618" s="89">
        <v>39316</v>
      </c>
      <c r="L618" s="89">
        <v>33948</v>
      </c>
      <c r="M618" s="25">
        <v>30062</v>
      </c>
      <c r="N618" s="25">
        <f t="shared" si="86"/>
        <v>229591</v>
      </c>
    </row>
    <row r="619" spans="1:15">
      <c r="A619" s="89" t="s">
        <v>363</v>
      </c>
      <c r="B619" s="89">
        <v>830</v>
      </c>
      <c r="C619" s="89">
        <v>923</v>
      </c>
      <c r="D619" s="89">
        <v>1010</v>
      </c>
      <c r="E619" s="89">
        <v>1093</v>
      </c>
      <c r="F619" s="89">
        <v>1156</v>
      </c>
      <c r="G619" s="89">
        <v>455</v>
      </c>
      <c r="H619" s="89">
        <v>621</v>
      </c>
      <c r="I619" s="89">
        <v>431</v>
      </c>
      <c r="J619" s="89">
        <v>356</v>
      </c>
      <c r="K619" s="89">
        <v>360</v>
      </c>
      <c r="L619" s="89">
        <v>354</v>
      </c>
      <c r="M619" s="25">
        <v>320</v>
      </c>
      <c r="N619" s="25">
        <f t="shared" si="86"/>
        <v>7909</v>
      </c>
    </row>
    <row r="620" spans="1:15">
      <c r="A620" s="89" t="s">
        <v>364</v>
      </c>
      <c r="B620" s="89">
        <v>11248</v>
      </c>
      <c r="C620" s="89">
        <v>5970</v>
      </c>
      <c r="D620" s="89">
        <v>20376</v>
      </c>
      <c r="E620" s="89">
        <v>20535</v>
      </c>
      <c r="F620" s="89">
        <v>17240</v>
      </c>
      <c r="G620" s="89">
        <v>18698</v>
      </c>
      <c r="H620" s="89">
        <v>17008</v>
      </c>
      <c r="I620" s="89">
        <v>15326</v>
      </c>
      <c r="J620" s="89">
        <v>19070</v>
      </c>
      <c r="K620" s="89">
        <v>28382</v>
      </c>
      <c r="L620" s="89">
        <v>28433</v>
      </c>
      <c r="M620" s="25">
        <v>26427</v>
      </c>
      <c r="N620" s="25">
        <f t="shared" si="86"/>
        <v>228713</v>
      </c>
    </row>
    <row r="621" spans="1:15">
      <c r="A621" s="89" t="s">
        <v>365</v>
      </c>
      <c r="B621" s="89">
        <v>8892</v>
      </c>
      <c r="C621" s="89">
        <v>3987</v>
      </c>
      <c r="D621" s="89">
        <v>12603</v>
      </c>
      <c r="E621" s="89">
        <v>10854</v>
      </c>
      <c r="F621" s="89">
        <v>12123</v>
      </c>
      <c r="G621" s="89">
        <v>12978</v>
      </c>
      <c r="H621" s="89">
        <v>11550</v>
      </c>
      <c r="I621" s="89">
        <v>12114</v>
      </c>
      <c r="J621" s="89">
        <v>12458</v>
      </c>
      <c r="K621" s="89">
        <v>14019</v>
      </c>
      <c r="L621" s="89">
        <v>15942</v>
      </c>
      <c r="M621" s="25">
        <v>13107</v>
      </c>
      <c r="N621" s="25">
        <f t="shared" si="86"/>
        <v>140627</v>
      </c>
    </row>
    <row r="622" spans="1:15">
      <c r="A622" s="89" t="s">
        <v>366</v>
      </c>
      <c r="B622" s="89">
        <v>32267</v>
      </c>
      <c r="C622" s="89">
        <v>12693</v>
      </c>
      <c r="D622" s="89">
        <v>35176</v>
      </c>
      <c r="E622" s="89">
        <v>31809</v>
      </c>
      <c r="F622" s="89">
        <v>33422</v>
      </c>
      <c r="G622" s="89">
        <v>32911</v>
      </c>
      <c r="H622" s="89">
        <v>34306</v>
      </c>
      <c r="I622" s="89">
        <v>39799</v>
      </c>
      <c r="J622" s="89">
        <v>42382</v>
      </c>
      <c r="K622" s="89">
        <v>43192</v>
      </c>
      <c r="L622" s="89">
        <v>40265</v>
      </c>
      <c r="M622" s="25">
        <v>40252</v>
      </c>
      <c r="N622" s="25">
        <f t="shared" si="86"/>
        <v>418474</v>
      </c>
    </row>
    <row r="623" spans="1:15">
      <c r="A623" s="89" t="s">
        <v>367</v>
      </c>
      <c r="B623" s="89">
        <v>19952</v>
      </c>
      <c r="C623" s="89">
        <v>9386</v>
      </c>
      <c r="D623" s="89">
        <v>27446</v>
      </c>
      <c r="E623" s="89">
        <v>22491</v>
      </c>
      <c r="F623" s="89">
        <v>22130</v>
      </c>
      <c r="G623" s="89">
        <v>19316</v>
      </c>
      <c r="H623" s="89">
        <v>18336</v>
      </c>
      <c r="I623" s="89">
        <v>19288</v>
      </c>
      <c r="J623" s="89">
        <v>14640</v>
      </c>
      <c r="K623" s="89">
        <v>22615</v>
      </c>
      <c r="L623" s="89">
        <v>20613</v>
      </c>
      <c r="M623" s="25">
        <v>25385</v>
      </c>
      <c r="N623" s="25">
        <f t="shared" si="86"/>
        <v>241598</v>
      </c>
    </row>
    <row r="624" spans="1:15">
      <c r="A624" s="89" t="s">
        <v>368</v>
      </c>
      <c r="B624" s="89">
        <v>7374</v>
      </c>
      <c r="C624" s="89">
        <v>5265</v>
      </c>
      <c r="D624" s="89">
        <v>5204</v>
      </c>
      <c r="E624" s="89">
        <v>4449</v>
      </c>
      <c r="F624" s="89">
        <v>3802</v>
      </c>
      <c r="G624" s="89">
        <v>3283</v>
      </c>
      <c r="H624" s="89">
        <v>2605</v>
      </c>
      <c r="I624" s="89">
        <v>2022</v>
      </c>
      <c r="J624" s="89">
        <v>2631</v>
      </c>
      <c r="K624" s="89">
        <v>2596</v>
      </c>
      <c r="L624" s="89">
        <v>3965</v>
      </c>
      <c r="M624" s="25">
        <v>3487</v>
      </c>
      <c r="N624" s="25">
        <f t="shared" si="86"/>
        <v>46683</v>
      </c>
    </row>
    <row r="625" spans="1:14">
      <c r="A625" s="89" t="s">
        <v>369</v>
      </c>
      <c r="B625" s="89">
        <v>0</v>
      </c>
      <c r="C625" s="89">
        <v>0</v>
      </c>
      <c r="D625" s="89">
        <v>0</v>
      </c>
      <c r="E625" s="89">
        <v>0</v>
      </c>
      <c r="F625" s="89">
        <v>0</v>
      </c>
      <c r="G625" s="89">
        <v>0</v>
      </c>
      <c r="H625" s="89">
        <v>1462</v>
      </c>
      <c r="I625" s="89">
        <v>15750</v>
      </c>
      <c r="J625" s="89">
        <v>22677</v>
      </c>
      <c r="K625" s="89">
        <v>25198</v>
      </c>
      <c r="L625" s="89">
        <v>23230</v>
      </c>
      <c r="M625" s="25">
        <v>20877</v>
      </c>
      <c r="N625" s="25">
        <f t="shared" si="86"/>
        <v>109194</v>
      </c>
    </row>
    <row r="626" spans="1:14">
      <c r="A626" s="89" t="s">
        <v>370</v>
      </c>
      <c r="B626" s="89">
        <v>156</v>
      </c>
      <c r="C626" s="89">
        <v>61</v>
      </c>
      <c r="D626" s="89">
        <v>0</v>
      </c>
      <c r="E626" s="89">
        <v>0</v>
      </c>
      <c r="F626" s="89">
        <v>26</v>
      </c>
      <c r="G626" s="89">
        <v>20</v>
      </c>
      <c r="H626" s="89">
        <v>14</v>
      </c>
      <c r="I626" s="89">
        <v>10</v>
      </c>
      <c r="J626" s="89">
        <v>2</v>
      </c>
      <c r="K626" s="89"/>
      <c r="L626" s="89"/>
      <c r="M626" s="25">
        <v>2</v>
      </c>
      <c r="N626" s="25">
        <f t="shared" si="86"/>
        <v>291</v>
      </c>
    </row>
    <row r="627" spans="1:14">
      <c r="A627" s="89" t="s">
        <v>371</v>
      </c>
      <c r="B627" s="89">
        <v>16831</v>
      </c>
      <c r="C627" s="89">
        <v>8210</v>
      </c>
      <c r="D627" s="89">
        <v>21951</v>
      </c>
      <c r="E627" s="89">
        <v>23327</v>
      </c>
      <c r="F627" s="89">
        <v>24646</v>
      </c>
      <c r="G627" s="89">
        <v>23918</v>
      </c>
      <c r="H627" s="89">
        <v>25594</v>
      </c>
      <c r="I627" s="89">
        <v>27046</v>
      </c>
      <c r="J627" s="89">
        <v>25576</v>
      </c>
      <c r="K627" s="89">
        <v>28676</v>
      </c>
      <c r="L627" s="89">
        <v>26400</v>
      </c>
      <c r="M627" s="25">
        <v>23048</v>
      </c>
      <c r="N627" s="25">
        <f t="shared" si="86"/>
        <v>275223</v>
      </c>
    </row>
    <row r="628" spans="1:14">
      <c r="A628" s="89" t="s">
        <v>372</v>
      </c>
      <c r="B628" s="89">
        <v>0</v>
      </c>
      <c r="C628" s="89">
        <v>0</v>
      </c>
      <c r="D628" s="89">
        <v>1517</v>
      </c>
      <c r="E628" s="89">
        <v>8620</v>
      </c>
      <c r="F628" s="89">
        <v>9565</v>
      </c>
      <c r="G628" s="89">
        <v>8392</v>
      </c>
      <c r="H628" s="89">
        <v>11224</v>
      </c>
      <c r="I628" s="89">
        <v>19344</v>
      </c>
      <c r="J628" s="89">
        <v>16018</v>
      </c>
      <c r="K628" s="89">
        <v>20216</v>
      </c>
      <c r="L628" s="89">
        <v>21391</v>
      </c>
      <c r="M628" s="25">
        <v>18552</v>
      </c>
      <c r="N628" s="25">
        <f t="shared" si="86"/>
        <v>134839</v>
      </c>
    </row>
    <row r="629" spans="1:14">
      <c r="A629" s="89" t="s">
        <v>373</v>
      </c>
      <c r="B629" s="89">
        <v>1095</v>
      </c>
      <c r="C629" s="89">
        <v>1083</v>
      </c>
      <c r="D629" s="89">
        <v>964</v>
      </c>
      <c r="E629" s="89">
        <v>222</v>
      </c>
      <c r="F629" s="89">
        <v>242</v>
      </c>
      <c r="G629" s="89">
        <v>115</v>
      </c>
      <c r="H629" s="89">
        <v>285</v>
      </c>
      <c r="I629" s="89">
        <v>101</v>
      </c>
      <c r="J629" s="89">
        <v>14640</v>
      </c>
      <c r="K629" s="89">
        <v>34</v>
      </c>
      <c r="L629" s="89">
        <v>22</v>
      </c>
      <c r="M629" s="25">
        <v>14</v>
      </c>
      <c r="N629" s="25">
        <f t="shared" si="86"/>
        <v>18817</v>
      </c>
    </row>
    <row r="630" spans="1:14">
      <c r="A630" s="89" t="s">
        <v>374</v>
      </c>
      <c r="B630" s="89">
        <v>28050</v>
      </c>
      <c r="C630" s="89">
        <v>14403</v>
      </c>
      <c r="D630" s="89">
        <v>27866</v>
      </c>
      <c r="E630" s="89">
        <v>28797</v>
      </c>
      <c r="F630" s="89">
        <v>33544</v>
      </c>
      <c r="G630" s="89">
        <v>35201</v>
      </c>
      <c r="H630" s="89">
        <v>34789</v>
      </c>
      <c r="I630" s="89">
        <v>46830</v>
      </c>
      <c r="J630" s="89">
        <v>47915</v>
      </c>
      <c r="K630" s="89">
        <v>51288</v>
      </c>
      <c r="L630" s="89">
        <v>56156</v>
      </c>
      <c r="M630" s="25">
        <v>48754</v>
      </c>
      <c r="N630" s="25">
        <f t="shared" si="86"/>
        <v>453593</v>
      </c>
    </row>
    <row r="631" spans="1:14">
      <c r="A631" s="89" t="s">
        <v>375</v>
      </c>
      <c r="B631" s="89">
        <v>16386</v>
      </c>
      <c r="C631" s="89">
        <v>9213</v>
      </c>
      <c r="D631" s="89">
        <v>12672</v>
      </c>
      <c r="E631" s="89">
        <v>9995</v>
      </c>
      <c r="F631" s="89">
        <v>10832</v>
      </c>
      <c r="G631" s="89">
        <v>8429</v>
      </c>
      <c r="H631" s="89">
        <v>12443</v>
      </c>
      <c r="I631" s="89">
        <v>15984</v>
      </c>
      <c r="J631" s="89">
        <v>15290</v>
      </c>
      <c r="K631" s="89">
        <v>18231</v>
      </c>
      <c r="L631" s="89">
        <v>16680</v>
      </c>
      <c r="M631" s="25">
        <v>14439</v>
      </c>
      <c r="N631" s="25">
        <f t="shared" si="86"/>
        <v>160594</v>
      </c>
    </row>
    <row r="632" spans="1:14">
      <c r="A632" s="89" t="s">
        <v>376</v>
      </c>
      <c r="B632" s="89">
        <v>0</v>
      </c>
      <c r="C632" s="89">
        <v>0</v>
      </c>
      <c r="D632" s="89">
        <v>0</v>
      </c>
      <c r="E632" s="89">
        <v>0</v>
      </c>
      <c r="F632" s="89">
        <v>715</v>
      </c>
      <c r="G632" s="89">
        <v>5193</v>
      </c>
      <c r="H632" s="89">
        <v>5522</v>
      </c>
      <c r="I632" s="89">
        <v>5388</v>
      </c>
      <c r="J632" s="89">
        <v>5482</v>
      </c>
      <c r="K632" s="89">
        <v>6416</v>
      </c>
      <c r="L632" s="89">
        <v>5886</v>
      </c>
      <c r="M632" s="25">
        <v>4774</v>
      </c>
      <c r="N632" s="25">
        <f t="shared" si="86"/>
        <v>39376</v>
      </c>
    </row>
    <row r="633" spans="1:14">
      <c r="A633" s="89" t="s">
        <v>377</v>
      </c>
      <c r="B633" s="89">
        <v>0</v>
      </c>
      <c r="C633" s="89">
        <v>0</v>
      </c>
      <c r="D633" s="89">
        <v>0</v>
      </c>
      <c r="E633" s="89">
        <v>0</v>
      </c>
      <c r="F633" s="89">
        <v>44</v>
      </c>
      <c r="G633" s="89">
        <v>7625</v>
      </c>
      <c r="H633" s="89">
        <v>21659</v>
      </c>
      <c r="I633" s="89">
        <v>32903</v>
      </c>
      <c r="J633" s="89">
        <v>37155</v>
      </c>
      <c r="K633" s="89">
        <v>38069</v>
      </c>
      <c r="L633" s="89">
        <v>29465</v>
      </c>
      <c r="M633" s="25">
        <v>26711</v>
      </c>
      <c r="N633" s="25">
        <f t="shared" si="86"/>
        <v>193631</v>
      </c>
    </row>
    <row r="634" spans="1:14">
      <c r="A634" s="89" t="s">
        <v>378</v>
      </c>
      <c r="B634" s="89">
        <v>5276</v>
      </c>
      <c r="C634" s="89">
        <v>1641</v>
      </c>
      <c r="D634" s="89">
        <v>4777</v>
      </c>
      <c r="E634" s="89">
        <v>5071</v>
      </c>
      <c r="F634" s="89">
        <v>5044</v>
      </c>
      <c r="G634" s="89">
        <v>7325</v>
      </c>
      <c r="H634" s="89">
        <v>6729</v>
      </c>
      <c r="I634" s="89">
        <v>6337</v>
      </c>
      <c r="J634" s="89">
        <v>6282</v>
      </c>
      <c r="K634" s="89">
        <v>6139</v>
      </c>
      <c r="L634" s="89">
        <v>5387</v>
      </c>
      <c r="M634" s="25">
        <v>4992</v>
      </c>
      <c r="N634" s="25">
        <f t="shared" si="86"/>
        <v>65000</v>
      </c>
    </row>
    <row r="635" spans="1:14">
      <c r="A635" s="89" t="s">
        <v>379</v>
      </c>
      <c r="B635" s="89">
        <v>3183</v>
      </c>
      <c r="C635" s="89">
        <v>678</v>
      </c>
      <c r="D635" s="89">
        <v>841</v>
      </c>
      <c r="E635" s="89">
        <v>1043</v>
      </c>
      <c r="F635" s="89">
        <v>1114</v>
      </c>
      <c r="G635" s="89">
        <v>813</v>
      </c>
      <c r="H635" s="89">
        <v>700</v>
      </c>
      <c r="I635" s="89">
        <v>1251</v>
      </c>
      <c r="J635" s="89">
        <v>1995</v>
      </c>
      <c r="K635" s="89">
        <v>2383</v>
      </c>
      <c r="L635" s="89">
        <v>1889</v>
      </c>
      <c r="M635" s="25">
        <v>1638</v>
      </c>
      <c r="N635" s="25">
        <f t="shared" si="86"/>
        <v>17528</v>
      </c>
    </row>
    <row r="636" spans="1:14">
      <c r="A636" s="89" t="s">
        <v>380</v>
      </c>
      <c r="B636" s="89">
        <v>1847</v>
      </c>
      <c r="C636" s="89">
        <v>705</v>
      </c>
      <c r="D636" s="89">
        <v>1120</v>
      </c>
      <c r="E636" s="89">
        <v>1427</v>
      </c>
      <c r="F636" s="89">
        <v>1372</v>
      </c>
      <c r="G636" s="89">
        <v>1115</v>
      </c>
      <c r="H636" s="89">
        <v>926</v>
      </c>
      <c r="I636" s="89">
        <v>672</v>
      </c>
      <c r="J636" s="89">
        <v>600</v>
      </c>
      <c r="K636" s="89">
        <v>563</v>
      </c>
      <c r="L636" s="89">
        <v>466</v>
      </c>
      <c r="M636" s="25">
        <v>587</v>
      </c>
      <c r="N636" s="25">
        <f t="shared" si="86"/>
        <v>11400</v>
      </c>
    </row>
    <row r="637" spans="1:14">
      <c r="A637" s="89" t="s">
        <v>381</v>
      </c>
      <c r="B637" s="89">
        <v>6400</v>
      </c>
      <c r="C637" s="89">
        <v>6953</v>
      </c>
      <c r="D637" s="89">
        <v>18803</v>
      </c>
      <c r="E637" s="89">
        <v>20363</v>
      </c>
      <c r="F637" s="89">
        <v>24690</v>
      </c>
      <c r="G637" s="89">
        <v>19441</v>
      </c>
      <c r="H637" s="89">
        <v>18693</v>
      </c>
      <c r="I637" s="89">
        <v>22180</v>
      </c>
      <c r="J637" s="89">
        <v>20106</v>
      </c>
      <c r="K637" s="89">
        <v>22055</v>
      </c>
      <c r="L637" s="89">
        <v>19219</v>
      </c>
      <c r="M637" s="25">
        <v>18329</v>
      </c>
      <c r="N637" s="25">
        <f t="shared" si="86"/>
        <v>217232</v>
      </c>
    </row>
    <row r="638" spans="1:14">
      <c r="A638" s="89" t="s">
        <v>382</v>
      </c>
      <c r="B638" s="89">
        <v>1157</v>
      </c>
      <c r="C638" s="89">
        <v>699</v>
      </c>
      <c r="D638" s="89">
        <v>1811</v>
      </c>
      <c r="E638" s="89">
        <v>2906</v>
      </c>
      <c r="F638" s="89">
        <v>1657</v>
      </c>
      <c r="G638" s="89">
        <v>2091</v>
      </c>
      <c r="H638" s="89">
        <v>2029</v>
      </c>
      <c r="I638" s="89">
        <v>2524</v>
      </c>
      <c r="J638" s="89">
        <v>1301</v>
      </c>
      <c r="K638" s="89">
        <v>549</v>
      </c>
      <c r="L638" s="89">
        <v>1422</v>
      </c>
      <c r="M638" s="25">
        <v>1224</v>
      </c>
      <c r="N638" s="25">
        <f t="shared" si="86"/>
        <v>19370</v>
      </c>
    </row>
    <row r="639" spans="1:14">
      <c r="A639" s="89" t="s">
        <v>383</v>
      </c>
      <c r="B639" s="89">
        <v>459</v>
      </c>
      <c r="C639" s="89">
        <v>0</v>
      </c>
      <c r="D639" s="89">
        <v>157</v>
      </c>
      <c r="E639" s="89">
        <v>277</v>
      </c>
      <c r="F639" s="89">
        <v>179</v>
      </c>
      <c r="G639" s="89">
        <v>189</v>
      </c>
      <c r="H639" s="89">
        <v>142</v>
      </c>
      <c r="I639" s="89">
        <v>155</v>
      </c>
      <c r="J639" s="89">
        <v>118</v>
      </c>
      <c r="K639" s="89">
        <v>173</v>
      </c>
      <c r="L639" s="89">
        <v>132</v>
      </c>
      <c r="M639" s="25">
        <v>56</v>
      </c>
      <c r="N639" s="25">
        <f t="shared" si="86"/>
        <v>2037</v>
      </c>
    </row>
    <row r="640" spans="1:14">
      <c r="A640" s="89" t="s">
        <v>384</v>
      </c>
      <c r="B640" s="89">
        <v>361</v>
      </c>
      <c r="C640" s="89">
        <v>1333</v>
      </c>
      <c r="D640" s="89">
        <v>558</v>
      </c>
      <c r="E640" s="89">
        <v>252</v>
      </c>
      <c r="F640" s="89">
        <v>334</v>
      </c>
      <c r="G640" s="89">
        <v>284</v>
      </c>
      <c r="H640" s="89">
        <v>290</v>
      </c>
      <c r="I640" s="89">
        <v>193</v>
      </c>
      <c r="J640" s="89">
        <v>126</v>
      </c>
      <c r="K640" s="89">
        <v>10</v>
      </c>
      <c r="L640" s="89">
        <v>10</v>
      </c>
      <c r="M640" s="25">
        <v>312</v>
      </c>
      <c r="N640" s="25">
        <f t="shared" si="86"/>
        <v>4063</v>
      </c>
    </row>
    <row r="641" spans="1:14">
      <c r="A641" s="89" t="s">
        <v>385</v>
      </c>
      <c r="B641" s="89">
        <v>114</v>
      </c>
      <c r="C641" s="89">
        <v>60</v>
      </c>
      <c r="D641" s="89">
        <v>135</v>
      </c>
      <c r="E641" s="89">
        <v>102</v>
      </c>
      <c r="F641" s="89">
        <v>89</v>
      </c>
      <c r="G641" s="89">
        <v>8</v>
      </c>
      <c r="H641" s="89">
        <v>80</v>
      </c>
      <c r="I641" s="89">
        <v>51</v>
      </c>
      <c r="J641" s="89">
        <v>38</v>
      </c>
      <c r="K641" s="89">
        <v>25</v>
      </c>
      <c r="L641" s="89">
        <v>27</v>
      </c>
      <c r="M641" s="25">
        <v>44</v>
      </c>
      <c r="N641" s="25">
        <f t="shared" si="86"/>
        <v>773</v>
      </c>
    </row>
    <row r="642" spans="1:14">
      <c r="A642" s="93" t="s">
        <v>226</v>
      </c>
      <c r="B642" s="42">
        <f>SUM(B643:B670)</f>
        <v>181983</v>
      </c>
      <c r="C642" s="42">
        <f>SUM(C643:C670)</f>
        <v>192101</v>
      </c>
      <c r="D642" s="42">
        <v>377420</v>
      </c>
      <c r="E642" s="42">
        <v>380089</v>
      </c>
      <c r="F642" s="42"/>
      <c r="G642" s="42"/>
      <c r="H642" s="42"/>
      <c r="I642" s="42"/>
      <c r="J642" s="42"/>
      <c r="K642" s="42"/>
      <c r="L642" s="42"/>
      <c r="M642" s="42"/>
    </row>
    <row r="643" spans="1:14">
      <c r="A643" s="89" t="s">
        <v>361</v>
      </c>
      <c r="B643" s="89">
        <v>19735</v>
      </c>
      <c r="C643" s="89">
        <v>22978</v>
      </c>
      <c r="D643" s="89">
        <v>27387</v>
      </c>
      <c r="E643" s="89">
        <v>25557</v>
      </c>
      <c r="F643" s="89"/>
      <c r="G643" s="89"/>
      <c r="H643" s="89"/>
      <c r="I643" s="89"/>
      <c r="J643" s="89"/>
      <c r="K643" s="89"/>
      <c r="L643" s="89"/>
    </row>
    <row r="644" spans="1:14">
      <c r="A644" s="89" t="s">
        <v>362</v>
      </c>
      <c r="B644" s="89">
        <v>16047</v>
      </c>
      <c r="C644" s="89">
        <v>16213</v>
      </c>
      <c r="D644" s="89">
        <v>21671</v>
      </c>
      <c r="E644" s="89">
        <v>24394</v>
      </c>
      <c r="F644" s="89"/>
      <c r="G644" s="89"/>
      <c r="H644" s="89"/>
      <c r="I644" s="89"/>
      <c r="J644" s="89"/>
      <c r="K644" s="89"/>
      <c r="L644" s="89"/>
    </row>
    <row r="645" spans="1:14">
      <c r="A645" s="89" t="s">
        <v>363</v>
      </c>
      <c r="B645" s="89">
        <v>308</v>
      </c>
      <c r="C645" s="89">
        <v>1072</v>
      </c>
      <c r="D645" s="89">
        <v>1037</v>
      </c>
      <c r="E645" s="89">
        <v>2038</v>
      </c>
      <c r="F645" s="89"/>
      <c r="G645" s="89"/>
      <c r="H645" s="89"/>
      <c r="I645" s="89"/>
      <c r="J645" s="89"/>
      <c r="K645" s="89"/>
      <c r="L645" s="89"/>
    </row>
    <row r="646" spans="1:14">
      <c r="A646" s="89" t="s">
        <v>364</v>
      </c>
      <c r="B646" s="89">
        <v>13484</v>
      </c>
      <c r="C646" s="89">
        <v>10444</v>
      </c>
      <c r="D646" s="89">
        <v>15655</v>
      </c>
      <c r="E646" s="89">
        <v>11651</v>
      </c>
      <c r="F646" s="89"/>
      <c r="G646" s="89"/>
      <c r="H646" s="89"/>
      <c r="I646" s="89"/>
      <c r="J646" s="89"/>
      <c r="K646" s="89"/>
      <c r="L646" s="89"/>
    </row>
    <row r="647" spans="1:14">
      <c r="A647" s="89" t="s">
        <v>365</v>
      </c>
      <c r="B647" s="89">
        <v>6650</v>
      </c>
      <c r="C647" s="89">
        <v>4234</v>
      </c>
      <c r="D647" s="89">
        <v>7351</v>
      </c>
      <c r="E647" s="89">
        <v>6269</v>
      </c>
      <c r="F647" s="89"/>
      <c r="G647" s="89"/>
      <c r="H647" s="89"/>
      <c r="I647" s="89"/>
      <c r="J647" s="89"/>
      <c r="K647" s="89"/>
      <c r="L647" s="89"/>
    </row>
    <row r="648" spans="1:14">
      <c r="A648" s="89" t="s">
        <v>366</v>
      </c>
      <c r="B648" s="89">
        <v>20138</v>
      </c>
      <c r="C648" s="89">
        <v>19373</v>
      </c>
      <c r="D648" s="89">
        <v>26092</v>
      </c>
      <c r="E648" s="89">
        <v>20668</v>
      </c>
      <c r="F648" s="89"/>
      <c r="G648" s="89"/>
      <c r="H648" s="89"/>
      <c r="I648" s="89"/>
      <c r="J648" s="89"/>
      <c r="K648" s="89"/>
      <c r="L648" s="89"/>
    </row>
    <row r="649" spans="1:14">
      <c r="A649" s="89" t="s">
        <v>367</v>
      </c>
      <c r="B649" s="89">
        <v>15698</v>
      </c>
      <c r="C649" s="89">
        <v>14997</v>
      </c>
      <c r="D649" s="89">
        <v>20847</v>
      </c>
      <c r="E649" s="89">
        <v>14263</v>
      </c>
      <c r="F649" s="89"/>
      <c r="G649" s="89"/>
      <c r="H649" s="89"/>
      <c r="I649" s="89"/>
      <c r="J649" s="89"/>
      <c r="K649" s="89"/>
      <c r="L649" s="89"/>
    </row>
    <row r="650" spans="1:14">
      <c r="A650" s="89" t="s">
        <v>368</v>
      </c>
      <c r="B650" s="89">
        <v>1347</v>
      </c>
      <c r="C650" s="89">
        <v>1660</v>
      </c>
      <c r="D650" s="89">
        <v>2425</v>
      </c>
      <c r="E650" s="89">
        <v>1812</v>
      </c>
      <c r="F650" s="89"/>
      <c r="G650" s="89"/>
      <c r="H650" s="89"/>
      <c r="I650" s="89"/>
      <c r="J650" s="89"/>
      <c r="K650" s="89"/>
      <c r="L650" s="89"/>
    </row>
    <row r="651" spans="1:14">
      <c r="A651" s="89" t="s">
        <v>369</v>
      </c>
      <c r="B651" s="89">
        <v>10689</v>
      </c>
      <c r="C651" s="89">
        <v>8555</v>
      </c>
      <c r="D651" s="89">
        <v>11387</v>
      </c>
      <c r="E651" s="89">
        <v>10362</v>
      </c>
      <c r="F651" s="89"/>
      <c r="G651" s="89"/>
      <c r="H651" s="89"/>
      <c r="I651" s="89"/>
      <c r="J651" s="89"/>
      <c r="K651" s="89"/>
      <c r="L651" s="89"/>
    </row>
    <row r="652" spans="1:14">
      <c r="A652" s="89" t="s">
        <v>370</v>
      </c>
      <c r="B652" s="89">
        <v>1</v>
      </c>
      <c r="C652" s="89">
        <v>0</v>
      </c>
      <c r="D652" s="89">
        <v>1</v>
      </c>
      <c r="E652" s="89">
        <v>0</v>
      </c>
      <c r="F652" s="89"/>
      <c r="G652" s="89"/>
      <c r="H652" s="89"/>
      <c r="I652" s="89"/>
      <c r="J652" s="89"/>
      <c r="K652" s="89"/>
      <c r="L652" s="89"/>
    </row>
    <row r="653" spans="1:14">
      <c r="A653" s="89" t="s">
        <v>371</v>
      </c>
      <c r="B653" s="89">
        <v>8902</v>
      </c>
      <c r="C653" s="89">
        <v>10758</v>
      </c>
      <c r="D653" s="89">
        <v>20179</v>
      </c>
      <c r="E653" s="89">
        <v>12286</v>
      </c>
      <c r="F653" s="89"/>
      <c r="G653" s="89"/>
      <c r="H653" s="89"/>
      <c r="I653" s="89"/>
      <c r="J653" s="89"/>
      <c r="K653" s="89"/>
      <c r="L653" s="89"/>
    </row>
    <row r="654" spans="1:14">
      <c r="A654" s="89" t="s">
        <v>372</v>
      </c>
      <c r="B654" s="89">
        <v>6050</v>
      </c>
      <c r="C654" s="89">
        <v>10490</v>
      </c>
      <c r="D654" s="89">
        <v>17177</v>
      </c>
      <c r="E654" s="89">
        <v>9942</v>
      </c>
      <c r="F654" s="89"/>
      <c r="G654" s="89"/>
      <c r="H654" s="89"/>
      <c r="I654" s="89"/>
      <c r="J654" s="89"/>
      <c r="K654" s="89"/>
      <c r="L654" s="89"/>
    </row>
    <row r="655" spans="1:14">
      <c r="A655" s="89" t="s">
        <v>373</v>
      </c>
      <c r="B655" s="89">
        <v>1</v>
      </c>
      <c r="C655" s="89">
        <v>0</v>
      </c>
      <c r="D655" s="89">
        <v>1</v>
      </c>
      <c r="E655" s="89">
        <v>1</v>
      </c>
      <c r="F655" s="89"/>
      <c r="G655" s="89"/>
      <c r="H655" s="89"/>
      <c r="I655" s="89"/>
      <c r="J655" s="89"/>
      <c r="K655" s="89"/>
      <c r="L655" s="89"/>
    </row>
    <row r="656" spans="1:14">
      <c r="A656" s="89" t="s">
        <v>374</v>
      </c>
      <c r="B656" s="89">
        <v>18171</v>
      </c>
      <c r="C656" s="89">
        <v>26958</v>
      </c>
      <c r="D656" s="89">
        <v>33965</v>
      </c>
      <c r="E656" s="89">
        <v>34005</v>
      </c>
      <c r="F656" s="89"/>
      <c r="G656" s="89"/>
      <c r="H656" s="89"/>
      <c r="I656" s="89"/>
      <c r="J656" s="89"/>
      <c r="K656" s="89"/>
      <c r="L656" s="89"/>
    </row>
    <row r="657" spans="1:14">
      <c r="A657" s="89" t="s">
        <v>375</v>
      </c>
      <c r="B657" s="89">
        <v>4655</v>
      </c>
      <c r="C657" s="89">
        <v>6011</v>
      </c>
      <c r="D657" s="89">
        <v>11477</v>
      </c>
      <c r="E657" s="89">
        <v>9326</v>
      </c>
      <c r="F657" s="89"/>
      <c r="G657" s="89"/>
      <c r="H657" s="89"/>
      <c r="I657" s="89"/>
      <c r="J657" s="89"/>
      <c r="K657" s="89"/>
      <c r="L657" s="89"/>
    </row>
    <row r="658" spans="1:14">
      <c r="A658" s="89" t="s">
        <v>386</v>
      </c>
      <c r="B658" s="89">
        <v>3476</v>
      </c>
      <c r="C658" s="89">
        <v>2893</v>
      </c>
      <c r="D658" s="89">
        <v>4252</v>
      </c>
      <c r="E658" s="89">
        <v>3334</v>
      </c>
      <c r="F658" s="89"/>
      <c r="G658" s="89"/>
      <c r="H658" s="89"/>
      <c r="I658" s="89"/>
      <c r="J658" s="89"/>
      <c r="K658" s="89"/>
      <c r="L658" s="89"/>
    </row>
    <row r="659" spans="1:14">
      <c r="A659" s="89" t="s">
        <v>376</v>
      </c>
      <c r="B659" s="89">
        <v>1806</v>
      </c>
      <c r="C659" s="89">
        <v>1730</v>
      </c>
      <c r="D659" s="89">
        <v>3267</v>
      </c>
      <c r="E659" s="89">
        <v>3317</v>
      </c>
      <c r="F659" s="89"/>
      <c r="G659" s="89"/>
      <c r="H659" s="89"/>
      <c r="I659" s="89"/>
      <c r="J659" s="89"/>
      <c r="K659" s="89"/>
      <c r="L659" s="89"/>
    </row>
    <row r="660" spans="1:14">
      <c r="A660" s="89" t="s">
        <v>387</v>
      </c>
      <c r="B660" s="89">
        <v>3818</v>
      </c>
      <c r="C660" s="89">
        <v>4798</v>
      </c>
      <c r="D660" s="89">
        <v>7755</v>
      </c>
      <c r="E660" s="89">
        <v>4462</v>
      </c>
      <c r="F660" s="89"/>
      <c r="G660" s="89"/>
      <c r="H660" s="89"/>
      <c r="I660" s="89"/>
      <c r="J660" s="89"/>
      <c r="K660" s="89"/>
      <c r="L660" s="89"/>
    </row>
    <row r="661" spans="1:14">
      <c r="A661" s="89" t="s">
        <v>388</v>
      </c>
      <c r="B661" s="89">
        <v>0</v>
      </c>
      <c r="C661" s="89">
        <v>770</v>
      </c>
      <c r="D661" s="89">
        <v>1030</v>
      </c>
      <c r="E661" s="89">
        <v>3334</v>
      </c>
      <c r="F661" s="89"/>
      <c r="G661" s="89"/>
      <c r="H661" s="89"/>
      <c r="I661" s="89"/>
      <c r="J661" s="89"/>
      <c r="K661" s="89"/>
      <c r="L661" s="89"/>
    </row>
    <row r="662" spans="1:14">
      <c r="A662" s="89" t="s">
        <v>377</v>
      </c>
      <c r="B662" s="89">
        <v>14492</v>
      </c>
      <c r="C662" s="89">
        <v>12613</v>
      </c>
      <c r="D662" s="89">
        <v>17126</v>
      </c>
      <c r="E662" s="89">
        <v>14024</v>
      </c>
      <c r="F662" s="89"/>
      <c r="G662" s="89"/>
      <c r="H662" s="89"/>
      <c r="I662" s="89"/>
      <c r="J662" s="89"/>
      <c r="K662" s="89"/>
      <c r="L662" s="89"/>
    </row>
    <row r="663" spans="1:14">
      <c r="A663" s="89" t="s">
        <v>378</v>
      </c>
      <c r="B663" s="89">
        <v>2567</v>
      </c>
      <c r="C663" s="89">
        <v>1742</v>
      </c>
      <c r="D663" s="89">
        <v>2555</v>
      </c>
      <c r="E663" s="89">
        <v>2070</v>
      </c>
      <c r="F663" s="89"/>
      <c r="G663" s="89"/>
      <c r="H663" s="89"/>
      <c r="I663" s="89"/>
      <c r="J663" s="89"/>
      <c r="K663" s="89"/>
      <c r="L663" s="89"/>
    </row>
    <row r="664" spans="1:14">
      <c r="A664" s="89" t="s">
        <v>379</v>
      </c>
      <c r="B664" s="89">
        <v>528</v>
      </c>
      <c r="C664" s="89">
        <v>559</v>
      </c>
      <c r="D664" s="89">
        <v>1194</v>
      </c>
      <c r="E664" s="89">
        <v>2070</v>
      </c>
      <c r="F664" s="89"/>
      <c r="G664" s="89"/>
      <c r="H664" s="89"/>
      <c r="I664" s="89"/>
      <c r="J664" s="89"/>
      <c r="K664" s="89"/>
      <c r="L664" s="89"/>
    </row>
    <row r="665" spans="1:14">
      <c r="A665" s="89" t="s">
        <v>380</v>
      </c>
      <c r="B665" s="89">
        <v>238</v>
      </c>
      <c r="C665" s="89">
        <v>125</v>
      </c>
      <c r="D665" s="89">
        <v>113</v>
      </c>
      <c r="E665" s="89">
        <v>93</v>
      </c>
      <c r="F665" s="89"/>
      <c r="G665" s="89"/>
      <c r="H665" s="89"/>
      <c r="I665" s="89"/>
      <c r="J665" s="89"/>
      <c r="K665" s="89"/>
      <c r="L665" s="89"/>
    </row>
    <row r="666" spans="1:14">
      <c r="A666" s="89" t="s">
        <v>381</v>
      </c>
      <c r="B666" s="89">
        <v>9945</v>
      </c>
      <c r="C666" s="89">
        <v>9347</v>
      </c>
      <c r="D666" s="89">
        <v>8135</v>
      </c>
      <c r="E666" s="89">
        <v>5991</v>
      </c>
      <c r="F666" s="89"/>
      <c r="G666" s="89"/>
      <c r="H666" s="89"/>
      <c r="I666" s="89"/>
      <c r="J666" s="89"/>
      <c r="K666" s="89"/>
      <c r="L666" s="89"/>
    </row>
    <row r="667" spans="1:14">
      <c r="A667" s="89" t="s">
        <v>382</v>
      </c>
      <c r="B667" s="89">
        <v>388</v>
      </c>
      <c r="C667" s="89">
        <v>966</v>
      </c>
      <c r="D667" s="89">
        <v>1269</v>
      </c>
      <c r="E667" s="89">
        <v>1149</v>
      </c>
      <c r="F667" s="89"/>
      <c r="G667" s="89"/>
      <c r="H667" s="89"/>
      <c r="I667" s="89"/>
      <c r="J667" s="89"/>
      <c r="K667" s="89"/>
      <c r="L667" s="89"/>
    </row>
    <row r="668" spans="1:14">
      <c r="A668" s="89" t="s">
        <v>383</v>
      </c>
      <c r="B668" s="89">
        <v>42</v>
      </c>
      <c r="C668" s="89">
        <v>64</v>
      </c>
      <c r="D668" s="89">
        <v>181</v>
      </c>
      <c r="E668" s="89">
        <v>226</v>
      </c>
      <c r="F668" s="89"/>
      <c r="G668" s="89"/>
      <c r="H668" s="89"/>
      <c r="I668" s="89"/>
      <c r="J668" s="89"/>
      <c r="K668" s="89"/>
      <c r="L668" s="89"/>
    </row>
    <row r="669" spans="1:14">
      <c r="A669" s="89" t="s">
        <v>385</v>
      </c>
      <c r="B669" s="89">
        <v>13</v>
      </c>
      <c r="C669" s="89">
        <v>18</v>
      </c>
      <c r="D669" s="89">
        <v>51</v>
      </c>
      <c r="E669" s="89">
        <v>23</v>
      </c>
      <c r="F669" s="89"/>
      <c r="G669" s="89"/>
      <c r="H669" s="89"/>
      <c r="I669" s="89"/>
      <c r="J669" s="89"/>
      <c r="K669" s="89"/>
      <c r="L669" s="89"/>
    </row>
    <row r="670" spans="1:14">
      <c r="A670" s="89" t="s">
        <v>389</v>
      </c>
      <c r="B670" s="89">
        <v>2794</v>
      </c>
      <c r="C670" s="89">
        <v>2733</v>
      </c>
      <c r="D670" s="89">
        <v>10003</v>
      </c>
      <c r="E670" s="89">
        <v>6269</v>
      </c>
      <c r="F670" s="89"/>
      <c r="G670" s="89"/>
      <c r="H670" s="89"/>
      <c r="I670" s="89"/>
      <c r="J670" s="89"/>
      <c r="K670" s="89"/>
      <c r="L670" s="89"/>
      <c r="M670" s="89"/>
      <c r="N670" s="64"/>
    </row>
    <row r="671" spans="1:14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68"/>
    </row>
    <row r="672" spans="1:14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68"/>
    </row>
    <row r="673" spans="1:15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68"/>
    </row>
    <row r="674" spans="1:15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68"/>
    </row>
    <row r="675" spans="1:1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68"/>
    </row>
    <row r="676" spans="1:15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68"/>
    </row>
    <row r="677" spans="1:15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68"/>
    </row>
    <row r="679" spans="1:15">
      <c r="A679" s="46"/>
    </row>
    <row r="680" spans="1:15">
      <c r="A680" s="46" t="s">
        <v>390</v>
      </c>
    </row>
    <row r="681" spans="1:15">
      <c r="A681" s="92" t="s">
        <v>391</v>
      </c>
      <c r="B681" s="92" t="s">
        <v>51</v>
      </c>
      <c r="C681" s="92" t="s">
        <v>52</v>
      </c>
      <c r="D681" s="92" t="s">
        <v>53</v>
      </c>
      <c r="E681" s="92" t="s">
        <v>54</v>
      </c>
      <c r="F681" s="92" t="s">
        <v>55</v>
      </c>
      <c r="G681" s="92" t="s">
        <v>56</v>
      </c>
      <c r="H681" s="92" t="s">
        <v>57</v>
      </c>
      <c r="I681" s="92" t="s">
        <v>58</v>
      </c>
      <c r="J681" s="92" t="s">
        <v>59</v>
      </c>
      <c r="K681" s="92" t="s">
        <v>60</v>
      </c>
      <c r="L681" s="92" t="s">
        <v>61</v>
      </c>
      <c r="M681" s="92" t="s">
        <v>62</v>
      </c>
      <c r="N681" s="92" t="s">
        <v>63</v>
      </c>
      <c r="O681" s="92" t="s">
        <v>69</v>
      </c>
    </row>
    <row r="682" spans="1:15">
      <c r="A682" s="93" t="s">
        <v>223</v>
      </c>
      <c r="B682" s="42">
        <f t="shared" ref="B682:I682" si="87">SUM(B683:B685)</f>
        <v>8680</v>
      </c>
      <c r="C682" s="42">
        <f t="shared" si="87"/>
        <v>4513</v>
      </c>
      <c r="D682" s="42">
        <f t="shared" si="87"/>
        <v>10209</v>
      </c>
      <c r="E682" s="42">
        <f t="shared" si="87"/>
        <v>11089</v>
      </c>
      <c r="F682" s="42">
        <f t="shared" si="87"/>
        <v>12189</v>
      </c>
      <c r="G682" s="42">
        <f t="shared" si="87"/>
        <v>12275</v>
      </c>
      <c r="H682" s="42">
        <f t="shared" si="87"/>
        <v>10340</v>
      </c>
      <c r="I682" s="42">
        <f t="shared" si="87"/>
        <v>9989</v>
      </c>
      <c r="J682" s="42">
        <f t="shared" ref="J682:M682" si="88">SUM(J683:J686)</f>
        <v>10299</v>
      </c>
      <c r="K682" s="42">
        <f t="shared" si="88"/>
        <v>10781</v>
      </c>
      <c r="L682" s="42">
        <f t="shared" si="88"/>
        <v>6445</v>
      </c>
      <c r="M682" s="42">
        <f t="shared" si="88"/>
        <v>10374</v>
      </c>
      <c r="N682" s="25">
        <f t="shared" ref="N682:N690" si="89">SUM(B682:M682)</f>
        <v>117183</v>
      </c>
    </row>
    <row r="683" spans="1:15">
      <c r="A683" s="89" t="s">
        <v>392</v>
      </c>
      <c r="B683" s="89">
        <v>320</v>
      </c>
      <c r="C683" s="89">
        <v>294</v>
      </c>
      <c r="D683" s="89">
        <v>173</v>
      </c>
      <c r="E683" s="89">
        <v>1058</v>
      </c>
      <c r="F683" s="89">
        <v>2031</v>
      </c>
      <c r="G683" s="89">
        <v>2089</v>
      </c>
      <c r="H683" s="89">
        <v>1310</v>
      </c>
      <c r="I683" s="89">
        <v>808</v>
      </c>
      <c r="J683" s="89">
        <v>1005</v>
      </c>
      <c r="K683" s="89">
        <v>311</v>
      </c>
      <c r="L683" s="89">
        <v>345</v>
      </c>
      <c r="M683" s="89">
        <v>368</v>
      </c>
      <c r="N683" s="89">
        <f t="shared" si="89"/>
        <v>10112</v>
      </c>
    </row>
    <row r="684" spans="1:15">
      <c r="A684" s="89" t="s">
        <v>393</v>
      </c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>
        <v>5795</v>
      </c>
      <c r="M684" s="89">
        <v>9406</v>
      </c>
      <c r="N684" s="89">
        <f t="shared" si="89"/>
        <v>15201</v>
      </c>
    </row>
    <row r="685" spans="1:15">
      <c r="A685" s="89" t="s">
        <v>394</v>
      </c>
      <c r="B685" s="89">
        <v>8360</v>
      </c>
      <c r="C685" s="89">
        <v>4219</v>
      </c>
      <c r="D685" s="89">
        <v>10036</v>
      </c>
      <c r="E685" s="89">
        <v>10031</v>
      </c>
      <c r="F685" s="89">
        <v>10158</v>
      </c>
      <c r="G685" s="89">
        <v>10186</v>
      </c>
      <c r="H685" s="89">
        <v>9030</v>
      </c>
      <c r="I685" s="89">
        <v>9181</v>
      </c>
      <c r="J685" s="89">
        <v>8122</v>
      </c>
      <c r="K685" s="89">
        <v>7381</v>
      </c>
      <c r="L685" s="89">
        <v>305</v>
      </c>
      <c r="M685" s="89">
        <v>600</v>
      </c>
      <c r="N685" s="89">
        <f t="shared" si="89"/>
        <v>87609</v>
      </c>
    </row>
    <row r="686" spans="1:15">
      <c r="A686" s="89" t="s">
        <v>395</v>
      </c>
      <c r="B686" s="89"/>
      <c r="C686" s="89"/>
      <c r="D686" s="89"/>
      <c r="E686" s="89"/>
      <c r="F686" s="89"/>
      <c r="G686" s="89"/>
      <c r="H686" s="89"/>
      <c r="I686" s="89"/>
      <c r="J686" s="89">
        <v>1172</v>
      </c>
      <c r="K686" s="89">
        <v>3089</v>
      </c>
      <c r="L686" s="89"/>
      <c r="M686" s="89"/>
      <c r="N686" s="89">
        <f t="shared" si="89"/>
        <v>4261</v>
      </c>
    </row>
    <row r="687" spans="1:15">
      <c r="A687" s="89" t="s">
        <v>396</v>
      </c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>
        <v>1064</v>
      </c>
      <c r="N687" s="89">
        <f t="shared" si="89"/>
        <v>1064</v>
      </c>
    </row>
    <row r="688" spans="1:15">
      <c r="A688" s="89" t="s">
        <v>397</v>
      </c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>
        <v>56</v>
      </c>
      <c r="N688" s="89">
        <f t="shared" si="89"/>
        <v>56</v>
      </c>
    </row>
    <row r="689" spans="1:15">
      <c r="A689" s="89" t="s">
        <v>398</v>
      </c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>
        <v>2846</v>
      </c>
      <c r="M689" s="89">
        <v>2852</v>
      </c>
      <c r="N689" s="89">
        <f t="shared" si="89"/>
        <v>5698</v>
      </c>
    </row>
    <row r="690" spans="1:15">
      <c r="A690" s="89" t="s">
        <v>399</v>
      </c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>
        <v>711</v>
      </c>
      <c r="M690" s="89">
        <v>713</v>
      </c>
      <c r="N690" s="89">
        <f t="shared" si="89"/>
        <v>1424</v>
      </c>
    </row>
    <row r="691" spans="1:15">
      <c r="A691" s="93" t="s">
        <v>226</v>
      </c>
      <c r="B691" s="42">
        <v>11720</v>
      </c>
      <c r="C691" s="42">
        <v>8513</v>
      </c>
      <c r="D691" s="42">
        <v>12620</v>
      </c>
      <c r="E691" s="42">
        <v>15388</v>
      </c>
      <c r="F691" s="42"/>
      <c r="G691" s="42"/>
      <c r="H691" s="42"/>
      <c r="I691" s="42"/>
      <c r="J691" s="42"/>
      <c r="K691" s="42"/>
      <c r="L691" s="42"/>
      <c r="M691" s="42"/>
    </row>
    <row r="692" spans="1:15">
      <c r="A692" s="89" t="s">
        <v>392</v>
      </c>
      <c r="B692" s="89">
        <v>109</v>
      </c>
      <c r="C692" s="89">
        <v>289</v>
      </c>
      <c r="D692" s="89">
        <v>251</v>
      </c>
      <c r="E692" s="89">
        <v>302</v>
      </c>
      <c r="F692" s="89"/>
      <c r="G692" s="89"/>
      <c r="H692" s="89"/>
      <c r="I692" s="89"/>
      <c r="J692" s="89"/>
      <c r="K692" s="89"/>
      <c r="L692" s="89"/>
      <c r="M692" s="89"/>
      <c r="N692" s="89"/>
    </row>
    <row r="693" spans="1:15">
      <c r="A693" s="89" t="s">
        <v>393</v>
      </c>
      <c r="B693" s="89">
        <v>9525</v>
      </c>
      <c r="C693" s="89">
        <v>7213</v>
      </c>
      <c r="D693" s="89">
        <v>9326</v>
      </c>
      <c r="E693" s="89">
        <v>9045</v>
      </c>
      <c r="F693" s="89"/>
      <c r="G693" s="89"/>
      <c r="H693" s="89"/>
      <c r="I693" s="89"/>
      <c r="J693" s="89"/>
      <c r="K693" s="89"/>
      <c r="L693" s="89"/>
      <c r="M693" s="89"/>
      <c r="N693" s="89"/>
    </row>
    <row r="694" spans="1:15">
      <c r="A694" s="89" t="s">
        <v>394</v>
      </c>
      <c r="B694" s="89">
        <v>501</v>
      </c>
      <c r="C694" s="89">
        <v>380</v>
      </c>
      <c r="D694" s="89">
        <v>0</v>
      </c>
      <c r="E694" s="89">
        <v>0</v>
      </c>
      <c r="F694" s="89"/>
      <c r="G694" s="89"/>
      <c r="H694" s="89"/>
      <c r="I694" s="89"/>
      <c r="J694" s="89"/>
      <c r="K694" s="89"/>
      <c r="L694" s="89"/>
      <c r="M694" s="89"/>
      <c r="N694" s="89"/>
    </row>
    <row r="695" spans="1:15">
      <c r="A695" s="89" t="s">
        <v>395</v>
      </c>
      <c r="B695" s="89">
        <v>0</v>
      </c>
      <c r="C695" s="89">
        <v>0</v>
      </c>
      <c r="D695" s="89">
        <v>0</v>
      </c>
      <c r="E695" s="89">
        <v>0</v>
      </c>
      <c r="F695" s="89"/>
      <c r="G695" s="89"/>
      <c r="H695" s="89"/>
      <c r="I695" s="89"/>
      <c r="J695" s="89"/>
      <c r="K695" s="89"/>
      <c r="L695" s="89"/>
      <c r="M695" s="89"/>
      <c r="N695" s="89"/>
    </row>
    <row r="696" spans="1:15">
      <c r="A696" s="89" t="s">
        <v>396</v>
      </c>
      <c r="B696" s="89">
        <v>466</v>
      </c>
      <c r="C696" s="89">
        <v>199</v>
      </c>
      <c r="D696" s="89">
        <v>9326</v>
      </c>
      <c r="E696" s="89">
        <v>1023</v>
      </c>
      <c r="F696" s="89"/>
      <c r="G696" s="89"/>
      <c r="H696" s="89"/>
      <c r="I696" s="89"/>
      <c r="J696" s="89"/>
      <c r="K696" s="89"/>
      <c r="L696" s="89"/>
      <c r="M696" s="89"/>
      <c r="N696" s="89"/>
    </row>
    <row r="697" spans="1:15">
      <c r="A697" s="89" t="s">
        <v>397</v>
      </c>
      <c r="B697" s="89">
        <v>25</v>
      </c>
      <c r="C697" s="89">
        <v>10</v>
      </c>
      <c r="D697" s="89">
        <v>0</v>
      </c>
      <c r="E697" s="89">
        <v>0</v>
      </c>
      <c r="F697" s="89"/>
      <c r="G697" s="89"/>
      <c r="H697" s="89"/>
      <c r="I697" s="89"/>
      <c r="J697" s="89"/>
      <c r="K697" s="89"/>
      <c r="L697" s="89"/>
      <c r="M697" s="89"/>
      <c r="N697" s="89"/>
    </row>
    <row r="698" spans="1:15">
      <c r="A698" s="89" t="s">
        <v>398</v>
      </c>
      <c r="B698" s="89">
        <v>1039</v>
      </c>
      <c r="C698" s="89">
        <v>401</v>
      </c>
      <c r="D698" s="89">
        <v>200</v>
      </c>
      <c r="E698" s="89">
        <v>0</v>
      </c>
      <c r="F698" s="89"/>
      <c r="G698" s="89"/>
      <c r="H698" s="89"/>
      <c r="I698" s="89"/>
      <c r="J698" s="89"/>
      <c r="K698" s="89"/>
      <c r="L698" s="89"/>
      <c r="M698" s="89"/>
      <c r="N698" s="89"/>
    </row>
    <row r="699" spans="1:15">
      <c r="A699" s="89" t="s">
        <v>399</v>
      </c>
      <c r="B699" s="89">
        <v>55</v>
      </c>
      <c r="C699" s="89">
        <v>21</v>
      </c>
      <c r="D699" s="89">
        <v>0</v>
      </c>
      <c r="E699" s="89">
        <v>0</v>
      </c>
      <c r="F699" s="89"/>
      <c r="G699" s="89"/>
      <c r="H699" s="89"/>
      <c r="I699" s="89"/>
      <c r="J699" s="89"/>
      <c r="K699" s="89"/>
      <c r="L699" s="89"/>
      <c r="M699" s="89"/>
      <c r="N699" s="89"/>
    </row>
    <row r="701" spans="1:15">
      <c r="A701" s="25" t="s">
        <v>400</v>
      </c>
    </row>
    <row r="702" spans="1:15">
      <c r="A702" s="92" t="s">
        <v>401</v>
      </c>
      <c r="B702" s="92" t="s">
        <v>51</v>
      </c>
      <c r="C702" s="92" t="s">
        <v>52</v>
      </c>
      <c r="D702" s="92" t="s">
        <v>53</v>
      </c>
      <c r="E702" s="92" t="s">
        <v>54</v>
      </c>
      <c r="F702" s="92" t="s">
        <v>55</v>
      </c>
      <c r="G702" s="92" t="s">
        <v>56</v>
      </c>
      <c r="H702" s="92" t="s">
        <v>57</v>
      </c>
      <c r="I702" s="92" t="s">
        <v>58</v>
      </c>
      <c r="J702" s="92" t="s">
        <v>59</v>
      </c>
      <c r="K702" s="92" t="s">
        <v>60</v>
      </c>
      <c r="L702" s="92" t="s">
        <v>61</v>
      </c>
      <c r="M702" s="92" t="s">
        <v>62</v>
      </c>
      <c r="N702" s="92" t="s">
        <v>63</v>
      </c>
      <c r="O702" s="92" t="s">
        <v>69</v>
      </c>
    </row>
    <row r="703" spans="1:15">
      <c r="A703" s="93" t="s">
        <v>223</v>
      </c>
      <c r="B703" s="42">
        <f t="shared" ref="B703:H703" si="90">B704</f>
        <v>5203</v>
      </c>
      <c r="C703" s="42">
        <f t="shared" si="90"/>
        <v>2310</v>
      </c>
      <c r="D703" s="42">
        <f t="shared" si="90"/>
        <v>3550</v>
      </c>
      <c r="E703" s="42">
        <f t="shared" si="90"/>
        <v>2110</v>
      </c>
      <c r="F703" s="42">
        <f t="shared" si="90"/>
        <v>2430</v>
      </c>
      <c r="G703" s="42">
        <f t="shared" si="90"/>
        <v>2680</v>
      </c>
      <c r="H703" s="42">
        <f t="shared" si="90"/>
        <v>1842</v>
      </c>
      <c r="I703" s="42">
        <v>4876</v>
      </c>
      <c r="J703" s="42">
        <v>5422</v>
      </c>
      <c r="K703" s="42">
        <f t="shared" ref="K703:M703" si="91">SUM(K704:K705)</f>
        <v>6026</v>
      </c>
      <c r="L703" s="42">
        <f t="shared" si="91"/>
        <v>8522</v>
      </c>
      <c r="M703" s="42">
        <f t="shared" si="91"/>
        <v>11418</v>
      </c>
      <c r="N703" s="25">
        <f t="shared" ref="N703:N705" si="92">SUM(B703:M703)</f>
        <v>56389</v>
      </c>
    </row>
    <row r="704" spans="1:15">
      <c r="A704" s="89" t="s">
        <v>402</v>
      </c>
      <c r="B704" s="89">
        <v>5203</v>
      </c>
      <c r="C704" s="89">
        <v>2310</v>
      </c>
      <c r="D704" s="89">
        <v>3550</v>
      </c>
      <c r="E704" s="89">
        <v>2110</v>
      </c>
      <c r="F704" s="89">
        <v>2430</v>
      </c>
      <c r="G704" s="89">
        <v>2680</v>
      </c>
      <c r="H704" s="89">
        <v>1842</v>
      </c>
      <c r="I704" s="89">
        <v>4876</v>
      </c>
      <c r="J704" s="89">
        <v>5422</v>
      </c>
      <c r="K704" s="89">
        <v>6026</v>
      </c>
      <c r="L704" s="89">
        <v>6058</v>
      </c>
      <c r="M704" s="89">
        <v>6406</v>
      </c>
      <c r="N704" s="25">
        <f t="shared" si="92"/>
        <v>48913</v>
      </c>
    </row>
    <row r="705" spans="1:14">
      <c r="A705" s="89" t="s">
        <v>403</v>
      </c>
      <c r="L705" s="89">
        <v>2464</v>
      </c>
      <c r="M705" s="89">
        <v>5012</v>
      </c>
      <c r="N705" s="25">
        <f t="shared" si="92"/>
        <v>7476</v>
      </c>
    </row>
    <row r="706" spans="1:14">
      <c r="A706" s="93" t="s">
        <v>226</v>
      </c>
      <c r="B706" s="42">
        <v>6219</v>
      </c>
      <c r="C706" s="42">
        <v>4942</v>
      </c>
      <c r="D706" s="42">
        <v>8051</v>
      </c>
      <c r="E706" s="42">
        <v>10039</v>
      </c>
      <c r="F706" s="42"/>
      <c r="G706" s="42"/>
      <c r="H706" s="42"/>
      <c r="I706" s="42"/>
      <c r="J706" s="42"/>
      <c r="K706" s="42"/>
      <c r="L706" s="42"/>
      <c r="M706" s="42"/>
    </row>
    <row r="707" spans="1:14">
      <c r="A707" s="89" t="s">
        <v>402</v>
      </c>
      <c r="B707" s="89">
        <v>3210</v>
      </c>
      <c r="C707" s="89">
        <v>3020</v>
      </c>
      <c r="D707" s="89">
        <v>6036</v>
      </c>
      <c r="E707" s="89">
        <v>4853</v>
      </c>
      <c r="F707" s="89"/>
      <c r="G707" s="89"/>
      <c r="H707" s="89"/>
      <c r="I707" s="89"/>
      <c r="J707" s="89"/>
      <c r="K707" s="89"/>
      <c r="L707" s="89"/>
      <c r="M707" s="89"/>
    </row>
    <row r="708" spans="1:14">
      <c r="A708" s="89" t="s">
        <v>403</v>
      </c>
      <c r="B708" s="89">
        <v>3009</v>
      </c>
      <c r="C708" s="89">
        <v>1922</v>
      </c>
      <c r="D708" s="89">
        <v>2015</v>
      </c>
      <c r="E708" s="89">
        <v>2138</v>
      </c>
      <c r="L708" s="89"/>
      <c r="M708" s="89"/>
    </row>
  </sheetData>
  <mergeCells count="1">
    <mergeCell ref="B314:L314"/>
  </mergeCells>
  <hyperlinks>
    <hyperlink ref="A501" r:id="rId4" display="荣威RX5"/>
    <hyperlink ref="A502" r:id="rId5" display="荣威i5"/>
    <hyperlink ref="A503" r:id="rId6" display="科莱威CLEVER"/>
    <hyperlink ref="A497" r:id="rId4" display="荣威RX5"/>
    <hyperlink ref="A498" r:id="rId5" display="荣威i5"/>
    <hyperlink ref="A499" r:id="rId6" display="科莱威CLEVER"/>
    <hyperlink ref="A198" r:id="rId7" display="AION Y"/>
    <hyperlink ref="A199" r:id="rId8" display="AION S"/>
    <hyperlink ref="A200" r:id="rId9" display="AION V"/>
    <hyperlink ref="A201" r:id="rId10" display="AION LX"/>
    <hyperlink ref="A203" r:id="rId7" display="AION Y"/>
    <hyperlink ref="A204" r:id="rId8" display="AION S"/>
    <hyperlink ref="A205" r:id="rId9" display="AION V"/>
    <hyperlink ref="A206" r:id="rId10" display="AION LX"/>
    <hyperlink ref="A422" r:id="rId11" display="T03"/>
    <hyperlink ref="A450" r:id="rId12" display="2022年"/>
    <hyperlink ref="A171" r:id="rId13" display="M3"/>
    <hyperlink ref="A170" r:id="rId14" display="MY"/>
    <hyperlink ref="A240" r:id="rId15" display="ES8"/>
    <hyperlink ref="A241" r:id="rId16" display="ES6"/>
    <hyperlink ref="A242" r:id="rId17" display="EC6"/>
    <hyperlink ref="A243" r:id="rId18" display="ET7"/>
    <hyperlink ref="A244" r:id="rId19" display="ES7"/>
    <hyperlink ref="A245" r:id="rId20" display="ET5"/>
    <hyperlink ref="A286" r:id="rId21" display="G9"/>
    <hyperlink ref="A284" r:id="rId22" display="P5"/>
    <hyperlink ref="A283" r:id="rId23" display="P7"/>
    <hyperlink ref="A285" r:id="rId24" display="G3"/>
    <hyperlink ref="A318" r:id="rId25" display="ONE"/>
    <hyperlink ref="A319" r:id="rId26" display="L9"/>
    <hyperlink ref="A320" r:id="rId27" display="L8"/>
    <hyperlink ref="A424" r:id="rId28" display="C01"/>
    <hyperlink ref="A423" r:id="rId29" display="C11"/>
    <hyperlink ref="A451" r:id="rId30" display="ID.4 X"/>
    <hyperlink ref="A455" r:id="rId31" display="ID.3"/>
    <hyperlink ref="A452" r:id="rId32" display="ID.4 CROZZ"/>
    <hyperlink ref="A454" r:id="rId33" display="ID.6 CROZZ"/>
    <hyperlink ref="A448" r:id="rId33" display="ID.6 CROZZ"/>
    <hyperlink ref="A453" r:id="rId34" display="ID.6 X"/>
    <hyperlink ref="A372" r:id="rId35" display="2023年"/>
    <hyperlink ref="A208" r:id="rId7" display="AION Y"/>
    <hyperlink ref="A209" r:id="rId8" display="AION S"/>
    <hyperlink ref="A210" r:id="rId9" display="AION V"/>
    <hyperlink ref="A211" r:id="rId10" display="AION LX"/>
    <hyperlink ref="A177" r:id="rId13" display="M3"/>
    <hyperlink ref="A176" r:id="rId14" display="MY"/>
    <hyperlink ref="A291" r:id="rId21" display="G9"/>
    <hyperlink ref="A289" r:id="rId22" display="P5"/>
    <hyperlink ref="A288" r:id="rId23" display="P7"/>
    <hyperlink ref="A290" r:id="rId24" display="G3"/>
    <hyperlink ref="A322" r:id="rId25" display="ONE"/>
    <hyperlink ref="A323" r:id="rId26" display="L9"/>
    <hyperlink ref="A324" r:id="rId27" display="L8"/>
    <hyperlink ref="A426" r:id="rId11" display="T03"/>
    <hyperlink ref="A428" r:id="rId28" display="C01"/>
    <hyperlink ref="A427" r:id="rId29" display="C11"/>
    <hyperlink ref="A456" r:id="rId12" display="2023年"/>
    <hyperlink ref="A457" r:id="rId30" display="ID.4 X"/>
    <hyperlink ref="A461" r:id="rId31" display="ID.3"/>
    <hyperlink ref="A458" r:id="rId32" display="ID.4 CROZZ"/>
    <hyperlink ref="A460" r:id="rId33" display="ID.6 CROZZ"/>
    <hyperlink ref="A459" r:id="rId34" display="ID.6 X"/>
    <hyperlink ref="A505" r:id="rId4" display="荣威RX5"/>
    <hyperlink ref="A506" r:id="rId5" display="荣威i5"/>
    <hyperlink ref="A507" r:id="rId6" display="科莱威CLEVER"/>
    <hyperlink ref="A554" r:id="rId36" display="2023年"/>
    <hyperlink ref="A325" r:id="rId37" display="L7"/>
    <hyperlink ref="A555" r:id="rId36" display="极氪001"/>
    <hyperlink ref="A556" r:id="rId38" display="极氪009"/>
    <hyperlink ref="A373" r:id="rId35" display="深蓝SL03"/>
    <hyperlink ref="A212" r:id="rId39" display="昊铂GT"/>
    <hyperlink ref="A292" r:id="rId40" display="G6"/>
    <hyperlink ref="A557" r:id="rId41" display="极氪X"/>
    <hyperlink ref="A374" r:id="rId42" display="深蓝S7"/>
    <hyperlink ref="A529" r:id="rId36" display="2023年"/>
    <hyperlink ref="A530" r:id="rId43" display="领克01新能源"/>
    <hyperlink ref="A531" r:id="rId44" display="领克05新能源"/>
    <hyperlink ref="A532" r:id="rId45" display="领克06新能源"/>
    <hyperlink ref="A534" r:id="rId46" display="领克09新能源"/>
    <hyperlink ref="A525" r:id="rId43" display="领克01新能源"/>
    <hyperlink ref="A526" r:id="rId44" display="领克05新能源"/>
    <hyperlink ref="A527" r:id="rId45" display="领克06新能源"/>
    <hyperlink ref="A528" r:id="rId46" display="领克09新能源"/>
    <hyperlink ref="A577" r:id="rId36" display="2023年"/>
    <hyperlink ref="A578" r:id="rId47" display="熊猫mini"/>
    <hyperlink ref="A579" r:id="rId48" display="帝豪新能源"/>
    <hyperlink ref="A580" r:id="rId49" display="星越L 增程电动版"/>
    <hyperlink ref="A597" r:id="rId36" display="2023年"/>
    <hyperlink ref="A598" r:id="rId50" display="银河L7"/>
    <hyperlink ref="A533" r:id="rId51" display="领克08新能源"/>
    <hyperlink ref="A407" r:id="rId52" display="X"/>
    <hyperlink ref="A408" r:id="rId53" display="S"/>
    <hyperlink ref="A406" r:id="rId54" display="AYA"/>
    <hyperlink ref="A183" r:id="rId13" display="M3"/>
    <hyperlink ref="A182" r:id="rId14" display="MY"/>
    <hyperlink ref="A215" r:id="rId7" display="AION Y"/>
    <hyperlink ref="A216" r:id="rId8" display="AION S"/>
    <hyperlink ref="A217" r:id="rId9" display="AION V"/>
    <hyperlink ref="A218" r:id="rId10" display="AION LX"/>
    <hyperlink ref="A220" r:id="rId39" display="昊铂GT"/>
    <hyperlink ref="A375" r:id="rId35" display="2024年"/>
    <hyperlink ref="A376" r:id="rId35" display="深蓝SL03"/>
    <hyperlink ref="A377" r:id="rId42" display="深蓝S07"/>
    <hyperlink ref="A462" r:id="rId12" display="2024年"/>
    <hyperlink ref="A463" r:id="rId30" display="ID.4 X"/>
    <hyperlink ref="A467" r:id="rId31" display="ID.3"/>
    <hyperlink ref="A464" r:id="rId32" display="ID.4 CROZZ"/>
    <hyperlink ref="A466" r:id="rId33" display="ID.6 CROZZ"/>
    <hyperlink ref="A465" r:id="rId34" display="ID.6 X"/>
    <hyperlink ref="A509" r:id="rId4" display="荣威RX5"/>
    <hyperlink ref="A510" r:id="rId5" display="荣威i5"/>
    <hyperlink ref="A511" r:id="rId6" display="科莱威CLEVER"/>
    <hyperlink ref="A535" r:id="rId36" display="2024年"/>
    <hyperlink ref="A536" r:id="rId45" display="领克06新能源"/>
    <hyperlink ref="A538" r:id="rId46" display="领克09新能源"/>
    <hyperlink ref="A537" r:id="rId51" display="领克08新能源"/>
    <hyperlink ref="A558" r:id="rId36" display="2024年"/>
    <hyperlink ref="A559" r:id="rId36" display="极氪001"/>
    <hyperlink ref="A561" r:id="rId38" display="极氪009"/>
    <hyperlink ref="A562" r:id="rId41" display="极氪X"/>
    <hyperlink ref="A581" r:id="rId36" display="2024年"/>
    <hyperlink ref="A582" r:id="rId47" display="熊猫mini"/>
    <hyperlink ref="A584" r:id="rId48" display="帝豪新能源"/>
    <hyperlink ref="A585" r:id="rId49" display="星越L 增程电动版"/>
    <hyperlink ref="A599" r:id="rId36" display="2024年"/>
    <hyperlink ref="A600" r:id="rId50" display="银河L7"/>
    <hyperlink ref="A213" r:id="rId55" display="昊铂HT"/>
    <hyperlink ref="A221" r:id="rId55" display="昊铂HT"/>
    <hyperlink ref="A560" r:id="rId56" display="极氪007"/>
    <hyperlink ref="A617" r:id="rId57" display="秦PLUS"/>
    <hyperlink ref="A618" r:id="rId58" display="秦L"/>
    <hyperlink ref="A619" r:id="rId59" display="秦新能源"/>
    <hyperlink ref="A620" r:id="rId60" display="汉"/>
    <hyperlink ref="A621" r:id="rId61" display="唐新能源"/>
    <hyperlink ref="A622" r:id="rId62" display="宋PLUS新能源"/>
    <hyperlink ref="A623" r:id="rId63" display="宋Pro新能源"/>
    <hyperlink ref="A624" r:id="rId64" display="宋L"/>
    <hyperlink ref="A625" r:id="rId65" display="宋L DM-i"/>
    <hyperlink ref="A627" r:id="rId66" display="元PLUS"/>
    <hyperlink ref="A628" r:id="rId67" display="元UP"/>
    <hyperlink ref="A629" r:id="rId68" display="元 Pro"/>
    <hyperlink ref="A630" r:id="rId69" display="海鸥"/>
    <hyperlink ref="A631" r:id="rId70" display="海豚"/>
    <hyperlink ref="A632" r:id="rId71" display="海狮07EV"/>
    <hyperlink ref="A633" r:id="rId72" display="海豹06DM-i"/>
    <hyperlink ref="A634" r:id="rId73" display="海豹07DM-i"/>
    <hyperlink ref="A635" r:id="rId74" display="海豹"/>
    <hyperlink ref="A636" r:id="rId75" display="护卫舰07"/>
    <hyperlink ref="A638" r:id="rId76" display="比亚迪e2"/>
    <hyperlink ref="A639" r:id="rId77" display="比亚迪e3"/>
    <hyperlink ref="A683" r:id="rId78" display="N7"/>
    <hyperlink ref="A685" r:id="rId79" display="D9 EV"/>
    <hyperlink ref="A640" r:id="rId80" display="比亚迪e6"/>
    <hyperlink ref="A641" r:id="rId81" display="比亚迪D1"/>
    <hyperlink ref="A626" r:id="rId82" display="宋MAX新能源"/>
    <hyperlink ref="A616" r:id="rId83" display="2024年"/>
    <hyperlink ref="A682" r:id="rId84" display="2024年"/>
    <hyperlink ref="A703" r:id="rId84" display="2024年"/>
    <hyperlink ref="A704" r:id="rId85" display="豹5"/>
    <hyperlink ref="A247" r:id="rId15" display="ES8"/>
    <hyperlink ref="A248" r:id="rId16" display="ES6"/>
    <hyperlink ref="A249" r:id="rId17" display="EC6"/>
    <hyperlink ref="A250" r:id="rId18" display="ET7"/>
    <hyperlink ref="A251" r:id="rId19" display="ES7"/>
    <hyperlink ref="A253" r:id="rId20" display="ET5"/>
    <hyperlink ref="A252" r:id="rId86" display="EC7"/>
    <hyperlink ref="A256" r:id="rId15" display="ES8"/>
    <hyperlink ref="A257" r:id="rId16" display="ES6"/>
    <hyperlink ref="A258" r:id="rId17" display="EC6"/>
    <hyperlink ref="A259" r:id="rId18" display="ET7"/>
    <hyperlink ref="A260" r:id="rId19" display="ES7"/>
    <hyperlink ref="A262" r:id="rId20" display="ET5"/>
    <hyperlink ref="A261" r:id="rId86" display="EC7"/>
    <hyperlink ref="A298" r:id="rId21" display="G9"/>
    <hyperlink ref="A296" r:id="rId22" display="P5"/>
    <hyperlink ref="A294" r:id="rId23" display="P7"/>
    <hyperlink ref="A297" r:id="rId24" display="G3"/>
    <hyperlink ref="A299" r:id="rId40" display="G6"/>
    <hyperlink ref="A300" r:id="rId87" display="X9"/>
    <hyperlink ref="A327" r:id="rId26" display="L9"/>
    <hyperlink ref="A328" r:id="rId27" display="L8"/>
    <hyperlink ref="A329" r:id="rId37" display="L7"/>
    <hyperlink ref="A330" r:id="rId37" display="L6"/>
    <hyperlink ref="A331" r:id="rId37" display="MEGA"/>
    <hyperlink ref="A430" r:id="rId11" display="T03"/>
    <hyperlink ref="A432" r:id="rId28" display="C01"/>
    <hyperlink ref="A431" r:id="rId29" display="C11"/>
    <hyperlink ref="A433" r:id="rId28" display="C10"/>
    <hyperlink ref="A189" r:id="rId13" display="M3"/>
    <hyperlink ref="A188" r:id="rId14" display="MY"/>
    <hyperlink ref="A223" r:id="rId7" display="AION Y"/>
    <hyperlink ref="A224" r:id="rId8" display="AION S"/>
    <hyperlink ref="A225" r:id="rId9" display="AION V"/>
    <hyperlink ref="A226" r:id="rId10" display="AION LX"/>
    <hyperlink ref="A402" r:id="rId54" display="AYA"/>
    <hyperlink ref="A404" r:id="rId53" display="S"/>
    <hyperlink ref="A403" r:id="rId52" display="U"/>
    <hyperlink ref="A400" r:id="rId53" display="S"/>
    <hyperlink ref="A399" r:id="rId52" display="U"/>
    <hyperlink ref="A352" r:id="rId88" display="M9"/>
    <hyperlink ref="A349" r:id="rId35" display="2024年"/>
    <hyperlink ref="A351" r:id="rId89" display="M7"/>
    <hyperlink ref="A350" r:id="rId90" display="M5"/>
    <hyperlink ref="A345" r:id="rId89" display="M7"/>
    <hyperlink ref="A344" r:id="rId90" display="M5"/>
    <hyperlink ref="A348" r:id="rId89" display="M7"/>
    <hyperlink ref="A347" r:id="rId90" display="M5"/>
    <hyperlink ref="A346" r:id="rId35" display="2023年"/>
    <hyperlink ref="A398" r:id="rId91" display="V"/>
    <hyperlink ref="A396" r:id="rId52" display="U"/>
    <hyperlink ref="A395" r:id="rId91" display="V"/>
    <hyperlink ref="A484" r:id="rId92" display="宏光 MINIEV"/>
    <hyperlink ref="A483" r:id="rId92" display="2024年"/>
    <hyperlink ref="A482" r:id="rId92" display="宏光 MINIEV"/>
    <hyperlink ref="A481" r:id="rId92" display="2023年"/>
    <hyperlink ref="A265" r:id="rId15" display="ES8"/>
    <hyperlink ref="A266" r:id="rId16" display="ES6"/>
    <hyperlink ref="A267" r:id="rId17" display="EC6"/>
    <hyperlink ref="A268" r:id="rId18" display="ET7"/>
    <hyperlink ref="A269" r:id="rId19" display="ES7"/>
    <hyperlink ref="A271" r:id="rId20" display="ET5"/>
    <hyperlink ref="A270" r:id="rId86" display="EC7"/>
    <hyperlink ref="A307" r:id="rId21" display="G9"/>
    <hyperlink ref="A305" r:id="rId22" display="P5"/>
    <hyperlink ref="A303" r:id="rId23" display="P7"/>
    <hyperlink ref="A306" r:id="rId24" display="G3"/>
    <hyperlink ref="A308" r:id="rId40" display="G6"/>
    <hyperlink ref="A309" r:id="rId87" display="X9"/>
    <hyperlink ref="A333" r:id="rId26" display="L9"/>
    <hyperlink ref="A334" r:id="rId27" display="L8"/>
    <hyperlink ref="A335" r:id="rId37" display="L7"/>
    <hyperlink ref="A336" r:id="rId93" display="L6"/>
    <hyperlink ref="A337" r:id="rId94" display="MEGA"/>
    <hyperlink ref="A356" r:id="rId88" display="M9"/>
    <hyperlink ref="A353" r:id="rId35" display="2025年"/>
    <hyperlink ref="A355" r:id="rId89" display="M7"/>
    <hyperlink ref="A354" r:id="rId90" display="M5"/>
    <hyperlink ref="A381" r:id="rId35" display="2025年"/>
    <hyperlink ref="A382" r:id="rId35" display="深蓝SL03"/>
    <hyperlink ref="A383" r:id="rId42" display="深蓝S07"/>
    <hyperlink ref="A412" r:id="rId52" display="X"/>
    <hyperlink ref="A413" r:id="rId53" display="S"/>
    <hyperlink ref="A411" r:id="rId54" display="AYA"/>
    <hyperlink ref="A436" r:id="rId11" display="T03"/>
    <hyperlink ref="A438" r:id="rId28" display="C01"/>
    <hyperlink ref="A437" r:id="rId29" display="C11"/>
    <hyperlink ref="A439" r:id="rId95" display="C10"/>
    <hyperlink ref="A469" r:id="rId12" display="2025年"/>
    <hyperlink ref="A470" r:id="rId30" display="ID.4 X"/>
    <hyperlink ref="A474" r:id="rId31" display="ID.3"/>
    <hyperlink ref="A471" r:id="rId32" display="ID.4 CROZZ"/>
    <hyperlink ref="A473" r:id="rId33" display="ID.6 CROZZ"/>
    <hyperlink ref="A472" r:id="rId34" display="ID.6 X"/>
    <hyperlink ref="A486" r:id="rId92" display="宏光 MINIEV"/>
    <hyperlink ref="A485" r:id="rId92" display="2025年"/>
    <hyperlink ref="A513" r:id="rId4" display="荣威RX5"/>
    <hyperlink ref="A514" r:id="rId5" display="荣威i5"/>
    <hyperlink ref="A515" r:id="rId6" display="科莱威CLEVER"/>
    <hyperlink ref="A516" r:id="rId96" display="荣威i6 MAX"/>
    <hyperlink ref="A541" r:id="rId36" display="2025年"/>
    <hyperlink ref="A542" r:id="rId45" display="领克06新能源"/>
    <hyperlink ref="A544" r:id="rId46" display="领克09新能源"/>
    <hyperlink ref="A543" r:id="rId51" display="领克08新能源"/>
    <hyperlink ref="A564" r:id="rId36" display="2025年"/>
    <hyperlink ref="A565" r:id="rId36" display="极氪001"/>
    <hyperlink ref="A567" r:id="rId38" display="极氪009"/>
    <hyperlink ref="A568" r:id="rId41" display="极氪X"/>
    <hyperlink ref="A566" r:id="rId56" display="极氪007"/>
    <hyperlink ref="A605" r:id="rId36" display="2025年"/>
    <hyperlink ref="A606" r:id="rId50" display="银河L7"/>
    <hyperlink ref="A587" r:id="rId47" display="熊猫mini"/>
    <hyperlink ref="A586" r:id="rId36" display="2025年"/>
    <hyperlink ref="A643" r:id="rId57" display="秦PLUS"/>
    <hyperlink ref="A644" r:id="rId58" display="秦L"/>
    <hyperlink ref="A645" r:id="rId59" display="秦新能源"/>
    <hyperlink ref="A646" r:id="rId60" display="汉"/>
    <hyperlink ref="A647" r:id="rId61" display="唐新能源"/>
    <hyperlink ref="A648" r:id="rId62" display="宋PLUS新能源"/>
    <hyperlink ref="A649" r:id="rId63" display="宋Pro新能源"/>
    <hyperlink ref="A650" r:id="rId64" display="宋L"/>
    <hyperlink ref="A651" r:id="rId65" display="宋L DM-i"/>
    <hyperlink ref="A653" r:id="rId66" display="元PLUS"/>
    <hyperlink ref="A654" r:id="rId67" display="元UP"/>
    <hyperlink ref="A655" r:id="rId68" display="元 Pro"/>
    <hyperlink ref="A656" r:id="rId69" display="海鸥"/>
    <hyperlink ref="A657" r:id="rId70" display="海豚"/>
    <hyperlink ref="A659" r:id="rId71" display="海狮07EV"/>
    <hyperlink ref="A662" r:id="rId72" display="海豹06DM-i"/>
    <hyperlink ref="A663" r:id="rId73" display="海豹07DM-i"/>
    <hyperlink ref="A664" r:id="rId74" display="海豹"/>
    <hyperlink ref="A665" r:id="rId75" display="护卫舰07"/>
    <hyperlink ref="A667" r:id="rId76" display="比亚迪e2"/>
    <hyperlink ref="A668" r:id="rId77" display="比亚迪e3"/>
    <hyperlink ref="A669" r:id="rId81" display="比亚迪D1"/>
    <hyperlink ref="A652" r:id="rId82" display="宋MAX新能源"/>
    <hyperlink ref="A642" r:id="rId83" display="2025年"/>
    <hyperlink ref="A661" r:id="rId72" display="海豹05DM-i"/>
    <hyperlink ref="A692" r:id="rId78" display="N7"/>
    <hyperlink ref="A694" r:id="rId79" display="D9 EV"/>
    <hyperlink ref="A691" r:id="rId84" display="2025年"/>
    <hyperlink ref="A706" r:id="rId84" display="2025年"/>
    <hyperlink ref="A707" r:id="rId85" display="豹5"/>
    <hyperlink ref="A440" r:id="rId97" display="C16"/>
    <hyperlink ref="A517" r:id="rId98" display="荣威iMAX8"/>
    <hyperlink ref="A519" r:id="rId99" display="荣威iMAX8新能源"/>
    <hyperlink ref="A518" r:id="rId100" display="荣威Ei5"/>
    <hyperlink ref="A545" r:id="rId101" display="领克07"/>
    <hyperlink ref="A546" r:id="rId102" display="领克Z10"/>
    <hyperlink ref="A547" r:id="rId103" display="领克Z20"/>
    <hyperlink ref="A570" r:id="rId104" display="极氪MIX"/>
    <hyperlink ref="A569" r:id="rId105" display="极氪7X"/>
    <hyperlink ref="A608" r:id="rId106" display="银河E8"/>
    <hyperlink ref="A609" r:id="rId107" display="银河E5"/>
    <hyperlink ref="A607" r:id="rId108" display="银河L6"/>
  </hyperlinks>
  <pageMargins left="0.7" right="0.7" top="0.75" bottom="0.75" header="0.3" footer="0.3"/>
  <pageSetup paperSize="9" orientation="portrait" horizontalDpi="1200" verticalDpi="1200"/>
  <headerFooter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1"/>
  <sheetViews>
    <sheetView tabSelected="1" topLeftCell="B1" workbookViewId="0">
      <pane ySplit="1" topLeftCell="A2" activePane="bottomLeft" state="frozen"/>
      <selection/>
      <selection pane="bottomLeft" activeCell="Q14" sqref="Q14"/>
    </sheetView>
  </sheetViews>
  <sheetFormatPr defaultColWidth="9" defaultRowHeight="13.5"/>
  <cols>
    <col min="1" max="1" width="5.75" customWidth="1"/>
    <col min="2" max="2" width="16.375" customWidth="1"/>
    <col min="3" max="20" width="9.5" customWidth="1"/>
    <col min="21" max="22" width="12.875"/>
  </cols>
  <sheetData>
    <row r="1" s="4" customFormat="1" ht="44.1" customHeight="1" spans="1:23">
      <c r="B1" s="1" t="s">
        <v>404</v>
      </c>
      <c r="C1" s="2" t="s">
        <v>405</v>
      </c>
      <c r="D1" s="1" t="s">
        <v>406</v>
      </c>
      <c r="E1" s="1" t="s">
        <v>407</v>
      </c>
      <c r="F1" s="1" t="s">
        <v>408</v>
      </c>
      <c r="G1" s="3" t="s">
        <v>409</v>
      </c>
      <c r="H1" s="3" t="s">
        <v>410</v>
      </c>
      <c r="I1" s="2" t="s">
        <v>411</v>
      </c>
      <c r="J1" s="1" t="s">
        <v>412</v>
      </c>
      <c r="K1" s="1" t="s">
        <v>413</v>
      </c>
      <c r="L1" s="1" t="s">
        <v>414</v>
      </c>
      <c r="M1" s="1" t="s">
        <v>415</v>
      </c>
      <c r="N1" s="1" t="s">
        <v>416</v>
      </c>
      <c r="O1" s="1" t="s">
        <v>417</v>
      </c>
      <c r="P1" s="1" t="s">
        <v>418</v>
      </c>
      <c r="Q1" s="2" t="s">
        <v>419</v>
      </c>
      <c r="R1" s="1" t="s">
        <v>420</v>
      </c>
      <c r="S1" s="1" t="s">
        <v>421</v>
      </c>
      <c r="T1" s="1" t="s">
        <v>422</v>
      </c>
      <c r="U1" s="1" t="s">
        <v>423</v>
      </c>
      <c r="V1" s="1" t="s">
        <v>424</v>
      </c>
      <c r="W1" s="4" t="s">
        <v>425</v>
      </c>
    </row>
    <row r="2" ht="14.25" spans="1:23">
      <c r="A2" s="5"/>
      <c r="B2" s="6">
        <v>44196</v>
      </c>
      <c r="C2" s="7">
        <f t="shared" ref="C2:C26" si="0">D2+H2</f>
        <v>168.05</v>
      </c>
      <c r="D2" s="8">
        <v>80.7</v>
      </c>
      <c r="E2" s="9"/>
      <c r="F2" s="10"/>
      <c r="G2" s="11"/>
      <c r="H2" s="9">
        <v>87.35</v>
      </c>
      <c r="I2" s="12"/>
      <c r="J2" s="9"/>
      <c r="K2" s="9"/>
      <c r="L2" s="9"/>
      <c r="M2" s="9"/>
      <c r="N2" s="9"/>
      <c r="O2" s="9"/>
      <c r="P2" s="9"/>
      <c r="Q2" s="8"/>
      <c r="R2" s="13">
        <f t="shared" ref="R2:R50" si="1">D2/C2</f>
        <v>0.480214221957751</v>
      </c>
      <c r="S2" s="14">
        <v>492</v>
      </c>
      <c r="T2" s="15">
        <f>S2/C2</f>
        <v>2.92770008925915</v>
      </c>
      <c r="U2" s="15">
        <f>S2/D2</f>
        <v>6.09665427509294</v>
      </c>
      <c r="V2" s="15">
        <f>S2/H2</f>
        <v>5.63251287922152</v>
      </c>
    </row>
    <row r="3" ht="14.25" spans="1:23">
      <c r="A3" s="5"/>
      <c r="B3" s="6">
        <v>44227</v>
      </c>
      <c r="C3" s="7">
        <f t="shared" si="0"/>
        <v>171.6</v>
      </c>
      <c r="D3" s="8">
        <v>81.1</v>
      </c>
      <c r="E3" s="9">
        <v>34.4</v>
      </c>
      <c r="F3" s="10">
        <v>46.6</v>
      </c>
      <c r="G3" s="13">
        <f t="shared" ref="G3:G54" si="2">E3/D3</f>
        <v>0.424167694204686</v>
      </c>
      <c r="H3" s="9">
        <v>90.5</v>
      </c>
      <c r="I3" s="12">
        <f>L3+O3</f>
        <v>3.6</v>
      </c>
      <c r="J3" s="9"/>
      <c r="K3" s="9"/>
      <c r="L3" s="9">
        <v>0.4</v>
      </c>
      <c r="M3" s="9">
        <v>3.5</v>
      </c>
      <c r="N3" s="9">
        <v>-3.2</v>
      </c>
      <c r="O3" s="9">
        <v>3.2</v>
      </c>
      <c r="P3" s="9">
        <v>17.9176</v>
      </c>
      <c r="Q3" s="8">
        <f>P3/I3</f>
        <v>4.97711111111111</v>
      </c>
      <c r="R3" s="13">
        <f t="shared" si="1"/>
        <v>0.472610722610723</v>
      </c>
      <c r="S3" s="14"/>
      <c r="T3" s="14"/>
    </row>
    <row r="4" ht="14.25" spans="1:23">
      <c r="A4" s="5"/>
      <c r="B4" s="6">
        <v>44255</v>
      </c>
      <c r="C4" s="7">
        <f t="shared" si="0"/>
        <v>175.8</v>
      </c>
      <c r="D4" s="8">
        <v>83.7</v>
      </c>
      <c r="E4" s="9">
        <v>34.9</v>
      </c>
      <c r="F4" s="10">
        <v>48.8</v>
      </c>
      <c r="G4" s="13">
        <f t="shared" si="2"/>
        <v>0.416965352449223</v>
      </c>
      <c r="H4" s="9">
        <v>92.1</v>
      </c>
      <c r="I4" s="12">
        <f t="shared" ref="I4:I26" si="3">L4+O4</f>
        <v>4.1</v>
      </c>
      <c r="J4" s="9"/>
      <c r="K4" s="9"/>
      <c r="L4" s="9">
        <v>2.6</v>
      </c>
      <c r="M4" s="9">
        <v>0.5</v>
      </c>
      <c r="N4" s="9">
        <v>2.2</v>
      </c>
      <c r="O4" s="9">
        <v>1.5</v>
      </c>
      <c r="P4" s="9">
        <v>10.9634</v>
      </c>
      <c r="Q4" s="8">
        <f t="shared" ref="Q4:Q35" si="4">P4/I4</f>
        <v>2.674</v>
      </c>
      <c r="R4" s="13">
        <f t="shared" si="1"/>
        <v>0.476109215017065</v>
      </c>
      <c r="S4" s="14"/>
      <c r="T4" s="14"/>
    </row>
    <row r="5" ht="14.25" spans="1:23">
      <c r="A5" s="5"/>
      <c r="B5" s="6">
        <v>44286</v>
      </c>
      <c r="C5" s="7">
        <f t="shared" si="0"/>
        <v>178.8</v>
      </c>
      <c r="D5" s="8">
        <v>85.1</v>
      </c>
      <c r="E5" s="9">
        <v>35.5</v>
      </c>
      <c r="F5" s="10">
        <v>49.5</v>
      </c>
      <c r="G5" s="13">
        <f t="shared" si="2"/>
        <v>0.417156286721504</v>
      </c>
      <c r="H5" s="9">
        <v>93.7</v>
      </c>
      <c r="I5" s="12">
        <f t="shared" si="3"/>
        <v>3</v>
      </c>
      <c r="J5" s="9"/>
      <c r="K5" s="9"/>
      <c r="L5" s="9">
        <v>1.3</v>
      </c>
      <c r="M5" s="9">
        <v>0.600000000000001</v>
      </c>
      <c r="N5" s="9">
        <v>0.700000000000003</v>
      </c>
      <c r="O5" s="9">
        <v>1.7</v>
      </c>
      <c r="P5" s="9">
        <v>22.5801</v>
      </c>
      <c r="Q5" s="8">
        <f t="shared" si="4"/>
        <v>7.5267</v>
      </c>
      <c r="R5" s="13">
        <f t="shared" si="1"/>
        <v>0.475950782997763</v>
      </c>
      <c r="S5" s="14"/>
      <c r="T5" s="14"/>
    </row>
    <row r="6" ht="14.25" spans="1:23">
      <c r="A6" s="5"/>
      <c r="B6" s="6">
        <v>44316</v>
      </c>
      <c r="C6" s="7">
        <f t="shared" si="0"/>
        <v>182.7</v>
      </c>
      <c r="D6" s="8">
        <v>86.8</v>
      </c>
      <c r="E6" s="9">
        <v>36.3</v>
      </c>
      <c r="F6" s="10">
        <v>50.5</v>
      </c>
      <c r="G6" s="13">
        <f t="shared" si="2"/>
        <v>0.418202764976959</v>
      </c>
      <c r="H6" s="9">
        <v>95.9</v>
      </c>
      <c r="I6" s="12">
        <f t="shared" si="3"/>
        <v>3.9</v>
      </c>
      <c r="J6" s="9"/>
      <c r="K6" s="9"/>
      <c r="L6" s="9">
        <v>1.8</v>
      </c>
      <c r="M6" s="9">
        <v>0.799999999999997</v>
      </c>
      <c r="N6" s="9">
        <v>1</v>
      </c>
      <c r="O6" s="9">
        <v>2.1</v>
      </c>
      <c r="P6" s="9">
        <v>20.6206</v>
      </c>
      <c r="Q6" s="8">
        <f t="shared" si="4"/>
        <v>5.28733333333333</v>
      </c>
      <c r="R6" s="13">
        <f t="shared" si="1"/>
        <v>0.475095785440613</v>
      </c>
      <c r="S6" s="14"/>
      <c r="T6" s="14"/>
    </row>
    <row r="7" ht="14.25" spans="1:23">
      <c r="A7" s="5"/>
      <c r="B7" s="6">
        <v>44347</v>
      </c>
      <c r="C7" s="7">
        <f t="shared" si="0"/>
        <v>187</v>
      </c>
      <c r="D7" s="8">
        <v>88.4</v>
      </c>
      <c r="E7" s="9">
        <v>36.8</v>
      </c>
      <c r="F7" s="10">
        <v>51.6</v>
      </c>
      <c r="G7" s="13">
        <f t="shared" si="2"/>
        <v>0.416289592760181</v>
      </c>
      <c r="H7" s="9">
        <v>98.6</v>
      </c>
      <c r="I7" s="12">
        <f t="shared" si="3"/>
        <v>4.3</v>
      </c>
      <c r="J7" s="9"/>
      <c r="K7" s="9"/>
      <c r="L7" s="9">
        <v>1.6</v>
      </c>
      <c r="M7" s="9">
        <v>0.5</v>
      </c>
      <c r="N7" s="9">
        <v>1.1</v>
      </c>
      <c r="O7" s="9">
        <v>2.7</v>
      </c>
      <c r="P7" s="9">
        <v>21.7386</v>
      </c>
      <c r="Q7" s="8">
        <f t="shared" si="4"/>
        <v>5.05548837209302</v>
      </c>
      <c r="R7" s="13">
        <f t="shared" si="1"/>
        <v>0.472727272727273</v>
      </c>
      <c r="S7" s="14"/>
      <c r="T7" s="14"/>
    </row>
    <row r="8" ht="14.25" spans="1:23">
      <c r="A8" s="5"/>
      <c r="B8" s="6">
        <v>44377</v>
      </c>
      <c r="C8" s="7">
        <f t="shared" si="0"/>
        <v>194.7</v>
      </c>
      <c r="D8" s="8">
        <v>92.3</v>
      </c>
      <c r="E8" s="9">
        <v>37.4</v>
      </c>
      <c r="F8" s="10">
        <v>55</v>
      </c>
      <c r="G8" s="13">
        <f t="shared" si="2"/>
        <v>0.405200433369447</v>
      </c>
      <c r="H8" s="9">
        <v>102.4</v>
      </c>
      <c r="I8" s="12">
        <f t="shared" si="3"/>
        <v>7.8</v>
      </c>
      <c r="J8" s="9"/>
      <c r="K8" s="9"/>
      <c r="L8" s="9">
        <v>3.9</v>
      </c>
      <c r="M8" s="9">
        <v>0.600000000000001</v>
      </c>
      <c r="N8" s="9">
        <v>3.4</v>
      </c>
      <c r="O8" s="9">
        <v>3.9</v>
      </c>
      <c r="P8" s="9">
        <v>25.5747</v>
      </c>
      <c r="Q8" s="8">
        <f t="shared" si="4"/>
        <v>3.27880769230769</v>
      </c>
      <c r="R8" s="13">
        <f t="shared" si="1"/>
        <v>0.474062660503339</v>
      </c>
      <c r="S8" s="14">
        <v>603</v>
      </c>
      <c r="T8" s="15">
        <f>S8/C8</f>
        <v>3.09707241910632</v>
      </c>
      <c r="U8" s="15">
        <f>S8/D8</f>
        <v>6.53304442036836</v>
      </c>
      <c r="V8" s="15">
        <f>S8/H8</f>
        <v>5.888671875</v>
      </c>
    </row>
    <row r="9" ht="14.25" spans="1:23">
      <c r="A9" s="5"/>
      <c r="B9" s="6">
        <v>44408</v>
      </c>
      <c r="C9" s="7">
        <f t="shared" si="0"/>
        <v>201.4</v>
      </c>
      <c r="D9" s="8">
        <v>95</v>
      </c>
      <c r="E9" s="9">
        <v>38.3</v>
      </c>
      <c r="F9" s="10">
        <v>56.7</v>
      </c>
      <c r="G9" s="13">
        <f t="shared" si="2"/>
        <v>0.403157894736842</v>
      </c>
      <c r="H9" s="9">
        <v>106.4</v>
      </c>
      <c r="I9" s="12">
        <f t="shared" si="3"/>
        <v>6.7</v>
      </c>
      <c r="J9" s="9"/>
      <c r="K9" s="9"/>
      <c r="L9" s="9">
        <v>2.7</v>
      </c>
      <c r="M9" s="9">
        <v>0.899999999999999</v>
      </c>
      <c r="N9" s="9">
        <v>1.7</v>
      </c>
      <c r="O9" s="9">
        <v>4</v>
      </c>
      <c r="P9" s="9">
        <v>27.0576</v>
      </c>
      <c r="Q9" s="8">
        <f t="shared" si="4"/>
        <v>4.03844776119403</v>
      </c>
      <c r="R9" s="13">
        <f t="shared" si="1"/>
        <v>0.471698113207547</v>
      </c>
      <c r="S9" s="14"/>
      <c r="T9" s="14"/>
    </row>
    <row r="10" ht="14.25" spans="1:23">
      <c r="A10" s="5"/>
      <c r="B10" s="6">
        <v>44439</v>
      </c>
      <c r="C10" s="7">
        <f t="shared" si="0"/>
        <v>210.5</v>
      </c>
      <c r="D10" s="8">
        <v>98.5</v>
      </c>
      <c r="E10" s="9">
        <v>39.9</v>
      </c>
      <c r="F10" s="10">
        <v>58.6</v>
      </c>
      <c r="G10" s="13">
        <f t="shared" si="2"/>
        <v>0.40507614213198</v>
      </c>
      <c r="H10" s="9">
        <v>112</v>
      </c>
      <c r="I10" s="12">
        <f t="shared" si="3"/>
        <v>8.9</v>
      </c>
      <c r="J10" s="9"/>
      <c r="K10" s="9"/>
      <c r="L10" s="9">
        <v>3.4</v>
      </c>
      <c r="M10" s="9">
        <v>1.6</v>
      </c>
      <c r="N10" s="9">
        <v>1.9</v>
      </c>
      <c r="O10" s="9">
        <v>5.5</v>
      </c>
      <c r="P10" s="9">
        <v>32.0974</v>
      </c>
      <c r="Q10" s="8">
        <f t="shared" si="4"/>
        <v>3.60644943820225</v>
      </c>
      <c r="R10" s="13">
        <f t="shared" si="1"/>
        <v>0.467933491686461</v>
      </c>
      <c r="S10" s="14"/>
      <c r="T10" s="14"/>
    </row>
    <row r="11" ht="14.25" spans="1:23">
      <c r="A11" s="5"/>
      <c r="B11" s="6">
        <v>44469</v>
      </c>
      <c r="C11" s="7">
        <f t="shared" si="0"/>
        <v>222.3</v>
      </c>
      <c r="D11" s="8">
        <v>104.4</v>
      </c>
      <c r="E11" s="9">
        <v>42.8</v>
      </c>
      <c r="F11" s="10">
        <v>61.6</v>
      </c>
      <c r="G11" s="13">
        <f t="shared" si="2"/>
        <v>0.409961685823755</v>
      </c>
      <c r="H11" s="9">
        <v>117.9</v>
      </c>
      <c r="I11" s="12">
        <f t="shared" si="3"/>
        <v>11.9</v>
      </c>
      <c r="J11" s="9"/>
      <c r="K11" s="9"/>
      <c r="L11" s="9">
        <v>6</v>
      </c>
      <c r="M11" s="9">
        <v>2.9</v>
      </c>
      <c r="N11" s="9">
        <v>3</v>
      </c>
      <c r="O11" s="9">
        <v>5.9</v>
      </c>
      <c r="P11" s="9">
        <v>35.7474</v>
      </c>
      <c r="Q11" s="8">
        <f t="shared" si="4"/>
        <v>3.00398319327731</v>
      </c>
      <c r="R11" s="13">
        <f t="shared" si="1"/>
        <v>0.469635627530364</v>
      </c>
      <c r="S11" s="14"/>
      <c r="T11" s="14"/>
    </row>
    <row r="12" ht="14.25" spans="1:23">
      <c r="A12" s="5"/>
      <c r="B12" s="6">
        <v>44500</v>
      </c>
      <c r="C12" s="7">
        <f t="shared" si="0"/>
        <v>225.3</v>
      </c>
      <c r="D12" s="8">
        <v>106.2</v>
      </c>
      <c r="E12" s="9">
        <v>43.6</v>
      </c>
      <c r="F12" s="10">
        <v>62.6</v>
      </c>
      <c r="G12" s="13">
        <f t="shared" si="2"/>
        <v>0.410546139359699</v>
      </c>
      <c r="H12" s="9">
        <v>119.1</v>
      </c>
      <c r="I12" s="12">
        <f t="shared" si="3"/>
        <v>3</v>
      </c>
      <c r="J12" s="9"/>
      <c r="K12" s="9"/>
      <c r="L12" s="9">
        <v>1.8</v>
      </c>
      <c r="M12" s="9">
        <v>0.800000000000004</v>
      </c>
      <c r="N12" s="9">
        <v>1</v>
      </c>
      <c r="O12" s="9">
        <v>1.2</v>
      </c>
      <c r="P12" s="9">
        <v>38.3418</v>
      </c>
      <c r="Q12" s="8">
        <f t="shared" si="4"/>
        <v>12.7806</v>
      </c>
      <c r="R12" s="13">
        <f t="shared" si="1"/>
        <v>0.471371504660453</v>
      </c>
      <c r="S12" s="14"/>
      <c r="T12" s="14"/>
    </row>
    <row r="13" ht="14.25" spans="1:23">
      <c r="A13" s="5"/>
      <c r="B13" s="6">
        <v>44530</v>
      </c>
      <c r="C13" s="7">
        <f t="shared" si="0"/>
        <v>238.5</v>
      </c>
      <c r="D13" s="8">
        <v>109.2</v>
      </c>
      <c r="E13" s="9">
        <v>45</v>
      </c>
      <c r="F13" s="10">
        <v>64.6</v>
      </c>
      <c r="G13" s="13">
        <f t="shared" si="2"/>
        <v>0.412087912087912</v>
      </c>
      <c r="H13" s="9">
        <v>129.3</v>
      </c>
      <c r="I13" s="12">
        <f t="shared" si="3"/>
        <v>13.3</v>
      </c>
      <c r="J13" s="9"/>
      <c r="K13" s="9"/>
      <c r="L13" s="9">
        <v>3</v>
      </c>
      <c r="M13" s="9">
        <v>1.4</v>
      </c>
      <c r="N13" s="9">
        <v>1.99999999999999</v>
      </c>
      <c r="O13" s="9">
        <v>10.3</v>
      </c>
      <c r="P13" s="9">
        <v>44.9858</v>
      </c>
      <c r="Q13" s="8">
        <f t="shared" si="4"/>
        <v>3.38239097744361</v>
      </c>
      <c r="R13" s="13">
        <f t="shared" si="1"/>
        <v>0.457861635220126</v>
      </c>
      <c r="S13" s="14"/>
      <c r="T13" s="14"/>
    </row>
    <row r="14" ht="14.25" spans="1:23">
      <c r="A14" s="5"/>
      <c r="B14" s="6">
        <v>44561</v>
      </c>
      <c r="C14" s="7">
        <f t="shared" si="0"/>
        <v>261.7</v>
      </c>
      <c r="D14" s="8">
        <v>114.7</v>
      </c>
      <c r="E14" s="9">
        <v>47</v>
      </c>
      <c r="F14" s="10">
        <v>67.7</v>
      </c>
      <c r="G14" s="13">
        <f t="shared" si="2"/>
        <v>0.40976460331299</v>
      </c>
      <c r="H14" s="9">
        <v>147</v>
      </c>
      <c r="I14" s="12">
        <f t="shared" si="3"/>
        <v>23.2</v>
      </c>
      <c r="J14" s="9"/>
      <c r="K14" s="9"/>
      <c r="L14" s="9">
        <v>5.5</v>
      </c>
      <c r="M14" s="9">
        <v>2</v>
      </c>
      <c r="N14" s="9">
        <v>3.10000000000001</v>
      </c>
      <c r="O14" s="9">
        <v>17.7</v>
      </c>
      <c r="P14" s="9">
        <v>53.0939</v>
      </c>
      <c r="Q14" s="8">
        <f t="shared" si="4"/>
        <v>2.28853017241379</v>
      </c>
      <c r="R14" s="13">
        <f t="shared" si="1"/>
        <v>0.438288116163546</v>
      </c>
      <c r="S14" s="14">
        <v>784</v>
      </c>
      <c r="T14" s="15">
        <f>S14/C14</f>
        <v>2.99579671379442</v>
      </c>
      <c r="U14" s="15">
        <f>S14/D14</f>
        <v>6.83522231909329</v>
      </c>
      <c r="V14" s="15">
        <f>S14/H14</f>
        <v>5.33333333333333</v>
      </c>
    </row>
    <row r="15" ht="14.25" spans="1:23">
      <c r="A15" s="5"/>
      <c r="B15" s="6">
        <v>44562</v>
      </c>
      <c r="C15" s="7">
        <f t="shared" si="0"/>
        <v>273.1</v>
      </c>
      <c r="D15" s="8">
        <v>117.8</v>
      </c>
      <c r="E15" s="8">
        <v>48.6</v>
      </c>
      <c r="F15" s="10">
        <v>69.1</v>
      </c>
      <c r="G15" s="13">
        <f t="shared" si="2"/>
        <v>0.412563667232598</v>
      </c>
      <c r="H15" s="9">
        <v>155.3</v>
      </c>
      <c r="I15" s="12">
        <f t="shared" si="3"/>
        <v>11.4</v>
      </c>
      <c r="J15" s="9"/>
      <c r="K15" s="9"/>
      <c r="L15" s="9">
        <v>3.1</v>
      </c>
      <c r="M15" s="9">
        <v>1.6</v>
      </c>
      <c r="N15" s="9">
        <v>1.39999999999999</v>
      </c>
      <c r="O15" s="9">
        <v>8.3</v>
      </c>
      <c r="P15" s="9">
        <v>43.1436</v>
      </c>
      <c r="Q15" s="8">
        <f t="shared" si="4"/>
        <v>3.78452631578947</v>
      </c>
      <c r="R15" s="13">
        <f t="shared" si="1"/>
        <v>0.431343830098865</v>
      </c>
      <c r="S15" s="14"/>
      <c r="T15" s="14"/>
    </row>
    <row r="16" ht="14.25" spans="1:23">
      <c r="A16" s="5"/>
      <c r="B16" s="6">
        <v>44593</v>
      </c>
      <c r="C16" s="7">
        <f t="shared" si="0"/>
        <v>286.4</v>
      </c>
      <c r="D16" s="8">
        <v>121.3</v>
      </c>
      <c r="E16" s="8">
        <v>49.6</v>
      </c>
      <c r="F16" s="10">
        <v>71.7</v>
      </c>
      <c r="G16" s="13">
        <f t="shared" si="2"/>
        <v>0.408903544929926</v>
      </c>
      <c r="H16" s="9">
        <v>165.1</v>
      </c>
      <c r="I16" s="12">
        <f t="shared" si="3"/>
        <v>13.4</v>
      </c>
      <c r="J16" s="9"/>
      <c r="K16" s="9"/>
      <c r="L16" s="9">
        <v>3.6</v>
      </c>
      <c r="M16" s="9">
        <v>1</v>
      </c>
      <c r="N16" s="9">
        <v>2.60000000000001</v>
      </c>
      <c r="O16" s="9">
        <v>9.8</v>
      </c>
      <c r="P16" s="9">
        <v>33.3731</v>
      </c>
      <c r="Q16" s="8">
        <f t="shared" si="4"/>
        <v>2.49052985074627</v>
      </c>
      <c r="R16" s="13">
        <f t="shared" si="1"/>
        <v>0.423533519553073</v>
      </c>
      <c r="S16" s="14"/>
      <c r="T16" s="14"/>
    </row>
    <row r="17" ht="14.25" spans="1:23">
      <c r="A17" s="5"/>
      <c r="B17" s="6">
        <v>44621</v>
      </c>
      <c r="C17" s="7">
        <f t="shared" si="0"/>
        <v>310.9</v>
      </c>
      <c r="D17" s="8">
        <v>123.2</v>
      </c>
      <c r="E17" s="8">
        <v>50.2</v>
      </c>
      <c r="F17" s="10">
        <v>72.9</v>
      </c>
      <c r="G17" s="13">
        <f t="shared" si="2"/>
        <v>0.407467532467532</v>
      </c>
      <c r="H17" s="9">
        <v>187.7</v>
      </c>
      <c r="I17" s="12">
        <f t="shared" si="3"/>
        <v>24.5</v>
      </c>
      <c r="J17" s="9"/>
      <c r="K17" s="9"/>
      <c r="L17" s="9">
        <v>1.9</v>
      </c>
      <c r="M17" s="9">
        <v>0.600000000000001</v>
      </c>
      <c r="N17" s="9">
        <v>1.2</v>
      </c>
      <c r="O17" s="9">
        <v>22.6</v>
      </c>
      <c r="P17" s="9">
        <v>48.4299</v>
      </c>
      <c r="Q17" s="8">
        <f t="shared" si="4"/>
        <v>1.9767306122449</v>
      </c>
      <c r="R17" s="13">
        <f t="shared" si="1"/>
        <v>0.396268896751367</v>
      </c>
      <c r="S17" s="14"/>
      <c r="T17" s="14"/>
    </row>
    <row r="18" ht="14.25" spans="1:23">
      <c r="A18" s="5"/>
      <c r="B18" s="6">
        <v>44652</v>
      </c>
      <c r="C18" s="7">
        <f t="shared" si="0"/>
        <v>332.4</v>
      </c>
      <c r="D18" s="8">
        <v>133.2</v>
      </c>
      <c r="E18" s="9">
        <v>57.7</v>
      </c>
      <c r="F18" s="9">
        <v>75.5</v>
      </c>
      <c r="G18" s="13">
        <f t="shared" si="2"/>
        <v>0.433183183183183</v>
      </c>
      <c r="H18" s="9">
        <v>199.2</v>
      </c>
      <c r="I18" s="12">
        <f t="shared" si="3"/>
        <v>21.5</v>
      </c>
      <c r="J18" s="9"/>
      <c r="K18" s="9"/>
      <c r="L18" s="9">
        <v>10</v>
      </c>
      <c r="M18" s="9">
        <v>7.5</v>
      </c>
      <c r="N18" s="9">
        <v>2.59999999999999</v>
      </c>
      <c r="O18" s="9">
        <v>11.5</v>
      </c>
      <c r="P18" s="9">
        <v>29.8868</v>
      </c>
      <c r="Q18" s="8">
        <f t="shared" si="4"/>
        <v>1.39008372093023</v>
      </c>
      <c r="R18" s="13">
        <f t="shared" si="1"/>
        <v>0.40072202166065</v>
      </c>
      <c r="S18" s="14"/>
      <c r="T18" s="14"/>
    </row>
    <row r="19" ht="14.25" spans="1:23">
      <c r="A19" s="5"/>
      <c r="B19" s="6">
        <v>44682</v>
      </c>
      <c r="C19" s="7">
        <f t="shared" si="0"/>
        <v>358</v>
      </c>
      <c r="D19" s="8">
        <v>141.9</v>
      </c>
      <c r="E19" s="9">
        <v>61.3</v>
      </c>
      <c r="F19" s="9">
        <v>80.6</v>
      </c>
      <c r="G19" s="13">
        <f t="shared" si="2"/>
        <v>0.43199436222692</v>
      </c>
      <c r="H19" s="9">
        <v>216.1</v>
      </c>
      <c r="I19" s="12">
        <f t="shared" si="3"/>
        <v>25.6</v>
      </c>
      <c r="J19" s="9"/>
      <c r="K19" s="9"/>
      <c r="L19" s="9">
        <v>8.7</v>
      </c>
      <c r="M19" s="9">
        <v>3.6</v>
      </c>
      <c r="N19" s="9">
        <v>5.09999999999999</v>
      </c>
      <c r="O19" s="9">
        <v>16.9</v>
      </c>
      <c r="P19" s="9">
        <v>44.7174</v>
      </c>
      <c r="Q19" s="8">
        <f t="shared" si="4"/>
        <v>1.7467734375</v>
      </c>
      <c r="R19" s="13">
        <f t="shared" si="1"/>
        <v>0.396368715083799</v>
      </c>
      <c r="S19" s="14"/>
      <c r="T19" s="14"/>
    </row>
    <row r="20" ht="14.25" spans="1:23">
      <c r="A20" s="5"/>
      <c r="B20" s="6">
        <v>44713</v>
      </c>
      <c r="C20" s="7">
        <f t="shared" si="0"/>
        <v>391.8</v>
      </c>
      <c r="D20" s="8">
        <v>152.8</v>
      </c>
      <c r="E20" s="9">
        <v>66.5</v>
      </c>
      <c r="F20" s="9">
        <v>86.3</v>
      </c>
      <c r="G20" s="13">
        <f t="shared" si="2"/>
        <v>0.43520942408377</v>
      </c>
      <c r="H20" s="9">
        <v>239</v>
      </c>
      <c r="I20" s="12">
        <f t="shared" si="3"/>
        <v>33.7</v>
      </c>
      <c r="J20" s="9"/>
      <c r="K20" s="9"/>
      <c r="L20" s="9">
        <v>10.8</v>
      </c>
      <c r="M20" s="9">
        <v>5.2</v>
      </c>
      <c r="N20" s="9">
        <v>5.7</v>
      </c>
      <c r="O20" s="9">
        <v>22.9</v>
      </c>
      <c r="P20" s="9">
        <v>59.6439</v>
      </c>
      <c r="Q20" s="8">
        <f t="shared" si="4"/>
        <v>1.76984866468843</v>
      </c>
      <c r="R20" s="13">
        <f t="shared" si="1"/>
        <v>0.389994895354773</v>
      </c>
      <c r="S20" s="14">
        <v>1001</v>
      </c>
      <c r="T20" s="15">
        <f>S20/C20</f>
        <v>2.55487493619193</v>
      </c>
      <c r="U20" s="15">
        <f>S20/D20</f>
        <v>6.55104712041885</v>
      </c>
      <c r="V20" s="15">
        <f>S20/H20</f>
        <v>4.18828451882845</v>
      </c>
    </row>
    <row r="21" ht="14.25" spans="1:23">
      <c r="A21" s="5"/>
      <c r="B21" s="6">
        <v>44743</v>
      </c>
      <c r="C21" s="7">
        <f t="shared" si="0"/>
        <v>398</v>
      </c>
      <c r="D21" s="8">
        <v>157.5</v>
      </c>
      <c r="E21" s="9">
        <v>68.4</v>
      </c>
      <c r="F21" s="9">
        <v>89</v>
      </c>
      <c r="G21" s="13">
        <f t="shared" si="2"/>
        <v>0.434285714285714</v>
      </c>
      <c r="H21" s="9">
        <v>240.5</v>
      </c>
      <c r="I21" s="12">
        <f t="shared" si="3"/>
        <v>6.1</v>
      </c>
      <c r="J21" s="9"/>
      <c r="K21" s="9"/>
      <c r="L21" s="9">
        <v>4.7</v>
      </c>
      <c r="M21" s="9">
        <v>1.90000000000001</v>
      </c>
      <c r="N21" s="9">
        <v>2.7</v>
      </c>
      <c r="O21" s="9">
        <v>1.4</v>
      </c>
      <c r="P21" s="9">
        <v>59.2887</v>
      </c>
      <c r="Q21" s="8">
        <f t="shared" si="4"/>
        <v>9.71945901639344</v>
      </c>
      <c r="R21" s="13">
        <f t="shared" si="1"/>
        <v>0.39572864321608</v>
      </c>
      <c r="S21" s="14"/>
      <c r="T21" s="15"/>
    </row>
    <row r="22" ht="14.25" spans="1:23">
      <c r="A22" s="5"/>
      <c r="B22" s="6">
        <v>44774</v>
      </c>
      <c r="C22" s="7">
        <f t="shared" si="0"/>
        <v>431.4</v>
      </c>
      <c r="D22" s="8">
        <v>162.3</v>
      </c>
      <c r="E22" s="9">
        <v>70.2</v>
      </c>
      <c r="F22" s="9">
        <v>92.1</v>
      </c>
      <c r="G22" s="13">
        <f t="shared" si="2"/>
        <v>0.432532347504621</v>
      </c>
      <c r="H22" s="8">
        <v>269.1</v>
      </c>
      <c r="I22" s="12">
        <f t="shared" si="3"/>
        <v>33.4</v>
      </c>
      <c r="J22" s="8"/>
      <c r="K22" s="8"/>
      <c r="L22" s="8">
        <v>4.8</v>
      </c>
      <c r="M22" s="8">
        <f t="shared" ref="M22:N28" si="5">E22-E21</f>
        <v>1.8</v>
      </c>
      <c r="N22" s="8">
        <f t="shared" si="5"/>
        <v>3.09999999999999</v>
      </c>
      <c r="O22" s="8">
        <f>H22-H21</f>
        <v>28.6</v>
      </c>
      <c r="P22" s="8">
        <v>66.6191</v>
      </c>
      <c r="Q22" s="8">
        <f t="shared" si="4"/>
        <v>1.99458383233533</v>
      </c>
      <c r="R22" s="13">
        <f t="shared" si="1"/>
        <v>0.376216968011127</v>
      </c>
      <c r="S22" s="14"/>
      <c r="T22" s="15"/>
    </row>
    <row r="23" ht="14.25" spans="1:23">
      <c r="A23" s="5"/>
      <c r="B23" s="6">
        <v>44805</v>
      </c>
      <c r="C23" s="7">
        <f t="shared" si="0"/>
        <v>448.8</v>
      </c>
      <c r="D23" s="8">
        <v>163.6</v>
      </c>
      <c r="E23" s="9">
        <v>70.4</v>
      </c>
      <c r="F23" s="9">
        <v>93.1</v>
      </c>
      <c r="G23" s="13">
        <f t="shared" si="2"/>
        <v>0.430317848410758</v>
      </c>
      <c r="H23" s="8">
        <v>285.2</v>
      </c>
      <c r="I23" s="12">
        <f t="shared" si="3"/>
        <v>17.3</v>
      </c>
      <c r="J23" s="8"/>
      <c r="K23" s="8"/>
      <c r="L23" s="8">
        <v>1.2</v>
      </c>
      <c r="M23" s="8">
        <f t="shared" si="5"/>
        <v>0.200000000000003</v>
      </c>
      <c r="N23" s="8">
        <f t="shared" si="5"/>
        <v>1</v>
      </c>
      <c r="O23" s="8">
        <f>H23-H22</f>
        <v>16.1</v>
      </c>
      <c r="P23" s="8">
        <v>70.7529</v>
      </c>
      <c r="Q23" s="8">
        <f t="shared" si="4"/>
        <v>4.08976300578035</v>
      </c>
      <c r="R23" s="13">
        <f t="shared" si="1"/>
        <v>0.364527629233512</v>
      </c>
      <c r="S23" s="14">
        <v>1149</v>
      </c>
      <c r="T23" s="15">
        <f>S23/C23</f>
        <v>2.56016042780749</v>
      </c>
      <c r="U23" s="15">
        <f>S23/D23</f>
        <v>7.02322738386308</v>
      </c>
      <c r="V23" s="15">
        <f>S23/H23</f>
        <v>4.02875175315568</v>
      </c>
    </row>
    <row r="24" ht="14.25" spans="1:23">
      <c r="A24" s="5"/>
      <c r="B24" s="6">
        <v>44835</v>
      </c>
      <c r="C24" s="7">
        <f t="shared" si="0"/>
        <v>470.8</v>
      </c>
      <c r="D24" s="8">
        <v>168</v>
      </c>
      <c r="E24" s="9">
        <v>71</v>
      </c>
      <c r="F24" s="9">
        <v>97</v>
      </c>
      <c r="G24" s="13">
        <f t="shared" si="2"/>
        <v>0.422619047619048</v>
      </c>
      <c r="H24" s="8">
        <v>302.8</v>
      </c>
      <c r="I24" s="12">
        <f t="shared" si="3"/>
        <v>22</v>
      </c>
      <c r="J24" s="8"/>
      <c r="K24" s="8"/>
      <c r="L24" s="8">
        <v>4.4</v>
      </c>
      <c r="M24" s="8">
        <f t="shared" si="5"/>
        <v>0.599999999999994</v>
      </c>
      <c r="N24" s="8">
        <f t="shared" si="5"/>
        <v>3.90000000000001</v>
      </c>
      <c r="O24" s="8">
        <f>H24-H23</f>
        <v>17.6</v>
      </c>
      <c r="P24" s="8">
        <v>71.3601</v>
      </c>
      <c r="Q24" s="8">
        <f t="shared" si="4"/>
        <v>3.24364090909091</v>
      </c>
      <c r="R24" s="13">
        <f t="shared" si="1"/>
        <v>0.356839422259983</v>
      </c>
      <c r="S24" s="14"/>
      <c r="T24" s="14"/>
      <c r="W24" t="s">
        <v>104</v>
      </c>
    </row>
    <row r="25" ht="14.25" spans="1:23">
      <c r="A25" s="5"/>
      <c r="B25" s="6">
        <v>44866</v>
      </c>
      <c r="C25" s="7">
        <f t="shared" si="0"/>
        <v>494.9</v>
      </c>
      <c r="D25" s="8">
        <v>173.1</v>
      </c>
      <c r="E25" s="9">
        <v>73.2</v>
      </c>
      <c r="F25" s="9">
        <v>99.9</v>
      </c>
      <c r="G25" s="13">
        <f t="shared" si="2"/>
        <v>0.422876949740035</v>
      </c>
      <c r="H25" s="8">
        <v>321.8</v>
      </c>
      <c r="I25" s="12">
        <f t="shared" si="3"/>
        <v>23.4</v>
      </c>
      <c r="J25" s="8"/>
      <c r="K25" s="8"/>
      <c r="L25" s="8">
        <v>4.4</v>
      </c>
      <c r="M25" s="8">
        <f t="shared" si="5"/>
        <v>2.2</v>
      </c>
      <c r="N25" s="8">
        <f t="shared" si="5"/>
        <v>2.90000000000001</v>
      </c>
      <c r="O25" s="8">
        <f>H25-H24</f>
        <v>19</v>
      </c>
      <c r="P25" s="8">
        <v>78.6285</v>
      </c>
      <c r="Q25" s="8">
        <f t="shared" si="4"/>
        <v>3.36019230769231</v>
      </c>
      <c r="R25" s="13">
        <f t="shared" si="1"/>
        <v>0.349767629824207</v>
      </c>
      <c r="S25" s="14"/>
      <c r="T25" s="14"/>
      <c r="W25" t="s">
        <v>105</v>
      </c>
    </row>
    <row r="26" ht="14.25" spans="1:23">
      <c r="B26" s="6">
        <v>44896</v>
      </c>
      <c r="C26" s="7">
        <f t="shared" si="0"/>
        <v>520.9</v>
      </c>
      <c r="D26" s="8">
        <v>179.7</v>
      </c>
      <c r="E26" s="9">
        <v>76.1</v>
      </c>
      <c r="F26" s="9">
        <v>103.6</v>
      </c>
      <c r="G26" s="13">
        <f t="shared" si="2"/>
        <v>0.423483583750696</v>
      </c>
      <c r="H26" s="8">
        <v>341.2</v>
      </c>
      <c r="I26" s="12">
        <f t="shared" si="3"/>
        <v>26</v>
      </c>
      <c r="J26" s="8"/>
      <c r="K26" s="8"/>
      <c r="L26" s="8">
        <v>6.6</v>
      </c>
      <c r="M26" s="8">
        <f t="shared" si="5"/>
        <v>2.89999999999999</v>
      </c>
      <c r="N26" s="8">
        <f t="shared" si="5"/>
        <v>3.69999999999999</v>
      </c>
      <c r="O26" s="8">
        <f>H26-H25</f>
        <v>19.4</v>
      </c>
      <c r="P26" s="8">
        <v>81.3842</v>
      </c>
      <c r="Q26" s="8">
        <f t="shared" si="4"/>
        <v>3.13016153846154</v>
      </c>
      <c r="R26" s="13">
        <f t="shared" si="1"/>
        <v>0.34497984258015</v>
      </c>
      <c r="S26" s="14">
        <v>1310</v>
      </c>
      <c r="T26" s="15">
        <f t="shared" ref="T26:T38" si="6">S26/C26</f>
        <v>2.51487809560376</v>
      </c>
      <c r="U26" s="15">
        <f t="shared" ref="U26:U38" si="7">S26/D26</f>
        <v>7.28992765720646</v>
      </c>
      <c r="V26" s="15">
        <f t="shared" ref="V26:V38" si="8">S26/H26</f>
        <v>3.83939038686987</v>
      </c>
      <c r="W26" t="s">
        <v>106</v>
      </c>
    </row>
    <row r="27" ht="14.25" spans="1:23">
      <c r="B27" s="6">
        <v>44927</v>
      </c>
      <c r="C27" s="7">
        <v>541.1</v>
      </c>
      <c r="D27" s="8">
        <v>183.9</v>
      </c>
      <c r="E27" s="9">
        <v>78.5</v>
      </c>
      <c r="F27" s="9">
        <v>105.5</v>
      </c>
      <c r="G27" s="13">
        <f t="shared" si="2"/>
        <v>0.426862425231104</v>
      </c>
      <c r="H27" s="8">
        <v>357.3</v>
      </c>
      <c r="I27" s="12">
        <f>C27-C26</f>
        <v>20.2</v>
      </c>
      <c r="J27" s="8"/>
      <c r="K27" s="8"/>
      <c r="L27" s="8">
        <v>6.6</v>
      </c>
      <c r="M27" s="8">
        <f t="shared" si="5"/>
        <v>2.40000000000001</v>
      </c>
      <c r="N27" s="8">
        <f t="shared" si="5"/>
        <v>1.90000000000001</v>
      </c>
      <c r="O27" s="8">
        <v>16.1</v>
      </c>
      <c r="P27" s="8">
        <v>40.7845</v>
      </c>
      <c r="Q27" s="8">
        <f t="shared" si="4"/>
        <v>2.01903465346534</v>
      </c>
      <c r="R27" s="13">
        <f t="shared" si="1"/>
        <v>0.339863241545001</v>
      </c>
      <c r="S27" s="14"/>
      <c r="T27" s="15">
        <f t="shared" si="6"/>
        <v>0</v>
      </c>
      <c r="U27" s="15">
        <f t="shared" si="7"/>
        <v>0</v>
      </c>
      <c r="V27" s="15">
        <f t="shared" si="8"/>
        <v>0</v>
      </c>
    </row>
    <row r="28" ht="14.25" spans="1:23">
      <c r="B28" s="6">
        <v>44958</v>
      </c>
      <c r="C28" s="7">
        <v>558.8</v>
      </c>
      <c r="D28" s="8">
        <v>186.9</v>
      </c>
      <c r="E28" s="9">
        <v>79.6</v>
      </c>
      <c r="F28" s="9">
        <v>107.2</v>
      </c>
      <c r="G28" s="13">
        <f t="shared" si="2"/>
        <v>0.4258962011771</v>
      </c>
      <c r="H28" s="8">
        <v>371.9</v>
      </c>
      <c r="I28" s="12">
        <f t="shared" ref="I28:I51" si="9">C28-C27</f>
        <v>17.6999999999999</v>
      </c>
      <c r="J28" s="8"/>
      <c r="K28" s="8"/>
      <c r="L28" s="8">
        <v>3.1</v>
      </c>
      <c r="M28" s="8">
        <f t="shared" si="5"/>
        <v>1.09999999999999</v>
      </c>
      <c r="N28" s="8">
        <f t="shared" si="5"/>
        <v>1.7</v>
      </c>
      <c r="O28" s="8">
        <v>14.6</v>
      </c>
      <c r="P28" s="8">
        <v>52.4897</v>
      </c>
      <c r="Q28" s="8">
        <f t="shared" si="4"/>
        <v>2.96551977401131</v>
      </c>
      <c r="R28" s="13">
        <f t="shared" si="1"/>
        <v>0.334466714387974</v>
      </c>
      <c r="T28" s="15">
        <f t="shared" si="6"/>
        <v>0</v>
      </c>
      <c r="U28" s="15">
        <f t="shared" si="7"/>
        <v>0</v>
      </c>
      <c r="V28" s="15">
        <f t="shared" si="8"/>
        <v>0</v>
      </c>
    </row>
    <row r="29" ht="14.25" spans="1:23">
      <c r="B29" s="6">
        <v>44986</v>
      </c>
      <c r="C29" s="7">
        <f>D29+H29</f>
        <v>584.2</v>
      </c>
      <c r="D29" s="8">
        <v>195.8</v>
      </c>
      <c r="E29" s="9">
        <v>82.2</v>
      </c>
      <c r="F29" s="9">
        <v>113.6</v>
      </c>
      <c r="G29" s="13">
        <f t="shared" si="2"/>
        <v>0.419816138917262</v>
      </c>
      <c r="H29" s="8">
        <v>388.4</v>
      </c>
      <c r="I29" s="12">
        <f t="shared" si="9"/>
        <v>25.4000000000001</v>
      </c>
      <c r="J29" s="8"/>
      <c r="K29" s="8"/>
      <c r="L29" s="8">
        <v>8.9</v>
      </c>
      <c r="M29" s="8">
        <f>E29-E28</f>
        <v>2.60000000000001</v>
      </c>
      <c r="N29" s="8">
        <v>6.4</v>
      </c>
      <c r="O29" s="8">
        <f>H29-H28</f>
        <v>16.5</v>
      </c>
      <c r="P29" s="8">
        <v>65.2699</v>
      </c>
      <c r="Q29" s="8">
        <f t="shared" si="4"/>
        <v>2.5696811023622</v>
      </c>
      <c r="R29" s="13">
        <f t="shared" si="1"/>
        <v>0.335159192057515</v>
      </c>
      <c r="T29" s="15">
        <f t="shared" si="6"/>
        <v>0</v>
      </c>
      <c r="U29" s="15">
        <f t="shared" si="7"/>
        <v>0</v>
      </c>
      <c r="V29" s="15">
        <f t="shared" si="8"/>
        <v>0</v>
      </c>
    </row>
    <row r="30" ht="14.25" spans="1:23">
      <c r="B30" s="6">
        <v>45017</v>
      </c>
      <c r="C30" s="7">
        <v>609.2</v>
      </c>
      <c r="D30" s="8">
        <v>202.5</v>
      </c>
      <c r="E30" s="9">
        <v>85.5</v>
      </c>
      <c r="F30" s="9">
        <v>116.9</v>
      </c>
      <c r="G30" s="13">
        <f t="shared" si="2"/>
        <v>0.422222222222222</v>
      </c>
      <c r="H30" s="8">
        <v>406.7</v>
      </c>
      <c r="I30" s="12">
        <f t="shared" si="9"/>
        <v>25</v>
      </c>
      <c r="J30" s="8"/>
      <c r="K30" s="8"/>
      <c r="L30" s="8">
        <v>6.7</v>
      </c>
      <c r="M30" s="8">
        <v>3.3</v>
      </c>
      <c r="N30" s="8">
        <v>3.3</v>
      </c>
      <c r="O30" s="8">
        <v>18.3</v>
      </c>
      <c r="P30" s="8">
        <v>63.6463</v>
      </c>
      <c r="Q30" s="8">
        <f t="shared" si="4"/>
        <v>2.545852</v>
      </c>
      <c r="R30" s="13">
        <f t="shared" si="1"/>
        <v>0.332403151674327</v>
      </c>
      <c r="T30" s="15">
        <f t="shared" si="6"/>
        <v>0</v>
      </c>
      <c r="U30" s="15">
        <f t="shared" si="7"/>
        <v>0</v>
      </c>
      <c r="V30" s="15">
        <f t="shared" si="8"/>
        <v>0</v>
      </c>
    </row>
    <row r="31" ht="14.25" spans="1:23">
      <c r="B31" s="6">
        <v>45047</v>
      </c>
      <c r="C31" s="7">
        <v>635.6</v>
      </c>
      <c r="D31" s="8">
        <v>208.4</v>
      </c>
      <c r="E31" s="9">
        <v>87.7</v>
      </c>
      <c r="F31" s="9">
        <v>120.7</v>
      </c>
      <c r="G31" s="13">
        <f t="shared" si="2"/>
        <v>0.420825335892514</v>
      </c>
      <c r="H31" s="8">
        <v>427.2</v>
      </c>
      <c r="I31" s="12">
        <f t="shared" si="9"/>
        <v>26.4</v>
      </c>
      <c r="J31" s="8"/>
      <c r="K31" s="8"/>
      <c r="L31" s="8">
        <v>5.9</v>
      </c>
      <c r="M31" s="8">
        <f t="shared" ref="M31:N33" si="10">E31-E30</f>
        <v>2.2</v>
      </c>
      <c r="N31" s="8">
        <f t="shared" si="10"/>
        <v>3.8</v>
      </c>
      <c r="O31" s="8">
        <f t="shared" ref="O31:O46" si="11">H31-H30</f>
        <v>20.5</v>
      </c>
      <c r="P31" s="8">
        <v>71.7</v>
      </c>
      <c r="Q31" s="8">
        <f t="shared" si="4"/>
        <v>2.71590909090909</v>
      </c>
      <c r="R31" s="13">
        <f t="shared" si="1"/>
        <v>0.327879169288861</v>
      </c>
      <c r="T31" s="15">
        <f t="shared" si="6"/>
        <v>0</v>
      </c>
      <c r="U31" s="15">
        <f t="shared" si="7"/>
        <v>0</v>
      </c>
      <c r="V31" s="15">
        <f t="shared" si="8"/>
        <v>0</v>
      </c>
    </row>
    <row r="32" ht="14.25" spans="1:23">
      <c r="B32" s="6">
        <v>45078</v>
      </c>
      <c r="C32" s="7">
        <v>665.2</v>
      </c>
      <c r="D32" s="8">
        <v>214.9</v>
      </c>
      <c r="E32" s="9">
        <v>90.8</v>
      </c>
      <c r="F32" s="9">
        <v>124</v>
      </c>
      <c r="G32" s="13">
        <f t="shared" si="2"/>
        <v>0.422522103303862</v>
      </c>
      <c r="H32" s="8">
        <f t="shared" ref="H32:H41" si="12">C32-D32</f>
        <v>450.3</v>
      </c>
      <c r="I32" s="12">
        <f t="shared" si="9"/>
        <v>29.6</v>
      </c>
      <c r="J32" s="8"/>
      <c r="K32" s="8"/>
      <c r="L32" s="8">
        <v>6.5</v>
      </c>
      <c r="M32" s="8">
        <f t="shared" si="10"/>
        <v>3.09999999999999</v>
      </c>
      <c r="N32" s="8">
        <f t="shared" si="10"/>
        <v>3.3</v>
      </c>
      <c r="O32" s="8">
        <f t="shared" si="11"/>
        <v>23.1000000000001</v>
      </c>
      <c r="P32" s="8">
        <v>80.6</v>
      </c>
      <c r="Q32" s="8">
        <f t="shared" si="4"/>
        <v>2.72297297297297</v>
      </c>
      <c r="R32" s="13">
        <f t="shared" si="1"/>
        <v>0.323060733613951</v>
      </c>
      <c r="S32" s="14">
        <v>1620</v>
      </c>
      <c r="T32" s="15">
        <f t="shared" si="6"/>
        <v>2.43535778713169</v>
      </c>
      <c r="U32" s="15">
        <f t="shared" si="7"/>
        <v>7.5383899488134</v>
      </c>
      <c r="V32" s="15">
        <f t="shared" si="8"/>
        <v>3.59760159893404</v>
      </c>
    </row>
    <row r="33" ht="14.25" spans="2:22">
      <c r="B33" s="6">
        <v>45108</v>
      </c>
      <c r="C33" s="7">
        <v>692.8</v>
      </c>
      <c r="D33" s="8">
        <v>221.1</v>
      </c>
      <c r="E33" s="9">
        <v>93.8</v>
      </c>
      <c r="F33" s="9">
        <v>127.3</v>
      </c>
      <c r="G33" s="13">
        <f t="shared" si="2"/>
        <v>0.424242424242424</v>
      </c>
      <c r="H33" s="8">
        <f t="shared" si="12"/>
        <v>471.7</v>
      </c>
      <c r="I33" s="12">
        <f t="shared" si="9"/>
        <v>27.5999999999999</v>
      </c>
      <c r="J33" s="8"/>
      <c r="K33" s="8"/>
      <c r="L33" s="8">
        <v>6.2</v>
      </c>
      <c r="M33" s="8">
        <f t="shared" si="10"/>
        <v>3</v>
      </c>
      <c r="N33" s="8">
        <f t="shared" si="10"/>
        <v>3.3</v>
      </c>
      <c r="O33" s="8">
        <f t="shared" si="11"/>
        <v>21.3999999999999</v>
      </c>
      <c r="P33" s="8">
        <v>78</v>
      </c>
      <c r="Q33" s="8">
        <f t="shared" si="4"/>
        <v>2.82608695652175</v>
      </c>
      <c r="R33" s="13">
        <f t="shared" si="1"/>
        <v>0.319139722863741</v>
      </c>
      <c r="T33" s="15">
        <f t="shared" si="6"/>
        <v>0</v>
      </c>
      <c r="U33" s="15">
        <f t="shared" si="7"/>
        <v>0</v>
      </c>
      <c r="V33" s="15">
        <f t="shared" si="8"/>
        <v>0</v>
      </c>
    </row>
    <row r="34" ht="14.25" spans="2:22">
      <c r="B34" s="6">
        <v>45139</v>
      </c>
      <c r="C34" s="7">
        <v>720.8</v>
      </c>
      <c r="D34" s="8">
        <v>227.2</v>
      </c>
      <c r="E34" s="9">
        <v>96.3</v>
      </c>
      <c r="F34" s="9">
        <v>130.7</v>
      </c>
      <c r="G34" s="13">
        <f t="shared" si="2"/>
        <v>0.423855633802817</v>
      </c>
      <c r="H34" s="8">
        <f t="shared" si="12"/>
        <v>493.6</v>
      </c>
      <c r="I34" s="12">
        <f t="shared" si="9"/>
        <v>28</v>
      </c>
      <c r="J34" s="8"/>
      <c r="K34" s="8"/>
      <c r="L34" s="8">
        <v>6.1</v>
      </c>
      <c r="M34" s="8">
        <f t="shared" ref="M34:N35" si="13">E34-E33</f>
        <v>2.5</v>
      </c>
      <c r="N34" s="8">
        <f t="shared" si="13"/>
        <v>3.39999999999999</v>
      </c>
      <c r="O34" s="8">
        <f t="shared" si="11"/>
        <v>21.9</v>
      </c>
      <c r="P34" s="8">
        <v>84.6</v>
      </c>
      <c r="Q34" s="8">
        <f t="shared" si="4"/>
        <v>3.02142857142857</v>
      </c>
      <c r="R34" s="13">
        <f t="shared" si="1"/>
        <v>0.315205327413984</v>
      </c>
      <c r="T34" s="15">
        <f t="shared" si="6"/>
        <v>0</v>
      </c>
      <c r="U34" s="15">
        <f t="shared" si="7"/>
        <v>0</v>
      </c>
      <c r="V34" s="15">
        <f t="shared" si="8"/>
        <v>0</v>
      </c>
    </row>
    <row r="35" ht="14.25" spans="2:22">
      <c r="B35" s="6">
        <v>45170</v>
      </c>
      <c r="C35" s="7">
        <v>764.2</v>
      </c>
      <c r="D35" s="8">
        <v>246.2</v>
      </c>
      <c r="E35" s="9">
        <v>106.1</v>
      </c>
      <c r="F35" s="9">
        <v>140</v>
      </c>
      <c r="G35" s="13">
        <f t="shared" si="2"/>
        <v>0.430950446791227</v>
      </c>
      <c r="H35" s="8">
        <f t="shared" si="12"/>
        <v>518</v>
      </c>
      <c r="I35" s="12">
        <f t="shared" si="9"/>
        <v>43.4000000000001</v>
      </c>
      <c r="J35" s="8"/>
      <c r="K35" s="8"/>
      <c r="L35" s="8">
        <v>19</v>
      </c>
      <c r="M35" s="8">
        <f t="shared" si="13"/>
        <v>9.8</v>
      </c>
      <c r="N35" s="8">
        <f t="shared" si="13"/>
        <v>9.30000000000001</v>
      </c>
      <c r="O35" s="8">
        <f t="shared" si="11"/>
        <v>24.4</v>
      </c>
      <c r="P35" s="8">
        <v>90.4</v>
      </c>
      <c r="Q35" s="8">
        <f t="shared" si="4"/>
        <v>2.08294930875576</v>
      </c>
      <c r="R35" s="13">
        <f t="shared" si="1"/>
        <v>0.322166971996859</v>
      </c>
      <c r="S35" s="14">
        <v>1821</v>
      </c>
      <c r="T35" s="15">
        <f t="shared" si="6"/>
        <v>2.38288406176394</v>
      </c>
      <c r="U35" s="15">
        <f t="shared" si="7"/>
        <v>7.39642567018684</v>
      </c>
      <c r="V35" s="15">
        <f t="shared" si="8"/>
        <v>3.51544401544402</v>
      </c>
    </row>
    <row r="36" ht="14.25" spans="2:22">
      <c r="B36" s="6">
        <v>45200</v>
      </c>
      <c r="C36" s="7">
        <v>795.4</v>
      </c>
      <c r="D36" s="8">
        <v>252.5</v>
      </c>
      <c r="E36" s="9">
        <v>109</v>
      </c>
      <c r="F36" s="9">
        <v>143.5</v>
      </c>
      <c r="G36" s="13">
        <f t="shared" si="2"/>
        <v>0.431683168316832</v>
      </c>
      <c r="H36" s="8">
        <f t="shared" si="12"/>
        <v>542.9</v>
      </c>
      <c r="I36" s="12">
        <f t="shared" si="9"/>
        <v>31.1999999999999</v>
      </c>
      <c r="J36" s="16">
        <f t="shared" ref="J36:J46" si="14">I36/I24-1</f>
        <v>0.418181818181814</v>
      </c>
      <c r="K36" s="16">
        <f t="shared" ref="K36:K46" si="15">I36/I35-1</f>
        <v>-0.281105990783413</v>
      </c>
      <c r="L36" s="8">
        <v>6.3</v>
      </c>
      <c r="M36" s="8">
        <f t="shared" ref="M36:M46" si="16">E36-E35</f>
        <v>2.90000000000001</v>
      </c>
      <c r="N36" s="8">
        <f t="shared" ref="N36:N46" si="17">F36-F35</f>
        <v>3.5</v>
      </c>
      <c r="O36" s="8">
        <f t="shared" si="11"/>
        <v>24.9</v>
      </c>
      <c r="P36" s="8">
        <f>728-627.8</f>
        <v>100.2</v>
      </c>
      <c r="Q36" s="8">
        <f t="shared" ref="Q36:Q50" si="18">P36/I36</f>
        <v>3.21153846153847</v>
      </c>
      <c r="R36" s="13">
        <f t="shared" si="1"/>
        <v>0.317450339451848</v>
      </c>
      <c r="T36" s="15">
        <f t="shared" si="6"/>
        <v>0</v>
      </c>
      <c r="U36" s="15">
        <f t="shared" si="7"/>
        <v>0</v>
      </c>
      <c r="V36" s="15">
        <f t="shared" si="8"/>
        <v>0</v>
      </c>
    </row>
    <row r="37" ht="14.25" spans="2:22">
      <c r="B37" s="6">
        <v>45231</v>
      </c>
      <c r="C37" s="7">
        <v>826.4</v>
      </c>
      <c r="D37" s="8">
        <v>262.6</v>
      </c>
      <c r="E37" s="9">
        <v>114.08</v>
      </c>
      <c r="F37" s="9">
        <v>147.7</v>
      </c>
      <c r="G37" s="13">
        <f t="shared" si="2"/>
        <v>0.434424980959634</v>
      </c>
      <c r="H37" s="8">
        <f t="shared" si="12"/>
        <v>563.8</v>
      </c>
      <c r="I37" s="12">
        <f t="shared" si="9"/>
        <v>31</v>
      </c>
      <c r="J37" s="16">
        <f t="shared" si="14"/>
        <v>0.324786324786325</v>
      </c>
      <c r="K37" s="16">
        <f t="shared" si="15"/>
        <v>-0.00641025641025428</v>
      </c>
      <c r="L37" s="8">
        <v>10.1</v>
      </c>
      <c r="M37" s="8">
        <f t="shared" si="16"/>
        <v>5.08</v>
      </c>
      <c r="N37" s="8">
        <f t="shared" si="17"/>
        <v>4.19999999999999</v>
      </c>
      <c r="O37" s="8">
        <f t="shared" si="11"/>
        <v>20.9</v>
      </c>
      <c r="P37" s="8">
        <v>102.6</v>
      </c>
      <c r="Q37" s="8">
        <f t="shared" si="18"/>
        <v>3.30967741935484</v>
      </c>
      <c r="R37" s="13">
        <f t="shared" si="1"/>
        <v>0.317763794772507</v>
      </c>
      <c r="T37" s="15">
        <f t="shared" si="6"/>
        <v>0</v>
      </c>
      <c r="U37" s="15">
        <f t="shared" si="7"/>
        <v>0</v>
      </c>
      <c r="V37" s="15">
        <f t="shared" si="8"/>
        <v>0</v>
      </c>
    </row>
    <row r="38" ht="14.25" spans="2:22">
      <c r="B38" s="6">
        <v>45261</v>
      </c>
      <c r="C38" s="7">
        <v>859.6</v>
      </c>
      <c r="D38" s="8">
        <v>272.6</v>
      </c>
      <c r="E38" s="9">
        <v>120.3</v>
      </c>
      <c r="F38" s="9">
        <v>152.2</v>
      </c>
      <c r="G38" s="13">
        <f t="shared" si="2"/>
        <v>0.441305942773294</v>
      </c>
      <c r="H38" s="8">
        <f t="shared" si="12"/>
        <v>587</v>
      </c>
      <c r="I38" s="12">
        <f t="shared" si="9"/>
        <v>33.2</v>
      </c>
      <c r="J38" s="16">
        <f t="shared" si="14"/>
        <v>0.27692307692308</v>
      </c>
      <c r="K38" s="16">
        <f t="shared" si="15"/>
        <v>0.0709677419354853</v>
      </c>
      <c r="L38" s="8">
        <v>10</v>
      </c>
      <c r="M38" s="8">
        <f t="shared" si="16"/>
        <v>6.22</v>
      </c>
      <c r="N38" s="8">
        <f t="shared" si="17"/>
        <v>4.5</v>
      </c>
      <c r="O38" s="8">
        <f t="shared" si="11"/>
        <v>23.2</v>
      </c>
      <c r="P38" s="8">
        <v>119.2096</v>
      </c>
      <c r="Q38" s="8">
        <f t="shared" si="18"/>
        <v>3.59065060240963</v>
      </c>
      <c r="R38" s="13">
        <f t="shared" si="1"/>
        <v>0.317124243834342</v>
      </c>
      <c r="S38">
        <v>2041</v>
      </c>
      <c r="T38" s="15">
        <f t="shared" si="6"/>
        <v>2.37436016751978</v>
      </c>
      <c r="U38" s="15">
        <f t="shared" si="7"/>
        <v>7.48716067498166</v>
      </c>
      <c r="V38" s="15">
        <f t="shared" si="8"/>
        <v>3.47700170357751</v>
      </c>
    </row>
    <row r="39" ht="14.25" spans="2:22">
      <c r="B39" s="6">
        <v>45292</v>
      </c>
      <c r="C39" s="7">
        <v>886.1</v>
      </c>
      <c r="D39" s="8">
        <v>278.2</v>
      </c>
      <c r="E39" s="9">
        <v>121.4</v>
      </c>
      <c r="F39" s="9">
        <v>156.7</v>
      </c>
      <c r="G39" s="13">
        <f t="shared" si="2"/>
        <v>0.436376707404745</v>
      </c>
      <c r="H39" s="8">
        <f t="shared" si="12"/>
        <v>607.9</v>
      </c>
      <c r="I39" s="12">
        <f t="shared" si="9"/>
        <v>26.5</v>
      </c>
      <c r="J39" s="16">
        <f t="shared" si="14"/>
        <v>0.311881188118809</v>
      </c>
      <c r="K39" s="16">
        <f t="shared" si="15"/>
        <v>-0.201807228915664</v>
      </c>
      <c r="L39" s="8">
        <v>5.61</v>
      </c>
      <c r="M39" s="8">
        <f t="shared" si="16"/>
        <v>1.10000000000001</v>
      </c>
      <c r="N39" s="8">
        <f t="shared" si="17"/>
        <v>4.5</v>
      </c>
      <c r="O39" s="8">
        <f t="shared" si="11"/>
        <v>20.9000000000001</v>
      </c>
      <c r="P39" s="8">
        <v>72.9</v>
      </c>
      <c r="Q39" s="8">
        <f t="shared" si="18"/>
        <v>2.75094339622641</v>
      </c>
      <c r="R39" s="13">
        <f t="shared" si="1"/>
        <v>0.313960049655795</v>
      </c>
    </row>
    <row r="40" ht="14.25" spans="2:22">
      <c r="B40" s="6">
        <v>45323</v>
      </c>
      <c r="C40" s="7">
        <v>902.3</v>
      </c>
      <c r="D40" s="8">
        <v>282.6</v>
      </c>
      <c r="E40" s="9">
        <v>123.9</v>
      </c>
      <c r="F40" s="9">
        <v>158.6</v>
      </c>
      <c r="G40" s="13">
        <f t="shared" si="2"/>
        <v>0.438428874734607</v>
      </c>
      <c r="H40" s="8">
        <f t="shared" si="12"/>
        <v>619.7</v>
      </c>
      <c r="I40" s="12">
        <f t="shared" si="9"/>
        <v>16.1999999999999</v>
      </c>
      <c r="J40" s="16">
        <f t="shared" si="14"/>
        <v>-0.0847457627118647</v>
      </c>
      <c r="K40" s="16">
        <f t="shared" si="15"/>
        <v>-0.388679245283021</v>
      </c>
      <c r="L40" s="8">
        <v>4.4</v>
      </c>
      <c r="M40" s="8">
        <f t="shared" si="16"/>
        <v>2.5</v>
      </c>
      <c r="N40" s="8">
        <f t="shared" si="17"/>
        <v>1.90000000000001</v>
      </c>
      <c r="O40" s="8">
        <f t="shared" si="11"/>
        <v>11.7999999999998</v>
      </c>
      <c r="P40" s="8">
        <v>47.7</v>
      </c>
      <c r="Q40" s="8">
        <f t="shared" si="18"/>
        <v>2.94444444444446</v>
      </c>
      <c r="R40" s="13">
        <f t="shared" si="1"/>
        <v>0.313199601019617</v>
      </c>
    </row>
    <row r="41" ht="14.25" spans="2:22">
      <c r="B41" s="6">
        <v>45352</v>
      </c>
      <c r="C41" s="7">
        <v>931.2</v>
      </c>
      <c r="D41" s="8">
        <v>290.9</v>
      </c>
      <c r="E41" s="9">
        <v>127.8</v>
      </c>
      <c r="F41" s="9">
        <v>163.1</v>
      </c>
      <c r="G41" s="13">
        <f t="shared" si="2"/>
        <v>0.439326228944655</v>
      </c>
      <c r="H41" s="8">
        <f t="shared" si="12"/>
        <v>640.3</v>
      </c>
      <c r="I41" s="12">
        <f t="shared" si="9"/>
        <v>28.9000000000001</v>
      </c>
      <c r="J41" s="16">
        <f t="shared" si="14"/>
        <v>0.137795275590551</v>
      </c>
      <c r="K41" s="16">
        <f t="shared" si="15"/>
        <v>0.783950617283964</v>
      </c>
      <c r="L41" s="8">
        <v>8.3</v>
      </c>
      <c r="M41" s="8">
        <f t="shared" si="16"/>
        <v>3.89999999999999</v>
      </c>
      <c r="N41" s="8">
        <f t="shared" si="17"/>
        <v>4.5</v>
      </c>
      <c r="O41" s="8">
        <f t="shared" si="11"/>
        <v>20.6000000000001</v>
      </c>
      <c r="P41" s="8">
        <v>88.3</v>
      </c>
      <c r="Q41" s="8">
        <f t="shared" si="18"/>
        <v>3.0553633217993</v>
      </c>
      <c r="R41" s="13">
        <f t="shared" si="1"/>
        <v>0.312392611683849</v>
      </c>
    </row>
    <row r="42" ht="14.25" spans="2:22">
      <c r="B42" s="6">
        <v>45383</v>
      </c>
      <c r="C42" s="7">
        <v>961.3</v>
      </c>
      <c r="D42" s="8">
        <v>297.7</v>
      </c>
      <c r="E42" s="8">
        <v>131.5</v>
      </c>
      <c r="F42" s="8">
        <v>166.1</v>
      </c>
      <c r="G42" s="13">
        <f t="shared" si="2"/>
        <v>0.441719852200202</v>
      </c>
      <c r="H42" s="8">
        <v>697.9</v>
      </c>
      <c r="I42" s="12">
        <f t="shared" si="9"/>
        <v>30.0999999999999</v>
      </c>
      <c r="J42" s="16">
        <f t="shared" si="14"/>
        <v>0.203999999999996</v>
      </c>
      <c r="K42" s="16">
        <f t="shared" si="15"/>
        <v>0.0415224913494745</v>
      </c>
      <c r="L42" s="8">
        <f t="shared" ref="L42:L54" si="19">D42-D41</f>
        <v>6.80000000000001</v>
      </c>
      <c r="M42" s="8">
        <f t="shared" si="16"/>
        <v>3.7</v>
      </c>
      <c r="N42" s="8">
        <f t="shared" si="17"/>
        <v>3</v>
      </c>
      <c r="O42" s="8">
        <f t="shared" si="11"/>
        <v>57.5999999999999</v>
      </c>
      <c r="P42" s="8">
        <v>85</v>
      </c>
      <c r="Q42" s="8">
        <f t="shared" si="18"/>
        <v>2.82392026578074</v>
      </c>
      <c r="R42" s="13">
        <f t="shared" si="1"/>
        <v>0.309684801830854</v>
      </c>
    </row>
    <row r="43" ht="14.25" spans="2:22">
      <c r="B43" s="6">
        <v>45413</v>
      </c>
      <c r="C43" s="7">
        <v>992.4</v>
      </c>
      <c r="D43" s="8">
        <v>304.9</v>
      </c>
      <c r="E43" s="9">
        <v>134.7</v>
      </c>
      <c r="F43" s="9">
        <v>170.2</v>
      </c>
      <c r="G43" s="13">
        <f t="shared" si="2"/>
        <v>0.441784191538209</v>
      </c>
      <c r="H43" s="8">
        <v>687.4</v>
      </c>
      <c r="I43" s="12">
        <f t="shared" si="9"/>
        <v>31.1</v>
      </c>
      <c r="J43" s="16">
        <f t="shared" si="14"/>
        <v>0.178030303030305</v>
      </c>
      <c r="K43" s="16">
        <f t="shared" si="15"/>
        <v>0.03322259136213</v>
      </c>
      <c r="L43" s="8">
        <f t="shared" si="19"/>
        <v>7.19999999999999</v>
      </c>
      <c r="M43" s="8">
        <f t="shared" si="16"/>
        <v>3.19999999999999</v>
      </c>
      <c r="N43" s="8">
        <f t="shared" si="17"/>
        <v>4.09999999999999</v>
      </c>
      <c r="O43" s="8">
        <f t="shared" si="11"/>
        <v>-10.5</v>
      </c>
      <c r="P43" s="8">
        <v>86</v>
      </c>
      <c r="Q43" s="8">
        <f t="shared" si="18"/>
        <v>2.7652733118971</v>
      </c>
      <c r="R43" s="13">
        <f t="shared" si="1"/>
        <v>0.307234985892785</v>
      </c>
    </row>
    <row r="44" ht="14.25" spans="2:22">
      <c r="B44" s="6">
        <v>45444</v>
      </c>
      <c r="C44" s="7">
        <v>1024.3</v>
      </c>
      <c r="D44" s="8">
        <v>312.2</v>
      </c>
      <c r="E44" s="9">
        <v>139.2</v>
      </c>
      <c r="F44" s="9">
        <v>173</v>
      </c>
      <c r="G44" s="13">
        <f t="shared" si="2"/>
        <v>0.445868033311979</v>
      </c>
      <c r="H44" s="8">
        <v>712.2</v>
      </c>
      <c r="I44" s="12">
        <f t="shared" si="9"/>
        <v>31.9</v>
      </c>
      <c r="J44" s="16">
        <f t="shared" si="14"/>
        <v>0.0777027027027011</v>
      </c>
      <c r="K44" s="16">
        <f t="shared" si="15"/>
        <v>0.0257234726688087</v>
      </c>
      <c r="L44" s="8">
        <f t="shared" si="19"/>
        <v>7.30000000000001</v>
      </c>
      <c r="M44" s="8">
        <f t="shared" si="16"/>
        <v>4.5</v>
      </c>
      <c r="N44" s="8">
        <f t="shared" si="17"/>
        <v>2.80000000000001</v>
      </c>
      <c r="O44" s="8">
        <f t="shared" si="11"/>
        <v>24.8000000000001</v>
      </c>
      <c r="P44" s="8">
        <v>104.9</v>
      </c>
      <c r="Q44" s="8">
        <f t="shared" si="18"/>
        <v>3.2884012539185</v>
      </c>
      <c r="R44" s="13">
        <f t="shared" si="1"/>
        <v>0.304793517524163</v>
      </c>
      <c r="S44" s="14">
        <v>2472</v>
      </c>
      <c r="T44" s="15">
        <f>S44/C44</f>
        <v>2.41335546226691</v>
      </c>
      <c r="U44" s="15">
        <f>S44/D44</f>
        <v>7.91800128122998</v>
      </c>
      <c r="V44" s="15">
        <f>S44/H44</f>
        <v>3.4709351305813</v>
      </c>
    </row>
    <row r="45" ht="14.25" spans="2:22">
      <c r="B45" s="6">
        <v>45474</v>
      </c>
      <c r="C45" s="7">
        <v>1060.4</v>
      </c>
      <c r="D45" s="8">
        <v>320.9</v>
      </c>
      <c r="E45" s="9">
        <v>143.1</v>
      </c>
      <c r="F45" s="9">
        <v>177.8</v>
      </c>
      <c r="G45" s="13">
        <f t="shared" si="2"/>
        <v>0.445933312558429</v>
      </c>
      <c r="H45" s="8">
        <v>739.4</v>
      </c>
      <c r="I45" s="12">
        <f t="shared" si="9"/>
        <v>36.1000000000001</v>
      </c>
      <c r="J45" s="16">
        <f t="shared" si="14"/>
        <v>0.307971014492763</v>
      </c>
      <c r="K45" s="16">
        <f t="shared" si="15"/>
        <v>0.131661442006275</v>
      </c>
      <c r="L45" s="8">
        <f t="shared" si="19"/>
        <v>8.69999999999999</v>
      </c>
      <c r="M45" s="8">
        <f t="shared" si="16"/>
        <v>3.90000000000001</v>
      </c>
      <c r="N45" s="8">
        <f t="shared" si="17"/>
        <v>4.80000000000001</v>
      </c>
      <c r="O45" s="8">
        <f t="shared" si="11"/>
        <v>27.1999999999999</v>
      </c>
      <c r="P45" s="8">
        <v>99.1</v>
      </c>
      <c r="Q45" s="8">
        <f t="shared" si="18"/>
        <v>2.74515235457063</v>
      </c>
      <c r="R45" s="13">
        <f t="shared" si="1"/>
        <v>0.302621652206714</v>
      </c>
    </row>
    <row r="46" ht="14.25" spans="2:22">
      <c r="B46" s="6">
        <v>45505</v>
      </c>
      <c r="C46" s="7">
        <v>1099.9</v>
      </c>
      <c r="D46" s="8">
        <v>326.3</v>
      </c>
      <c r="E46" s="8">
        <v>146.1</v>
      </c>
      <c r="F46" s="8">
        <v>180.1</v>
      </c>
      <c r="G46" s="13">
        <f t="shared" si="2"/>
        <v>0.447747471651854</v>
      </c>
      <c r="H46" s="8">
        <v>773.6</v>
      </c>
      <c r="I46" s="12">
        <f t="shared" si="9"/>
        <v>39.5</v>
      </c>
      <c r="J46" s="16">
        <f t="shared" si="14"/>
        <v>0.410714285714286</v>
      </c>
      <c r="K46" s="16">
        <f t="shared" si="15"/>
        <v>0.0941828254847603</v>
      </c>
      <c r="L46" s="8">
        <f t="shared" si="19"/>
        <v>5.40000000000003</v>
      </c>
      <c r="M46" s="8">
        <f t="shared" si="16"/>
        <v>3</v>
      </c>
      <c r="N46" s="8">
        <f t="shared" si="17"/>
        <v>2.29999999999998</v>
      </c>
      <c r="O46" s="8">
        <f t="shared" si="11"/>
        <v>34.2</v>
      </c>
      <c r="P46" s="8">
        <v>110</v>
      </c>
      <c r="Q46" s="8">
        <f t="shared" si="18"/>
        <v>2.78481012658228</v>
      </c>
      <c r="R46" s="13">
        <f t="shared" si="1"/>
        <v>0.296663333030275</v>
      </c>
    </row>
    <row r="47" ht="14.25" spans="2:22">
      <c r="B47" s="6">
        <v>45536</v>
      </c>
      <c r="C47" s="7">
        <v>1143.3</v>
      </c>
      <c r="D47" s="8">
        <v>332.9</v>
      </c>
      <c r="E47" s="9">
        <v>150.1</v>
      </c>
      <c r="F47" s="9">
        <v>182.7</v>
      </c>
      <c r="G47" s="13">
        <f t="shared" si="2"/>
        <v>0.450886151997597</v>
      </c>
      <c r="H47" s="8">
        <v>810.4</v>
      </c>
      <c r="I47" s="12">
        <f t="shared" si="9"/>
        <v>43.3999999999999</v>
      </c>
      <c r="J47" s="16">
        <f t="shared" ref="J47:J48" si="20">I47/I35-1</f>
        <v>-5.21804821573824e-15</v>
      </c>
      <c r="K47" s="16">
        <f t="shared" ref="K47:K48" si="21">I47/I46-1</f>
        <v>0.0987341772151864</v>
      </c>
      <c r="L47" s="8">
        <f t="shared" si="19"/>
        <v>6.59999999999997</v>
      </c>
      <c r="M47" s="8">
        <f t="shared" ref="M47" si="22">E47-E46</f>
        <v>4</v>
      </c>
      <c r="N47" s="8">
        <f t="shared" ref="N47" si="23">F47-F46</f>
        <v>2.59999999999999</v>
      </c>
      <c r="O47" s="8">
        <f t="shared" ref="O47" si="24">H47-H46</f>
        <v>36.8</v>
      </c>
      <c r="P47" s="8">
        <v>128.7</v>
      </c>
      <c r="Q47" s="8">
        <f t="shared" si="18"/>
        <v>2.96543778801844</v>
      </c>
      <c r="R47" s="13">
        <f t="shared" si="1"/>
        <v>0.291174669815446</v>
      </c>
    </row>
    <row r="48" ht="14.25" spans="2:22">
      <c r="B48" s="6">
        <v>45566</v>
      </c>
      <c r="C48" s="7">
        <v>1188.4</v>
      </c>
      <c r="D48" s="8">
        <v>339.1</v>
      </c>
      <c r="E48" s="9">
        <v>153.5</v>
      </c>
      <c r="F48" s="9">
        <v>185.5</v>
      </c>
      <c r="G48" s="13">
        <f t="shared" si="2"/>
        <v>0.452668829253907</v>
      </c>
      <c r="H48" s="8">
        <v>859.3</v>
      </c>
      <c r="I48" s="12">
        <f t="shared" ref="I48" si="25">C48-C47</f>
        <v>45.1000000000001</v>
      </c>
      <c r="J48" s="16">
        <f t="shared" si="20"/>
        <v>0.445512820512828</v>
      </c>
      <c r="K48" s="16">
        <f t="shared" si="21"/>
        <v>0.0391705069124488</v>
      </c>
      <c r="L48" s="8">
        <f t="shared" si="19"/>
        <v>6.20000000000005</v>
      </c>
      <c r="M48" s="8">
        <f t="shared" ref="M48:M54" si="26">E48-E47</f>
        <v>3.40000000000001</v>
      </c>
      <c r="N48" s="8">
        <f t="shared" ref="N48:N50" si="27">F48-F47</f>
        <v>2.80000000000001</v>
      </c>
      <c r="O48" s="8">
        <f t="shared" ref="O48:O54" si="28">H48-H47</f>
        <v>48.9</v>
      </c>
      <c r="P48" s="8">
        <v>143</v>
      </c>
      <c r="Q48" s="8">
        <f t="shared" si="18"/>
        <v>3.17073170731706</v>
      </c>
      <c r="R48" s="13">
        <f t="shared" si="1"/>
        <v>0.285341635812858</v>
      </c>
    </row>
    <row r="49" ht="14.25" spans="2:22">
      <c r="B49" s="6">
        <v>45597</v>
      </c>
      <c r="C49" s="7">
        <v>1235.2</v>
      </c>
      <c r="D49" s="8">
        <v>346</v>
      </c>
      <c r="E49" s="9">
        <v>157.5</v>
      </c>
      <c r="F49" s="9">
        <v>188.5</v>
      </c>
      <c r="G49" s="13">
        <f t="shared" si="2"/>
        <v>0.455202312138728</v>
      </c>
      <c r="H49" s="8">
        <v>889.2</v>
      </c>
      <c r="I49" s="12">
        <f t="shared" si="9"/>
        <v>46.8</v>
      </c>
      <c r="J49" s="16">
        <f t="shared" ref="J49:J51" si="29">I49/I37-1</f>
        <v>0.509677419354837</v>
      </c>
      <c r="K49" s="16">
        <f t="shared" ref="K49:K51" si="30">I49/I48-1</f>
        <v>0.0376940133037653</v>
      </c>
      <c r="L49" s="8">
        <f t="shared" si="19"/>
        <v>6.89999999999998</v>
      </c>
      <c r="M49" s="8">
        <f t="shared" si="26"/>
        <v>4</v>
      </c>
      <c r="N49" s="8">
        <f t="shared" si="27"/>
        <v>3</v>
      </c>
      <c r="O49" s="8">
        <f t="shared" si="28"/>
        <v>29.9000000000001</v>
      </c>
      <c r="P49" s="8">
        <v>151.2</v>
      </c>
      <c r="Q49" s="8">
        <f t="shared" si="18"/>
        <v>3.23076923076923</v>
      </c>
      <c r="R49" s="13">
        <f t="shared" si="1"/>
        <v>0.280116580310881</v>
      </c>
    </row>
    <row r="50" ht="14.25" spans="2:22">
      <c r="B50" s="6">
        <v>45627</v>
      </c>
      <c r="C50" s="7">
        <v>1281.8</v>
      </c>
      <c r="D50" s="8">
        <v>357.9</v>
      </c>
      <c r="E50" s="9">
        <v>164.3</v>
      </c>
      <c r="F50" s="9">
        <v>193.6</v>
      </c>
      <c r="G50" s="13">
        <f t="shared" si="2"/>
        <v>0.459066778429729</v>
      </c>
      <c r="H50" s="8">
        <f>H38+336.8</f>
        <v>923.8</v>
      </c>
      <c r="I50" s="12">
        <f t="shared" si="9"/>
        <v>46.5999999999999</v>
      </c>
      <c r="J50" s="16">
        <f t="shared" si="29"/>
        <v>0.403614457831321</v>
      </c>
      <c r="K50" s="16">
        <f t="shared" si="30"/>
        <v>-0.00427350427350526</v>
      </c>
      <c r="L50" s="8">
        <f t="shared" si="19"/>
        <v>11.9</v>
      </c>
      <c r="M50" s="8">
        <f t="shared" si="26"/>
        <v>6.80000000000001</v>
      </c>
      <c r="N50" s="8">
        <f t="shared" si="27"/>
        <v>5.09999999999999</v>
      </c>
      <c r="O50" s="8">
        <f t="shared" si="28"/>
        <v>34.5999999999999</v>
      </c>
      <c r="P50" s="8">
        <v>151.2</v>
      </c>
      <c r="Q50" s="8">
        <f t="shared" si="18"/>
        <v>3.24463519313305</v>
      </c>
      <c r="R50" s="13">
        <f t="shared" si="1"/>
        <v>0.27921672647839</v>
      </c>
      <c r="S50" s="17">
        <v>3140</v>
      </c>
      <c r="T50" s="15">
        <f>S50/C50</f>
        <v>2.44968013730691</v>
      </c>
      <c r="U50" s="15">
        <f>S50/D50</f>
        <v>8.77340039117072</v>
      </c>
      <c r="V50" s="15">
        <f>S50/H50</f>
        <v>3.39900411344447</v>
      </c>
    </row>
    <row r="51" ht="14.25" spans="2:22">
      <c r="B51" s="6">
        <v>45658</v>
      </c>
      <c r="C51" s="7">
        <f>C50+39.5</f>
        <v>1321.3</v>
      </c>
      <c r="D51" s="8">
        <v>376</v>
      </c>
      <c r="E51" s="9">
        <v>171.4</v>
      </c>
      <c r="F51" s="9">
        <v>204.6</v>
      </c>
      <c r="G51" s="13">
        <f t="shared" si="2"/>
        <v>0.455851063829787</v>
      </c>
      <c r="H51" s="18">
        <f>H50+21.4</f>
        <v>945.2</v>
      </c>
      <c r="I51" s="12">
        <f t="shared" si="9"/>
        <v>39.5</v>
      </c>
      <c r="J51" s="16">
        <f t="shared" si="29"/>
        <v>0.490566037735849</v>
      </c>
      <c r="K51" s="16">
        <f t="shared" si="30"/>
        <v>-0.152360515021458</v>
      </c>
      <c r="L51" s="8">
        <f t="shared" si="19"/>
        <v>18.1</v>
      </c>
      <c r="M51" s="8">
        <f t="shared" si="26"/>
        <v>7.09999999999999</v>
      </c>
      <c r="N51" s="8">
        <f t="shared" ref="N51:N54" si="31">F51-F50</f>
        <v>11</v>
      </c>
      <c r="O51" s="8">
        <f t="shared" si="28"/>
        <v>21.4000000000001</v>
      </c>
      <c r="P51" s="8">
        <v>79.3</v>
      </c>
      <c r="Q51" s="8">
        <f t="shared" ref="Q51:Q54" si="32">P51/I51</f>
        <v>2.00759493670886</v>
      </c>
      <c r="R51" s="13">
        <f t="shared" ref="R51" si="33">D51/C51</f>
        <v>0.284568228260047</v>
      </c>
    </row>
    <row r="52" ht="14.25" spans="2:22">
      <c r="B52" s="6">
        <v>45689</v>
      </c>
      <c r="C52" s="7">
        <v>1345.1</v>
      </c>
      <c r="D52" s="8">
        <f>D51+7.2</f>
        <v>383.2</v>
      </c>
      <c r="E52" s="9">
        <v>175.8</v>
      </c>
      <c r="F52" s="9">
        <v>207.4</v>
      </c>
      <c r="G52" s="13">
        <f t="shared" si="2"/>
        <v>0.458768267223382</v>
      </c>
      <c r="H52" s="18">
        <f>H51+38.1</f>
        <v>983.3</v>
      </c>
      <c r="I52" s="12">
        <f t="shared" ref="I52:I53" si="34">C52-C51</f>
        <v>23.8</v>
      </c>
      <c r="J52" s="16">
        <f t="shared" ref="J52:J54" si="35">I52/I40-1</f>
        <v>0.469135802469142</v>
      </c>
      <c r="K52" s="16">
        <f t="shared" ref="K52:K54" si="36">I52/I51-1</f>
        <v>-0.397468354430381</v>
      </c>
      <c r="L52" s="8">
        <f t="shared" si="19"/>
        <v>7.19999999999999</v>
      </c>
      <c r="M52" s="8">
        <f t="shared" si="26"/>
        <v>4.40000000000001</v>
      </c>
      <c r="N52" s="8">
        <f t="shared" si="31"/>
        <v>2.80000000000001</v>
      </c>
      <c r="O52" s="8">
        <f t="shared" si="28"/>
        <v>38.0999999999999</v>
      </c>
      <c r="P52" s="8">
        <v>155.4</v>
      </c>
      <c r="Q52" s="8">
        <f t="shared" si="32"/>
        <v>6.52941176470589</v>
      </c>
      <c r="R52" s="13">
        <f t="shared" ref="R52:R54" si="37">D52/C52</f>
        <v>0.284885882090551</v>
      </c>
    </row>
    <row r="53" ht="14.25" spans="2:22">
      <c r="B53" s="6">
        <v>45717</v>
      </c>
      <c r="C53" s="7">
        <v>1374.9</v>
      </c>
      <c r="D53" s="8">
        <v>389.9</v>
      </c>
      <c r="E53" s="9">
        <v>178.5</v>
      </c>
      <c r="F53" s="9">
        <v>211.4</v>
      </c>
      <c r="G53" s="13">
        <f t="shared" si="2"/>
        <v>0.457809694793537</v>
      </c>
      <c r="H53" s="18">
        <v>984.9</v>
      </c>
      <c r="I53" s="12">
        <f t="shared" si="34"/>
        <v>29.8000000000002</v>
      </c>
      <c r="J53" s="16">
        <f t="shared" si="35"/>
        <v>0.0311418685121134</v>
      </c>
      <c r="K53" s="16">
        <f t="shared" si="36"/>
        <v>0.252100840336144</v>
      </c>
      <c r="L53" s="8">
        <f t="shared" si="19"/>
        <v>6.69999999999999</v>
      </c>
      <c r="M53" s="8">
        <f t="shared" si="26"/>
        <v>2.69999999999999</v>
      </c>
      <c r="N53" s="8">
        <f t="shared" si="31"/>
        <v>4</v>
      </c>
      <c r="O53" s="8">
        <f t="shared" si="28"/>
        <v>1.60000000000002</v>
      </c>
      <c r="P53" s="8">
        <v>156.4</v>
      </c>
      <c r="Q53" s="8">
        <f t="shared" si="32"/>
        <v>5.24832214765097</v>
      </c>
      <c r="R53" s="13">
        <f t="shared" si="37"/>
        <v>0.283584260673504</v>
      </c>
    </row>
    <row r="54" ht="14.25" spans="2:22">
      <c r="B54" s="6">
        <v>45748</v>
      </c>
      <c r="C54" s="7">
        <v>1375.9</v>
      </c>
      <c r="D54" s="8">
        <v>399.2</v>
      </c>
      <c r="E54" s="8">
        <v>183.4</v>
      </c>
      <c r="F54" s="8">
        <v>215.7</v>
      </c>
      <c r="G54" s="8">
        <f t="shared" si="2"/>
        <v>0.459418837675351</v>
      </c>
      <c r="H54" s="8">
        <v>1007.2</v>
      </c>
      <c r="I54" s="7">
        <v>31.5</v>
      </c>
      <c r="J54" s="8">
        <f t="shared" si="35"/>
        <v>0.0465116279069804</v>
      </c>
      <c r="K54" s="8">
        <f t="shared" si="36"/>
        <v>0.0570469798657653</v>
      </c>
      <c r="L54" s="8">
        <f t="shared" si="19"/>
        <v>9.30000000000001</v>
      </c>
      <c r="M54" s="8">
        <f t="shared" si="26"/>
        <v>4.90000000000001</v>
      </c>
      <c r="N54" s="8">
        <f t="shared" si="31"/>
        <v>4.29999999999998</v>
      </c>
      <c r="O54" s="8">
        <f t="shared" si="28"/>
        <v>22.3000000000001</v>
      </c>
      <c r="P54" s="8">
        <v>122.6</v>
      </c>
      <c r="Q54" s="8">
        <f t="shared" si="32"/>
        <v>3.89206349206349</v>
      </c>
      <c r="R54" s="8">
        <f t="shared" si="37"/>
        <v>0.290137364634058</v>
      </c>
    </row>
    <row r="77" customHeight="1"/>
    <row r="78" customHeight="1"/>
    <row r="83" ht="39" customHeight="1" spans="2:9">
      <c r="B83" s="2" t="s">
        <v>404</v>
      </c>
      <c r="C83" s="1" t="s">
        <v>405</v>
      </c>
      <c r="D83" s="1" t="s">
        <v>411</v>
      </c>
      <c r="E83" s="1" t="s">
        <v>426</v>
      </c>
      <c r="F83" s="1" t="s">
        <v>427</v>
      </c>
      <c r="G83" s="3" t="s">
        <v>420</v>
      </c>
      <c r="H83" s="1" t="s">
        <v>428</v>
      </c>
      <c r="I83" s="4"/>
    </row>
    <row r="84" spans="2:9">
      <c r="B84">
        <v>2018</v>
      </c>
      <c r="C84" s="19">
        <v>77.7</v>
      </c>
      <c r="D84" s="19">
        <v>33.1</v>
      </c>
      <c r="E84" s="19">
        <v>8.6</v>
      </c>
      <c r="F84" s="19">
        <v>24.5</v>
      </c>
      <c r="G84" s="20">
        <v>0.3861</v>
      </c>
      <c r="H84" s="20">
        <v>0.3667</v>
      </c>
    </row>
    <row r="85" spans="2:9">
      <c r="B85">
        <v>2019</v>
      </c>
      <c r="C85" s="19">
        <v>121.9</v>
      </c>
      <c r="D85" s="19">
        <v>41.1</v>
      </c>
      <c r="E85" s="19">
        <v>18.5</v>
      </c>
      <c r="F85" s="19">
        <v>22.6</v>
      </c>
      <c r="G85" s="20">
        <v>0.4233</v>
      </c>
      <c r="H85" s="20">
        <v>0.4167</v>
      </c>
    </row>
    <row r="86" spans="2:9">
      <c r="B86">
        <v>2020</v>
      </c>
      <c r="C86" s="19">
        <v>168.1</v>
      </c>
      <c r="D86" s="19">
        <v>46.2</v>
      </c>
      <c r="E86" s="19">
        <v>29.1</v>
      </c>
      <c r="F86" s="19">
        <v>17.1</v>
      </c>
      <c r="G86" s="20">
        <v>0.4801</v>
      </c>
      <c r="H86" s="20">
        <v>0.3829</v>
      </c>
    </row>
    <row r="87" spans="2:9">
      <c r="B87">
        <v>2021</v>
      </c>
      <c r="C87" s="19">
        <v>261.7</v>
      </c>
      <c r="D87" s="19">
        <v>93.6</v>
      </c>
      <c r="E87" s="19">
        <v>34</v>
      </c>
      <c r="F87" s="19">
        <v>59.7</v>
      </c>
      <c r="G87" s="20">
        <v>0.4383</v>
      </c>
      <c r="H87" s="20">
        <v>0.4098</v>
      </c>
    </row>
    <row r="88" spans="2:9">
      <c r="B88">
        <v>2022</v>
      </c>
      <c r="C88" s="19">
        <v>521</v>
      </c>
      <c r="D88" s="19">
        <v>259.3</v>
      </c>
      <c r="E88" s="19">
        <v>65.1</v>
      </c>
      <c r="F88" s="19">
        <v>194.2</v>
      </c>
      <c r="G88" s="20">
        <v>0.3449</v>
      </c>
      <c r="H88" s="20">
        <v>0.4235</v>
      </c>
    </row>
    <row r="89" spans="2:9">
      <c r="B89" s="21">
        <v>2023</v>
      </c>
      <c r="C89" s="19">
        <v>859.6</v>
      </c>
      <c r="D89" s="19">
        <f>C89-C88</f>
        <v>338.6</v>
      </c>
      <c r="E89" s="19">
        <f>D38-D26</f>
        <v>92.9</v>
      </c>
      <c r="F89" s="19">
        <f>H38-H26</f>
        <v>245.8</v>
      </c>
      <c r="G89" s="20">
        <f>D38/C38</f>
        <v>0.317124243834342</v>
      </c>
      <c r="H89" s="20">
        <v>0.4413</v>
      </c>
    </row>
    <row r="90" spans="2:9">
      <c r="B90">
        <v>2024</v>
      </c>
      <c r="C90">
        <v>1281.8</v>
      </c>
      <c r="D90" s="19">
        <f>C90-C89</f>
        <v>422.2</v>
      </c>
      <c r="E90" s="19">
        <f>D50-D38</f>
        <v>85.3</v>
      </c>
      <c r="F90" s="18">
        <f>H50-H38</f>
        <v>336.8</v>
      </c>
      <c r="G90" s="20">
        <f>D50/C50</f>
        <v>0.27921672647839</v>
      </c>
      <c r="H90" s="20">
        <f>E50/D50</f>
        <v>0.459066778429729</v>
      </c>
    </row>
    <row r="144" spans="3:7">
      <c r="C144" t="s">
        <v>429</v>
      </c>
      <c r="D144" t="s">
        <v>430</v>
      </c>
      <c r="E144" t="s">
        <v>431</v>
      </c>
      <c r="F144" t="s">
        <v>432</v>
      </c>
      <c r="G144" t="s">
        <v>422</v>
      </c>
    </row>
    <row r="145" spans="2:7">
      <c r="B145" t="s">
        <v>37</v>
      </c>
      <c r="C145" s="22">
        <v>29.99997</v>
      </c>
      <c r="D145" s="22">
        <v>47.70003</v>
      </c>
      <c r="E145" s="22">
        <v>311.999688</v>
      </c>
      <c r="F145" s="22">
        <f>E145/C145</f>
        <v>10.4</v>
      </c>
      <c r="G145" s="22">
        <f>E145/(C145+D145)</f>
        <v>4.01544</v>
      </c>
    </row>
    <row r="146" spans="2:7">
      <c r="B146" t="s">
        <v>38</v>
      </c>
      <c r="C146" s="22">
        <v>51.60027</v>
      </c>
      <c r="D146" s="22">
        <v>70.29973</v>
      </c>
      <c r="E146" s="22">
        <v>412.80216</v>
      </c>
      <c r="F146" s="22">
        <f t="shared" ref="F146:F150" si="38">E146/C146</f>
        <v>8</v>
      </c>
      <c r="G146" s="22">
        <f t="shared" ref="G146:G150" si="39">E146/(C146+D146)</f>
        <v>3.3864</v>
      </c>
    </row>
    <row r="147" spans="2:7">
      <c r="B147" t="s">
        <v>39</v>
      </c>
      <c r="C147" s="22">
        <v>80.70481</v>
      </c>
      <c r="D147" s="22">
        <v>87.39519</v>
      </c>
      <c r="E147" s="22">
        <v>492</v>
      </c>
      <c r="F147" s="22">
        <f t="shared" si="38"/>
        <v>6.09629091500246</v>
      </c>
      <c r="G147" s="22">
        <f t="shared" si="39"/>
        <v>2.92682926829268</v>
      </c>
    </row>
    <row r="148" spans="2:7">
      <c r="B148" t="s">
        <v>41</v>
      </c>
      <c r="C148" s="22">
        <v>114.70311</v>
      </c>
      <c r="D148" s="22">
        <v>146.99689</v>
      </c>
      <c r="E148" s="22">
        <v>784</v>
      </c>
      <c r="F148" s="22">
        <f t="shared" si="38"/>
        <v>6.83503699245818</v>
      </c>
      <c r="G148" s="22">
        <f t="shared" si="39"/>
        <v>2.99579671379442</v>
      </c>
    </row>
    <row r="149" spans="2:7">
      <c r="B149" t="s">
        <v>43</v>
      </c>
      <c r="C149" s="22">
        <v>179.6929</v>
      </c>
      <c r="D149" s="22">
        <v>341.3071</v>
      </c>
      <c r="E149" s="22">
        <v>1310</v>
      </c>
      <c r="F149" s="22">
        <f t="shared" si="38"/>
        <v>7.29021569577874</v>
      </c>
      <c r="G149" s="22">
        <f t="shared" si="39"/>
        <v>2.51439539347409</v>
      </c>
    </row>
    <row r="150" spans="2:7">
      <c r="B150" s="23" t="s">
        <v>75</v>
      </c>
      <c r="C150" s="22">
        <v>272.6</v>
      </c>
      <c r="D150" s="22">
        <v>587</v>
      </c>
      <c r="E150" s="22">
        <v>2041</v>
      </c>
      <c r="F150" s="22">
        <f t="shared" si="38"/>
        <v>7.48716067498166</v>
      </c>
      <c r="G150" s="22">
        <f t="shared" si="39"/>
        <v>2.37436016751978</v>
      </c>
    </row>
    <row r="151" spans="2:7">
      <c r="B151" s="23" t="s">
        <v>223</v>
      </c>
      <c r="C151" s="22">
        <v>357.9</v>
      </c>
      <c r="D151" s="22">
        <v>923.8</v>
      </c>
      <c r="E151" s="22">
        <v>2472</v>
      </c>
      <c r="F151" s="22">
        <v>8.77340039117072</v>
      </c>
      <c r="G151" s="22">
        <v>2.44968013730691</v>
      </c>
    </row>
  </sheetData>
  <pageMargins left="0.7" right="0.7" top="0.75" bottom="0.75" header="0.3" footer="0.3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首页</vt:lpstr>
      <vt:lpstr>全球新能源乘用车销量</vt:lpstr>
      <vt:lpstr>德国新能源汽车销量</vt:lpstr>
      <vt:lpstr>挪威新能源汽车销量</vt:lpstr>
      <vt:lpstr>英国新能源汽车销量</vt:lpstr>
      <vt:lpstr>法国新能源汽车销量</vt:lpstr>
      <vt:lpstr>瑞典新能源汽车销量</vt:lpstr>
      <vt:lpstr>意大利新能源汽车销量</vt:lpstr>
      <vt:lpstr>西班牙新能源汽车销量</vt:lpstr>
      <vt:lpstr>中国新能源汽车销量-中汽协</vt:lpstr>
      <vt:lpstr>中国新能源汽车销量-乘联会</vt:lpstr>
      <vt:lpstr>新能源汽车销量汇总-中汽协乘联会</vt:lpstr>
      <vt:lpstr>纯电插混产销占比-中汽协</vt:lpstr>
      <vt:lpstr>核心新能源车企销量-月度</vt:lpstr>
      <vt:lpstr>充电桩-充电联盟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。。。。，。。姗姗～</cp:lastModifiedBy>
  <dcterms:created xsi:type="dcterms:W3CDTF">2015-06-16T06:20:00Z</dcterms:created>
  <dcterms:modified xsi:type="dcterms:W3CDTF">2026-03-28T00:34:40Z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c38ea021</vt:lpwstr>
  </property>
  <property fmtid="{D5CDD505-2E9C-101B-9397-08002B2CF9AE}" pid="3" name="ICV">
    <vt:lpwstr>94B51015080F4FEDBF463EEB161260FC_13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