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heckCompatibility="1" autoCompressPictures="0"/>
  <workbookProtection lockStructure="1"/>
  <bookViews>
    <workbookView xWindow="0" yWindow="0" windowWidth="28800" windowHeight="15440" tabRatio="500"/>
  </bookViews>
  <sheets>
    <sheet name="Loyola Course Grid" sheetId="1" r:id="rId1"/>
    <sheet name="Apartment Rent" sheetId="2" r:id="rId2"/>
    <sheet name="Graduate Admissions" sheetId="3" r:id="rId3"/>
  </sheets>
  <definedNames>
    <definedName name="Z_D6ACF4D4_0270_1E41_ACF3_32941C02D89F_.wvu.Cols" localSheetId="1" hidden="1">'Apartment Rent'!$B:$B</definedName>
  </definedNames>
  <calcPr calcId="140000" concurrentCalc="0"/>
  <customWorkbookViews>
    <customWorkbookView name="Caroline Wang - Personal View" guid="{D6ACF4D4-0270-1E41-ACF3-32941C02D89F}" mergeInterval="0" personalView="1" yWindow="54" windowWidth="1440" windowHeight="718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3" l="1"/>
  <c r="F5" i="3"/>
  <c r="M8" i="1"/>
  <c r="B3" i="1"/>
  <c r="C3" i="1"/>
  <c r="B9" i="1"/>
  <c r="C7" i="1"/>
  <c r="C8" i="1"/>
  <c r="C9" i="1"/>
  <c r="K13" i="1"/>
  <c r="F3" i="1"/>
  <c r="G3" i="1"/>
  <c r="F9" i="1"/>
  <c r="G7" i="1"/>
  <c r="G8" i="1"/>
  <c r="G9" i="1"/>
  <c r="K14" i="1"/>
  <c r="J3" i="1"/>
  <c r="K3" i="1"/>
  <c r="J9" i="1"/>
  <c r="K6" i="1"/>
  <c r="K7" i="1"/>
  <c r="K8" i="1"/>
  <c r="K9" i="1"/>
  <c r="K15" i="1"/>
  <c r="N3" i="1"/>
  <c r="O3" i="1"/>
  <c r="N4" i="1"/>
  <c r="N5" i="1"/>
  <c r="N8" i="1"/>
  <c r="N9" i="1"/>
  <c r="O6" i="1"/>
  <c r="O7" i="1"/>
  <c r="O4" i="1"/>
  <c r="O5" i="1"/>
  <c r="O9" i="1"/>
  <c r="K16" i="1"/>
  <c r="B13" i="1"/>
  <c r="C13" i="1"/>
  <c r="B19" i="1"/>
  <c r="C18" i="1"/>
  <c r="C19" i="1"/>
  <c r="K17" i="1"/>
  <c r="F13" i="1"/>
  <c r="G13" i="1"/>
  <c r="F14" i="1"/>
  <c r="F15" i="1"/>
  <c r="F18" i="1"/>
  <c r="F19" i="1"/>
  <c r="G16" i="1"/>
  <c r="G17" i="1"/>
  <c r="G14" i="1"/>
  <c r="G15" i="1"/>
  <c r="G19" i="1"/>
  <c r="K18" i="1"/>
  <c r="E15" i="3"/>
  <c r="H1" i="3"/>
  <c r="I13" i="1"/>
  <c r="J13" i="1"/>
  <c r="E5" i="2"/>
  <c r="E6" i="2"/>
  <c r="E8" i="2"/>
  <c r="E9" i="2"/>
  <c r="E11" i="2"/>
  <c r="E12" i="2"/>
  <c r="E14" i="2"/>
  <c r="E15" i="2"/>
  <c r="F55" i="2"/>
  <c r="F51" i="2"/>
  <c r="F47" i="2"/>
  <c r="F43" i="2"/>
  <c r="F39" i="2"/>
  <c r="F35" i="2"/>
  <c r="F31" i="2"/>
  <c r="F27" i="2"/>
  <c r="F23" i="2"/>
  <c r="F19" i="2"/>
  <c r="A16" i="2"/>
  <c r="A35" i="2"/>
  <c r="A55" i="2"/>
  <c r="C54" i="2"/>
  <c r="C55" i="2"/>
  <c r="A13" i="2"/>
  <c r="A31" i="2"/>
  <c r="A51" i="2"/>
  <c r="C50" i="2"/>
  <c r="C51" i="2"/>
  <c r="A10" i="2"/>
  <c r="A27" i="2"/>
  <c r="A47" i="2"/>
  <c r="C46" i="2"/>
  <c r="C47" i="2"/>
  <c r="A7" i="2"/>
  <c r="A23" i="2"/>
  <c r="A43" i="2"/>
  <c r="C42" i="2"/>
  <c r="C43" i="2"/>
  <c r="A4" i="2"/>
  <c r="A19" i="2"/>
  <c r="A39" i="2"/>
  <c r="C38" i="2"/>
  <c r="C39" i="2"/>
  <c r="C34" i="2"/>
  <c r="C35" i="2"/>
  <c r="C30" i="2"/>
  <c r="C31" i="2"/>
  <c r="C26" i="2"/>
  <c r="C27" i="2"/>
  <c r="C22" i="2"/>
  <c r="C23" i="2"/>
  <c r="C18" i="2"/>
  <c r="C19" i="2"/>
  <c r="C15" i="1"/>
  <c r="C14" i="1"/>
  <c r="K5" i="1"/>
  <c r="K4" i="1"/>
  <c r="E17" i="2"/>
  <c r="E18" i="2"/>
  <c r="F56" i="2"/>
  <c r="K19" i="1"/>
  <c r="D15" i="3"/>
  <c r="F54" i="2"/>
  <c r="F53" i="2"/>
  <c r="F52" i="2"/>
  <c r="F50" i="2"/>
  <c r="F49" i="2"/>
  <c r="F48" i="2"/>
  <c r="F46" i="2"/>
  <c r="F45" i="2"/>
  <c r="F44" i="2"/>
  <c r="F42" i="2"/>
  <c r="F41" i="2"/>
  <c r="F40" i="2"/>
  <c r="F38" i="2"/>
  <c r="F37" i="2"/>
  <c r="F36" i="2"/>
  <c r="F34" i="2"/>
  <c r="F33" i="2"/>
  <c r="F32" i="2"/>
  <c r="F30" i="2"/>
  <c r="F29" i="2"/>
  <c r="F28" i="2"/>
  <c r="F26" i="2"/>
  <c r="F25" i="2"/>
  <c r="F24" i="2"/>
  <c r="F22" i="2"/>
  <c r="F21" i="2"/>
  <c r="F20" i="2"/>
  <c r="F18" i="2"/>
  <c r="F17" i="2"/>
  <c r="B4" i="1"/>
  <c r="C4" i="1"/>
  <c r="B5" i="1"/>
  <c r="C5" i="1"/>
  <c r="C6" i="1"/>
  <c r="A6" i="1"/>
  <c r="B6" i="1"/>
  <c r="A7" i="1"/>
  <c r="B7" i="1"/>
  <c r="B8" i="1"/>
  <c r="F4" i="1"/>
  <c r="G4" i="1"/>
  <c r="F5" i="1"/>
  <c r="G5" i="1"/>
  <c r="G6" i="1"/>
  <c r="E6" i="1"/>
  <c r="F6" i="1"/>
  <c r="E7" i="1"/>
  <c r="F7" i="1"/>
  <c r="E8" i="1"/>
  <c r="F8" i="1"/>
  <c r="J4" i="1"/>
  <c r="J5" i="1"/>
  <c r="I6" i="1"/>
  <c r="J6" i="1"/>
  <c r="I7" i="1"/>
  <c r="J7" i="1"/>
  <c r="I8" i="1"/>
  <c r="J8" i="1"/>
  <c r="M6" i="1"/>
  <c r="N6" i="1"/>
  <c r="M7" i="1"/>
  <c r="N7" i="1"/>
  <c r="B14" i="1"/>
  <c r="B15" i="1"/>
  <c r="A16" i="1"/>
  <c r="B16" i="1"/>
  <c r="A17" i="1"/>
  <c r="B17" i="1"/>
  <c r="A18" i="1"/>
  <c r="B18" i="1"/>
  <c r="E16" i="1"/>
  <c r="F16" i="1"/>
  <c r="E17" i="1"/>
  <c r="F17" i="1"/>
  <c r="J14" i="1"/>
  <c r="J15" i="1"/>
  <c r="J16" i="1"/>
  <c r="J17" i="1"/>
  <c r="J18" i="1"/>
  <c r="J21" i="1"/>
  <c r="K20" i="1"/>
  <c r="K21" i="1"/>
  <c r="I15" i="3"/>
  <c r="I1" i="3"/>
  <c r="G1" i="3"/>
  <c r="I21" i="1"/>
  <c r="I20" i="1"/>
  <c r="I18" i="1"/>
  <c r="I17" i="1"/>
  <c r="I16" i="1"/>
  <c r="I15" i="1"/>
  <c r="I14" i="1"/>
  <c r="D14" i="2"/>
  <c r="D29" i="2"/>
  <c r="D45" i="2"/>
  <c r="D15" i="2"/>
  <c r="D30" i="2"/>
  <c r="D46" i="2"/>
  <c r="D16" i="2"/>
  <c r="D32" i="2"/>
  <c r="D48" i="2"/>
  <c r="D5" i="2"/>
  <c r="D17" i="2"/>
  <c r="D33" i="2"/>
  <c r="D49" i="2"/>
  <c r="D6" i="2"/>
  <c r="D18" i="2"/>
  <c r="D34" i="2"/>
  <c r="D50" i="2"/>
  <c r="D7" i="2"/>
  <c r="D20" i="2"/>
  <c r="D36" i="2"/>
  <c r="D52" i="2"/>
  <c r="D8" i="2"/>
  <c r="D21" i="2"/>
  <c r="D37" i="2"/>
  <c r="D53" i="2"/>
  <c r="D9" i="2"/>
  <c r="D22" i="2"/>
  <c r="D38" i="2"/>
  <c r="D54" i="2"/>
  <c r="D10" i="2"/>
  <c r="D24" i="2"/>
  <c r="D40" i="2"/>
  <c r="D56" i="2"/>
  <c r="A2" i="2"/>
  <c r="A8" i="2"/>
  <c r="A25" i="2"/>
  <c r="A45" i="2"/>
  <c r="A9" i="2"/>
  <c r="A26" i="2"/>
  <c r="A46" i="2"/>
  <c r="A28" i="2"/>
  <c r="A48" i="2"/>
  <c r="A11" i="2"/>
  <c r="A29" i="2"/>
  <c r="A49" i="2"/>
  <c r="A12" i="2"/>
  <c r="A30" i="2"/>
  <c r="A50" i="2"/>
  <c r="A32" i="2"/>
  <c r="A52" i="2"/>
  <c r="A14" i="2"/>
  <c r="A33" i="2"/>
  <c r="A53" i="2"/>
  <c r="A15" i="2"/>
  <c r="A34" i="2"/>
  <c r="A54" i="2"/>
  <c r="A36" i="2"/>
  <c r="A56" i="2"/>
  <c r="D11" i="2"/>
  <c r="D25" i="2"/>
  <c r="D12" i="2"/>
  <c r="D26" i="2"/>
  <c r="D13" i="2"/>
  <c r="D28" i="2"/>
  <c r="D41" i="2"/>
  <c r="D42" i="2"/>
  <c r="D44" i="2"/>
  <c r="A24" i="2"/>
  <c r="A44" i="2"/>
  <c r="A3" i="2"/>
  <c r="A18" i="2"/>
  <c r="A20" i="2"/>
  <c r="A5" i="2"/>
  <c r="A21" i="2"/>
  <c r="A6" i="2"/>
  <c r="A22" i="2"/>
  <c r="A17" i="2"/>
  <c r="A37" i="2"/>
  <c r="A38" i="2"/>
  <c r="A40" i="2"/>
  <c r="A41" i="2"/>
  <c r="A42" i="2"/>
  <c r="C15" i="2"/>
  <c r="C12" i="2"/>
  <c r="C9" i="2"/>
  <c r="C6" i="2"/>
  <c r="C3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20" i="3"/>
  <c r="L20" i="3"/>
  <c r="A17" i="3"/>
  <c r="M20" i="3"/>
  <c r="K20" i="3"/>
  <c r="I20" i="3"/>
  <c r="G20" i="3"/>
  <c r="F20" i="3"/>
  <c r="E20" i="3"/>
  <c r="C20" i="3"/>
  <c r="B20" i="3"/>
  <c r="M19" i="3"/>
  <c r="L19" i="3"/>
  <c r="K19" i="3"/>
  <c r="J19" i="3"/>
  <c r="I19" i="3"/>
  <c r="G19" i="3"/>
  <c r="F19" i="3"/>
  <c r="E19" i="3"/>
  <c r="C19" i="3"/>
  <c r="B19" i="3"/>
  <c r="M18" i="3"/>
  <c r="L18" i="3"/>
  <c r="K18" i="3"/>
  <c r="J18" i="3"/>
  <c r="I18" i="3"/>
  <c r="G18" i="3"/>
  <c r="F18" i="3"/>
  <c r="E18" i="3"/>
  <c r="C18" i="3"/>
  <c r="B18" i="3"/>
  <c r="M17" i="3"/>
  <c r="L17" i="3"/>
  <c r="K17" i="3"/>
  <c r="J17" i="3"/>
  <c r="I17" i="3"/>
  <c r="F17" i="3"/>
  <c r="G17" i="3"/>
  <c r="E17" i="3"/>
  <c r="C17" i="3"/>
  <c r="B17" i="3"/>
  <c r="H4" i="3"/>
  <c r="O1" i="3"/>
  <c r="P1" i="3"/>
  <c r="Q1" i="3"/>
  <c r="R1" i="3"/>
  <c r="F2" i="3"/>
  <c r="I2" i="3"/>
  <c r="F4" i="3"/>
  <c r="I4" i="3"/>
  <c r="F8" i="3"/>
  <c r="I8" i="3"/>
  <c r="F9" i="3"/>
  <c r="I9" i="3"/>
  <c r="F10" i="3"/>
  <c r="I10" i="3"/>
  <c r="M6" i="3"/>
  <c r="M11" i="3"/>
  <c r="M12" i="3"/>
  <c r="M14" i="3"/>
  <c r="L3" i="3"/>
  <c r="L7" i="3"/>
  <c r="L11" i="3"/>
  <c r="F12" i="3"/>
  <c r="I12" i="3"/>
  <c r="I5" i="3"/>
  <c r="G3" i="3"/>
  <c r="F3" i="3"/>
  <c r="I3" i="3"/>
  <c r="H12" i="3"/>
  <c r="H11" i="3"/>
  <c r="F15" i="3"/>
  <c r="A20" i="3"/>
  <c r="A19" i="3"/>
  <c r="A18" i="3"/>
  <c r="H15" i="3"/>
  <c r="S1" i="3"/>
  <c r="F6" i="3"/>
  <c r="I6" i="3"/>
  <c r="L2" i="3"/>
  <c r="L8" i="3"/>
  <c r="L21" i="3"/>
  <c r="L1" i="3"/>
  <c r="M9" i="3"/>
  <c r="M8" i="3"/>
  <c r="M2" i="3"/>
  <c r="M15" i="3"/>
  <c r="F1" i="3"/>
  <c r="F14" i="3"/>
  <c r="I14" i="3"/>
  <c r="H9" i="3"/>
  <c r="H14" i="3"/>
  <c r="Q14" i="3"/>
  <c r="F13" i="3"/>
  <c r="H13" i="3"/>
  <c r="I13" i="3"/>
  <c r="Q13" i="3"/>
  <c r="Q12" i="3"/>
  <c r="F11" i="3"/>
  <c r="I11" i="3"/>
  <c r="Q11" i="3"/>
  <c r="H10" i="3"/>
  <c r="Q10" i="3"/>
  <c r="Q9" i="3"/>
  <c r="H8" i="3"/>
  <c r="Q8" i="3"/>
  <c r="G7" i="3"/>
  <c r="H7" i="3"/>
  <c r="I7" i="3"/>
  <c r="Q7" i="3"/>
  <c r="H6" i="3"/>
  <c r="Q6" i="3"/>
  <c r="G5" i="3"/>
  <c r="H5" i="3"/>
  <c r="Q5" i="3"/>
  <c r="Q4" i="3"/>
  <c r="H3" i="3"/>
  <c r="Q3" i="3"/>
  <c r="Q2" i="3"/>
  <c r="P2" i="3"/>
  <c r="P14" i="3"/>
  <c r="P13" i="3"/>
  <c r="P12" i="3"/>
  <c r="P11" i="3"/>
  <c r="P10" i="3"/>
  <c r="P9" i="3"/>
  <c r="P8" i="3"/>
  <c r="P7" i="3"/>
  <c r="P6" i="3"/>
  <c r="P5" i="3"/>
  <c r="P4" i="3"/>
  <c r="P3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K12" i="1"/>
  <c r="G12" i="1"/>
  <c r="C12" i="1"/>
  <c r="O2" i="1"/>
  <c r="K2" i="1"/>
  <c r="G2" i="1"/>
  <c r="J12" i="1"/>
  <c r="F12" i="1"/>
  <c r="B12" i="1"/>
  <c r="N2" i="1"/>
  <c r="J2" i="1"/>
  <c r="F2" i="1"/>
  <c r="D1" i="3"/>
  <c r="K29" i="3"/>
  <c r="L29" i="3"/>
  <c r="J29" i="3"/>
  <c r="G29" i="3"/>
  <c r="F29" i="3"/>
  <c r="C29" i="3"/>
  <c r="B29" i="3"/>
  <c r="L28" i="3"/>
  <c r="K28" i="3"/>
  <c r="J28" i="3"/>
  <c r="G28" i="3"/>
  <c r="F28" i="3"/>
  <c r="C28" i="3"/>
  <c r="B28" i="3"/>
  <c r="L27" i="3"/>
  <c r="K27" i="3"/>
  <c r="J27" i="3"/>
  <c r="G27" i="3"/>
  <c r="F27" i="3"/>
  <c r="C27" i="3"/>
  <c r="B27" i="3"/>
  <c r="L25" i="3"/>
  <c r="K25" i="3"/>
  <c r="J25" i="3"/>
  <c r="G25" i="3"/>
  <c r="F25" i="3"/>
  <c r="C25" i="3"/>
  <c r="B25" i="3"/>
  <c r="L24" i="3"/>
  <c r="K24" i="3"/>
  <c r="J24" i="3"/>
  <c r="G24" i="3"/>
  <c r="F24" i="3"/>
  <c r="C24" i="3"/>
  <c r="B24" i="3"/>
  <c r="L22" i="3"/>
  <c r="K22" i="3"/>
  <c r="J22" i="3"/>
  <c r="G22" i="3"/>
  <c r="F22" i="3"/>
  <c r="C22" i="3"/>
  <c r="B22" i="3"/>
  <c r="K21" i="3"/>
  <c r="J21" i="3"/>
  <c r="G21" i="3"/>
  <c r="F21" i="3"/>
  <c r="C21" i="3"/>
  <c r="B21" i="3"/>
  <c r="A29" i="3"/>
  <c r="A28" i="3"/>
  <c r="A27" i="3"/>
  <c r="A26" i="3"/>
  <c r="A25" i="3"/>
  <c r="A24" i="3"/>
  <c r="A23" i="3"/>
  <c r="A22" i="3"/>
  <c r="A21" i="3"/>
  <c r="E12" i="1"/>
  <c r="A12" i="1"/>
  <c r="M2" i="1"/>
  <c r="I2" i="1"/>
  <c r="E2" i="1"/>
  <c r="E19" i="1"/>
  <c r="A19" i="1"/>
  <c r="M9" i="1"/>
  <c r="I9" i="1"/>
  <c r="E9" i="1"/>
  <c r="I21" i="3"/>
  <c r="I29" i="3"/>
  <c r="I28" i="3"/>
  <c r="I27" i="3"/>
  <c r="L26" i="3"/>
  <c r="K26" i="3"/>
  <c r="J26" i="3"/>
  <c r="I26" i="3"/>
  <c r="G26" i="3"/>
  <c r="F26" i="3"/>
  <c r="E26" i="3"/>
  <c r="C26" i="3"/>
  <c r="B26" i="3"/>
  <c r="I25" i="3"/>
  <c r="I24" i="3"/>
  <c r="I23" i="3"/>
  <c r="I22" i="3"/>
  <c r="E21" i="3"/>
  <c r="E22" i="3"/>
  <c r="B23" i="3"/>
  <c r="C23" i="3"/>
  <c r="E23" i="3"/>
  <c r="F23" i="3"/>
  <c r="G23" i="3"/>
  <c r="J23" i="3"/>
  <c r="K23" i="3"/>
  <c r="L23" i="3"/>
  <c r="E24" i="3"/>
  <c r="E25" i="3"/>
  <c r="E27" i="3"/>
  <c r="E28" i="3"/>
  <c r="E29" i="3"/>
  <c r="S15" i="3"/>
  <c r="S14" i="3"/>
  <c r="S13" i="3"/>
  <c r="S12" i="3"/>
  <c r="S11" i="3"/>
  <c r="S10" i="3"/>
  <c r="R15" i="3"/>
  <c r="S9" i="3"/>
  <c r="S8" i="3"/>
  <c r="S7" i="3"/>
  <c r="S6" i="3"/>
  <c r="S5" i="3"/>
  <c r="S4" i="3"/>
  <c r="S3" i="3"/>
  <c r="S2" i="3"/>
  <c r="O15" i="3"/>
  <c r="P15" i="3"/>
  <c r="Q15" i="3"/>
</calcChain>
</file>

<file path=xl/sharedStrings.xml><?xml version="1.0" encoding="utf-8"?>
<sst xmlns="http://schemas.openxmlformats.org/spreadsheetml/2006/main" count="201" uniqueCount="125">
  <si>
    <t>Deadline</t>
  </si>
  <si>
    <t>Deferral</t>
  </si>
  <si>
    <t>DePaul</t>
  </si>
  <si>
    <t>Credits</t>
  </si>
  <si>
    <t>Loyola Maryland</t>
  </si>
  <si>
    <t>Detroit Mercy</t>
  </si>
  <si>
    <t>Lindenwood</t>
  </si>
  <si>
    <t>Portland</t>
  </si>
  <si>
    <t>Saint Mary's</t>
  </si>
  <si>
    <t>Marquette</t>
  </si>
  <si>
    <t>Findlay</t>
  </si>
  <si>
    <t>American</t>
  </si>
  <si>
    <t>Loyola Chicago</t>
  </si>
  <si>
    <t>Tiffin University</t>
  </si>
  <si>
    <t>Regis University</t>
  </si>
  <si>
    <t>Canisius College</t>
  </si>
  <si>
    <t>Application</t>
  </si>
  <si>
    <t>Acceptance</t>
  </si>
  <si>
    <t>Tuition</t>
  </si>
  <si>
    <t>Mount St. Mary's</t>
  </si>
  <si>
    <t>Length</t>
  </si>
  <si>
    <t>No</t>
  </si>
  <si>
    <t>N/A</t>
  </si>
  <si>
    <t>Course Number and Title</t>
  </si>
  <si>
    <t>Total</t>
  </si>
  <si>
    <t>Academic Term</t>
  </si>
  <si>
    <t>Residence Hall/Apartment Rate</t>
  </si>
  <si>
    <t>11-12</t>
  </si>
  <si>
    <t>Institution Name</t>
  </si>
  <si>
    <t>Chicago Transit Authority (CTA) U-Pass</t>
  </si>
  <si>
    <t>Yes</t>
  </si>
  <si>
    <t>Two (2) Comprehensive Examinations</t>
  </si>
  <si>
    <r>
      <t>r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:</t>
    </r>
  </si>
  <si>
    <t>—</t>
  </si>
  <si>
    <r>
      <rPr>
        <sz val="12"/>
        <color theme="1"/>
        <rFont val="Lucida Grande"/>
        <family val="2"/>
      </rPr>
      <t xml:space="preserve">✓ </t>
    </r>
    <r>
      <rPr>
        <sz val="12"/>
        <color theme="1"/>
        <rFont val="Calibri"/>
        <family val="2"/>
        <scheme val="minor"/>
      </rPr>
      <t>Fall 2020</t>
    </r>
  </si>
  <si>
    <r>
      <rPr>
        <sz val="12"/>
        <color theme="1"/>
        <rFont val="Lucida Grande"/>
        <family val="2"/>
      </rPr>
      <t xml:space="preserve">✓ </t>
    </r>
    <r>
      <rPr>
        <sz val="12"/>
        <color theme="1"/>
        <rFont val="Calibri"/>
        <family val="2"/>
        <scheme val="minor"/>
      </rPr>
      <t>Spring 2021</t>
    </r>
  </si>
  <si>
    <t>Essay?</t>
  </si>
  <si>
    <t>Term</t>
  </si>
  <si>
    <t>Description</t>
  </si>
  <si>
    <t>Amount</t>
  </si>
  <si>
    <t>Building</t>
  </si>
  <si>
    <t>Address and Unit</t>
  </si>
  <si>
    <t>Base Rent</t>
  </si>
  <si>
    <t>Monthly Service Fee</t>
  </si>
  <si>
    <t>ComEd/Electricity</t>
  </si>
  <si>
    <t>Jan/Feb 2022</t>
  </si>
  <si>
    <t>Feb/Mar 2022</t>
  </si>
  <si>
    <t>Mar/Apr 2022</t>
  </si>
  <si>
    <t>Apr/May 2022</t>
  </si>
  <si>
    <t>Cumulative</t>
  </si>
  <si>
    <r>
      <t>✓</t>
    </r>
    <r>
      <rPr>
        <sz val="12"/>
        <color rgb="FF000000"/>
        <rFont val="Calibri"/>
        <family val="2"/>
        <scheme val="minor"/>
      </rPr>
      <t xml:space="preserve"> Fall 2021</t>
    </r>
  </si>
  <si>
    <t>Dec '21/Jan '22</t>
  </si>
  <si>
    <t>6415 North Sheridan Road, Unit #0503</t>
  </si>
  <si>
    <t>12/31/2021, 16:16</t>
  </si>
  <si>
    <t>12/31/2021, 16:59</t>
  </si>
  <si>
    <t>01/28/2022, 23:13</t>
  </si>
  <si>
    <t>01/30/2022, 10:13</t>
  </si>
  <si>
    <t>01/30/2022, 10:14</t>
  </si>
  <si>
    <t>02/25/2022, 15:48</t>
  </si>
  <si>
    <t>02/26/2022, 09:44</t>
  </si>
  <si>
    <t>03/19/2022, 12:26</t>
  </si>
  <si>
    <t>03/19/2022, 12:31</t>
  </si>
  <si>
    <t>03/29/2022, 16:23</t>
  </si>
  <si>
    <t>04/27/2022, 16:24</t>
  </si>
  <si>
    <t>04/28/2022, 13:51</t>
  </si>
  <si>
    <r>
      <t>✓</t>
    </r>
    <r>
      <rPr>
        <sz val="12"/>
        <color rgb="FF000000"/>
        <rFont val="Calibri"/>
        <family val="2"/>
        <scheme val="minor"/>
      </rPr>
      <t xml:space="preserve"> Spring 2022</t>
    </r>
  </si>
  <si>
    <t>05/26/2022, 15:39</t>
  </si>
  <si>
    <t>6401 North Sheridan Road, Unit #0606</t>
  </si>
  <si>
    <t>07/01/2022, 16:30</t>
  </si>
  <si>
    <r>
      <rPr>
        <sz val="12"/>
        <color theme="1"/>
        <rFont val="Lucida Grande"/>
        <family val="2"/>
      </rPr>
      <t xml:space="preserve">✓ </t>
    </r>
    <r>
      <rPr>
        <sz val="12"/>
        <color theme="1"/>
        <rFont val="Calibri"/>
        <family val="2"/>
        <scheme val="minor"/>
      </rPr>
      <t>Summer 2022</t>
    </r>
  </si>
  <si>
    <t>Paid Date, Time</t>
  </si>
  <si>
    <t>09/02/2022, 00:00</t>
  </si>
  <si>
    <t>09/15/2022, 10:01</t>
  </si>
  <si>
    <t>10/05/2022, 00:00</t>
  </si>
  <si>
    <t>Aug/Sept 2022</t>
  </si>
  <si>
    <t>Sept/Oct 2022</t>
  </si>
  <si>
    <t>Oct/Nov 2022</t>
  </si>
  <si>
    <t>Nov/Dec 2022</t>
  </si>
  <si>
    <t>Dec '22/Jan '23</t>
  </si>
  <si>
    <t>Jan/Feb 2023</t>
  </si>
  <si>
    <t>Feb/Mar 2023</t>
  </si>
  <si>
    <t>Mar/Apr 2023</t>
  </si>
  <si>
    <t>Apr/May 2023</t>
  </si>
  <si>
    <t>10/17/2022, 07:18</t>
  </si>
  <si>
    <t>11/15/2022, 06:25</t>
  </si>
  <si>
    <t>11/02/2022, 00:00</t>
  </si>
  <si>
    <t>12/02/2022, 00:00</t>
  </si>
  <si>
    <t>12/14/2022, 05:42</t>
  </si>
  <si>
    <t>01/18/2023, 00:00</t>
  </si>
  <si>
    <t>01/02/2023, 00:00</t>
  </si>
  <si>
    <t>02/02/2023, 00:00</t>
  </si>
  <si>
    <t>02/17/2023, 06:14</t>
  </si>
  <si>
    <t>03/02/2023, 00:00</t>
  </si>
  <si>
    <t>03/20/2023, 06:37</t>
  </si>
  <si>
    <t>04/03/2023, 00:00</t>
  </si>
  <si>
    <t>04/18/2023, 06:15</t>
  </si>
  <si>
    <t>05/01/2023, 00:00</t>
  </si>
  <si>
    <t>6402 North Sheridan Road, Unit #0606</t>
  </si>
  <si>
    <t>07/01/2022, 16:31</t>
  </si>
  <si>
    <t>Service Charge</t>
  </si>
  <si>
    <t>05/17/2023, 06:04</t>
  </si>
  <si>
    <t>06/06/2023, 06:11</t>
  </si>
  <si>
    <r>
      <t>✓</t>
    </r>
    <r>
      <rPr>
        <sz val="12"/>
        <color rgb="FF000000"/>
        <rFont val="Calibri"/>
        <family val="2"/>
        <scheme val="minor"/>
      </rPr>
      <t xml:space="preserve"> Fall 2022</t>
    </r>
  </si>
  <si>
    <r>
      <rPr>
        <sz val="12"/>
        <color theme="1"/>
        <rFont val="Lucida Grande"/>
        <family val="2"/>
      </rPr>
      <t xml:space="preserve">✓ </t>
    </r>
    <r>
      <rPr>
        <sz val="12"/>
        <color theme="1"/>
        <rFont val="Calibri"/>
        <family val="2"/>
        <scheme val="minor"/>
      </rPr>
      <t>STAT 403 – SAS Programming</t>
    </r>
  </si>
  <si>
    <r>
      <rPr>
        <sz val="12"/>
        <color rgb="FF000000"/>
        <rFont val="Lucida Grande"/>
        <family val="2"/>
      </rPr>
      <t xml:space="preserve">✓ </t>
    </r>
    <r>
      <rPr>
        <sz val="12"/>
        <color rgb="FF000000"/>
        <rFont val="Calibri"/>
        <family val="2"/>
        <scheme val="minor"/>
      </rPr>
      <t>STAT 405 – Advanced Probability</t>
    </r>
  </si>
  <si>
    <r>
      <rPr>
        <sz val="12"/>
        <color rgb="FF000000"/>
        <rFont val="Lucida Grande"/>
        <family val="2"/>
      </rPr>
      <t>✓</t>
    </r>
    <r>
      <rPr>
        <sz val="12"/>
        <color rgb="FF000000"/>
        <rFont val="Calibri"/>
        <family val="2"/>
        <scheme val="minor"/>
      </rPr>
      <t xml:space="preserve"> STAT 407 – Statistical Design of Experiments</t>
    </r>
  </si>
  <si>
    <r>
      <rPr>
        <sz val="12"/>
        <color rgb="FF000000"/>
        <rFont val="Lucida Grande"/>
        <family val="2"/>
      </rPr>
      <t>✓</t>
    </r>
    <r>
      <rPr>
        <sz val="12"/>
        <color rgb="FF000000"/>
        <rFont val="Calibri"/>
        <family val="2"/>
        <scheme val="minor"/>
      </rPr>
      <t xml:space="preserve"> STAT 410 – Categorical Data Analysis</t>
    </r>
  </si>
  <si>
    <r>
      <rPr>
        <sz val="12"/>
        <color rgb="FF000000"/>
        <rFont val="Lucida Grande"/>
        <family val="2"/>
      </rPr>
      <t>✓</t>
    </r>
    <r>
      <rPr>
        <sz val="12"/>
        <color rgb="FF000000"/>
        <rFont val="Calibri"/>
        <family val="2"/>
        <scheme val="minor"/>
      </rPr>
      <t xml:space="preserve"> STAT 451 – Nonparametric Statistical Methods</t>
    </r>
  </si>
  <si>
    <r>
      <t>✓</t>
    </r>
    <r>
      <rPr>
        <sz val="12"/>
        <color rgb="FF000000"/>
        <rFont val="Calibri"/>
        <family val="2"/>
        <scheme val="minor"/>
      </rPr>
      <t xml:space="preserve"> STAT 488 – Multivariate Statistical Analysis</t>
    </r>
  </si>
  <si>
    <r>
      <rPr>
        <sz val="12"/>
        <color rgb="FF000000"/>
        <rFont val="Lucida Grande"/>
        <family val="2"/>
      </rPr>
      <t xml:space="preserve">✓ </t>
    </r>
    <r>
      <rPr>
        <sz val="12"/>
        <color rgb="FF000000"/>
        <rFont val="Calibri"/>
        <family val="2"/>
        <scheme val="minor"/>
      </rPr>
      <t>STAT 488 – Bayesian Statistican Methods</t>
    </r>
  </si>
  <si>
    <r>
      <rPr>
        <sz val="12"/>
        <color rgb="FF000000"/>
        <rFont val="Lucida Grande"/>
        <family val="2"/>
      </rPr>
      <t xml:space="preserve">✓ </t>
    </r>
    <r>
      <rPr>
        <sz val="12"/>
        <color rgb="FF000000"/>
        <rFont val="Calibri"/>
        <family val="2"/>
        <scheme val="minor"/>
      </rPr>
      <t>STAT 401 – Statistical Consulting</t>
    </r>
  </si>
  <si>
    <r>
      <rPr>
        <sz val="12"/>
        <color rgb="FF000000"/>
        <rFont val="Lucida Grande"/>
        <family val="2"/>
      </rPr>
      <t xml:space="preserve">✓ </t>
    </r>
    <r>
      <rPr>
        <sz val="12"/>
        <color rgb="FF000000"/>
        <rFont val="Calibri"/>
        <family val="2"/>
        <scheme val="minor"/>
      </rPr>
      <t>STAT 404 – Probability and Statistics I</t>
    </r>
  </si>
  <si>
    <r>
      <rPr>
        <sz val="12"/>
        <color rgb="FF000000"/>
        <rFont val="Lucida Grande"/>
        <family val="2"/>
      </rPr>
      <t xml:space="preserve">✓ </t>
    </r>
    <r>
      <rPr>
        <sz val="12"/>
        <color rgb="FF000000"/>
        <rFont val="Calibri"/>
        <family val="2"/>
        <scheme val="minor"/>
      </rPr>
      <t>STAT 408 – Applied Regression Analysis</t>
    </r>
  </si>
  <si>
    <t>Chicago Transit Authority U-Pass (''opt-out'')</t>
  </si>
  <si>
    <t>M.S. Applied Statistics</t>
  </si>
  <si>
    <t>M.S. Data Science</t>
  </si>
  <si>
    <t>M.S. Applied Data Analytics</t>
  </si>
  <si>
    <t>M.S. Business Analytics</t>
  </si>
  <si>
    <t>M.S. Criminal Justice Data Analytics</t>
  </si>
  <si>
    <t>M.S. Data Analytics</t>
  </si>
  <si>
    <t>M.S. Sport Management</t>
  </si>
  <si>
    <t>M.S. Applied Security and Analytics</t>
  </si>
  <si>
    <t>M.A. Higher Education and Student Affairs</t>
  </si>
  <si>
    <t>M.B.A. with Emphasis in Sport Management</t>
  </si>
  <si>
    <t>M.B.A. with Concentration in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</si>
</sst>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6" formatCode="&quot;$&quot;#,##0_);[Red]\(&quot;$&quot;#,##0\)"/>
    <numFmt numFmtId="164" formatCode="&quot;$&quot;#,##0.00"/>
    <numFmt numFmtId="165" formatCode="&quot;$&quot;#,##0"/>
    <numFmt numFmtId="166" formatCode="#\ /\ ?"/>
    <numFmt numFmtId="167" formatCode="#\ /\ 4"/>
    <numFmt numFmtId="168" formatCode="#\ /\ 2"/>
    <numFmt numFmtId="169" formatCode="#\ /\ 3"/>
    <numFmt numFmtId="170" formatCode="0.000"/>
    <numFmt numFmtId="171" formatCode="[$-409]mmm\.\ d\,\ \'yy;@"/>
    <numFmt numFmtId="172" formatCode="\✓\ \ \ #\ ?/?"/>
    <numFmt numFmtId="173" formatCode="#\ /\ 1"/>
    <numFmt numFmtId="174" formatCode="?\ /\ ?"/>
    <numFmt numFmtId="175" formatCode="0.0000"/>
    <numFmt numFmtId="176" formatCode="\✓\ \ #\ ?\ /\ ?\ "/>
    <numFmt numFmtId="177" formatCode=".0000"/>
    <numFmt numFmtId="178" formatCode="mmmm\ yyyy"/>
    <numFmt numFmtId="179" formatCode="m/d/yy\ h:mm;@"/>
    <numFmt numFmtId="180" formatCode="m/d/yyyy\ h:mm;@"/>
    <numFmt numFmtId="181" formatCode="mm/dd/yyyy\,\ hh:mm"/>
    <numFmt numFmtId="182" formatCode="0.000000"/>
    <numFmt numFmtId="183" formatCode="mmm\.\ d\,\ \'yy"/>
    <numFmt numFmtId="184" formatCode="mmm\ d\,\ \'yy"/>
  </numFmts>
  <fonts count="3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499984740745262"/>
      <name val="Calibri"/>
    </font>
    <font>
      <sz val="12"/>
      <name val="Calibri"/>
    </font>
    <font>
      <vertAlign val="superscript"/>
      <sz val="12"/>
      <color theme="1"/>
      <name val="Calibri"/>
      <scheme val="minor"/>
    </font>
    <font>
      <u/>
      <sz val="12"/>
      <color theme="0" tint="-0.499984740745262"/>
      <name val="Calibri"/>
    </font>
    <font>
      <b/>
      <sz val="12"/>
      <color theme="0" tint="-0.499984740745262"/>
      <name val="Calibri"/>
    </font>
    <font>
      <strike/>
      <sz val="12"/>
      <color theme="0" tint="-0.499984740745262"/>
      <name val="Calibri"/>
      <scheme val="minor"/>
    </font>
    <font>
      <i/>
      <strike/>
      <sz val="12"/>
      <color theme="0" tint="-0.499984740745262"/>
      <name val="Calibri"/>
      <scheme val="minor"/>
    </font>
    <font>
      <strike/>
      <u/>
      <sz val="12"/>
      <color theme="0" tint="-0.499984740745262"/>
      <name val="Calibri"/>
      <scheme val="minor"/>
    </font>
    <font>
      <strike/>
      <sz val="12"/>
      <color theme="0" tint="-0.499984740745262"/>
      <name val="Calibri"/>
    </font>
    <font>
      <sz val="12"/>
      <name val="Calibri"/>
      <family val="2"/>
      <scheme val="minor"/>
    </font>
    <font>
      <i/>
      <sz val="12"/>
      <name val="Calibri"/>
      <scheme val="minor"/>
    </font>
    <font>
      <i/>
      <sz val="12"/>
      <color rgb="FF000000"/>
      <name val="Calibri"/>
      <scheme val="minor"/>
    </font>
    <font>
      <i/>
      <strike/>
      <u/>
      <sz val="12"/>
      <color theme="0" tint="-0.499984740745262"/>
      <name val="Calibri"/>
      <scheme val="minor"/>
    </font>
    <font>
      <b/>
      <i/>
      <sz val="12"/>
      <color theme="1"/>
      <name val="Calibri"/>
      <scheme val="minor"/>
    </font>
    <font>
      <i/>
      <u/>
      <sz val="12"/>
      <color theme="10"/>
      <name val="Calibri"/>
      <scheme val="minor"/>
    </font>
    <font>
      <b/>
      <sz val="12"/>
      <name val="Calibri"/>
    </font>
    <font>
      <b/>
      <u/>
      <sz val="12"/>
      <color theme="10"/>
      <name val="Calibri"/>
      <scheme val="minor"/>
    </font>
    <font>
      <b/>
      <sz val="12"/>
      <color rgb="FF000000"/>
      <name val="Calibri"/>
    </font>
    <font>
      <b/>
      <strike/>
      <sz val="12"/>
      <color theme="0" tint="-0.499984740745262"/>
      <name val="Calibri"/>
    </font>
    <font>
      <b/>
      <u/>
      <sz val="12"/>
      <color theme="0" tint="-0.499984740745262"/>
      <name val="Calibri"/>
    </font>
    <font>
      <i/>
      <strike/>
      <sz val="12"/>
      <color theme="0" tint="-0.499984740745262"/>
      <name val="Calibri"/>
    </font>
    <font>
      <i/>
      <strike/>
      <u/>
      <sz val="12"/>
      <color theme="0" tint="-0.499984740745262"/>
      <name val="Calibri"/>
    </font>
    <font>
      <sz val="12"/>
      <color theme="1"/>
      <name val="Lucida Grande"/>
      <family val="2"/>
    </font>
    <font>
      <sz val="12"/>
      <color rgb="FF000000"/>
      <name val="Lucida Grande"/>
      <family val="2"/>
    </font>
    <font>
      <i/>
      <sz val="12"/>
      <name val="Calibri"/>
    </font>
    <font>
      <u/>
      <sz val="12"/>
      <color rgb="FF0000FF"/>
      <name val="Calibri"/>
    </font>
    <font>
      <i/>
      <u/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164" fontId="0" fillId="0" borderId="0" xfId="0" applyNumberFormat="1"/>
    <xf numFmtId="0" fontId="6" fillId="0" borderId="0" xfId="0" applyFont="1"/>
    <xf numFmtId="164" fontId="5" fillId="0" borderId="0" xfId="0" applyNumberFormat="1" applyFont="1"/>
    <xf numFmtId="0" fontId="1" fillId="0" borderId="0" xfId="57"/>
    <xf numFmtId="164" fontId="3" fillId="0" borderId="0" xfId="0" applyNumberFormat="1" applyFont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66" fontId="4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7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7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57" applyFont="1" applyAlignment="1">
      <alignment vertical="center"/>
    </xf>
    <xf numFmtId="0" fontId="11" fillId="0" borderId="0" xfId="57" applyNumberFormat="1" applyFont="1" applyAlignment="1">
      <alignment vertical="center"/>
    </xf>
    <xf numFmtId="165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71" fontId="13" fillId="0" borderId="0" xfId="0" applyNumberFormat="1" applyFont="1" applyAlignment="1">
      <alignment horizontal="right" vertical="center"/>
    </xf>
    <xf numFmtId="166" fontId="14" fillId="0" borderId="0" xfId="0" applyNumberFormat="1" applyFont="1" applyAlignment="1">
      <alignment vertical="center"/>
    </xf>
    <xf numFmtId="171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173" fontId="14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  <xf numFmtId="171" fontId="1" fillId="0" borderId="0" xfId="57" applyNumberFormat="1" applyAlignment="1">
      <alignment vertical="center"/>
    </xf>
    <xf numFmtId="0" fontId="19" fillId="0" borderId="0" xfId="0" applyFont="1"/>
    <xf numFmtId="171" fontId="0" fillId="0" borderId="0" xfId="0" applyNumberFormat="1" applyFont="1" applyAlignment="1">
      <alignment vertical="center"/>
    </xf>
    <xf numFmtId="171" fontId="0" fillId="0" borderId="0" xfId="0" applyNumberFormat="1" applyAlignment="1">
      <alignment horizontal="center" vertical="center"/>
    </xf>
    <xf numFmtId="6" fontId="20" fillId="0" borderId="0" xfId="57" applyNumberFormat="1" applyFont="1" applyAlignment="1">
      <alignment vertical="center"/>
    </xf>
    <xf numFmtId="0" fontId="22" fillId="0" borderId="0" xfId="57" applyNumberFormat="1" applyFont="1" applyAlignment="1">
      <alignment horizontal="right" vertical="center"/>
    </xf>
    <xf numFmtId="0" fontId="22" fillId="0" borderId="0" xfId="57" applyFont="1" applyAlignment="1">
      <alignment vertical="center"/>
    </xf>
    <xf numFmtId="0" fontId="20" fillId="0" borderId="0" xfId="57" applyFont="1" applyAlignment="1">
      <alignment horizontal="right" vertical="center"/>
    </xf>
    <xf numFmtId="0" fontId="20" fillId="0" borderId="0" xfId="57" applyNumberFormat="1" applyFont="1" applyAlignment="1">
      <alignment horizontal="right" vertical="center"/>
    </xf>
    <xf numFmtId="0" fontId="20" fillId="0" borderId="0" xfId="57" applyFont="1" applyAlignment="1">
      <alignment vertical="center"/>
    </xf>
    <xf numFmtId="167" fontId="14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71" fontId="17" fillId="0" borderId="0" xfId="0" applyNumberFormat="1" applyFont="1" applyAlignment="1">
      <alignment vertical="center"/>
    </xf>
    <xf numFmtId="167" fontId="18" fillId="0" borderId="0" xfId="0" applyNumberFormat="1" applyFont="1" applyAlignment="1">
      <alignment vertical="center"/>
    </xf>
    <xf numFmtId="0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vertical="center"/>
    </xf>
    <xf numFmtId="169" fontId="18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8" fontId="21" fillId="0" borderId="0" xfId="0" applyNumberFormat="1" applyFont="1" applyAlignment="1">
      <alignment vertical="center"/>
    </xf>
    <xf numFmtId="0" fontId="24" fillId="0" borderId="0" xfId="57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6" fontId="21" fillId="0" borderId="0" xfId="0" applyNumberFormat="1" applyFont="1" applyAlignment="1">
      <alignment vertical="center"/>
    </xf>
    <xf numFmtId="6" fontId="22" fillId="0" borderId="0" xfId="57" applyNumberFormat="1" applyFont="1" applyAlignment="1">
      <alignment vertical="center"/>
    </xf>
    <xf numFmtId="165" fontId="11" fillId="0" borderId="0" xfId="57" applyNumberFormat="1" applyFont="1" applyAlignment="1">
      <alignment horizontal="right" vertical="center"/>
    </xf>
    <xf numFmtId="165" fontId="22" fillId="0" borderId="0" xfId="57" applyNumberFormat="1" applyFont="1" applyAlignment="1">
      <alignment horizontal="right" vertical="center"/>
    </xf>
    <xf numFmtId="165" fontId="18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vertical="center"/>
    </xf>
    <xf numFmtId="0" fontId="5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vertical="center"/>
    </xf>
    <xf numFmtId="0" fontId="27" fillId="0" borderId="0" xfId="57" applyFont="1" applyAlignment="1">
      <alignment vertical="center"/>
    </xf>
    <xf numFmtId="175" fontId="0" fillId="0" borderId="0" xfId="0" applyNumberFormat="1" applyAlignment="1">
      <alignment vertical="center"/>
    </xf>
    <xf numFmtId="168" fontId="14" fillId="0" borderId="0" xfId="0" applyNumberFormat="1" applyFont="1" applyAlignment="1">
      <alignment vertical="center"/>
    </xf>
    <xf numFmtId="171" fontId="20" fillId="0" borderId="0" xfId="57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71" fontId="16" fillId="0" borderId="0" xfId="0" applyNumberFormat="1" applyFont="1" applyAlignment="1">
      <alignment vertical="center"/>
    </xf>
    <xf numFmtId="166" fontId="28" fillId="0" borderId="0" xfId="0" applyNumberFormat="1" applyFont="1" applyAlignment="1">
      <alignment vertical="center"/>
    </xf>
    <xf numFmtId="0" fontId="28" fillId="0" borderId="0" xfId="57" applyFont="1" applyAlignment="1">
      <alignment vertical="center"/>
    </xf>
    <xf numFmtId="6" fontId="28" fillId="0" borderId="0" xfId="57" applyNumberFormat="1" applyFont="1" applyAlignment="1">
      <alignment vertical="center"/>
    </xf>
    <xf numFmtId="0" fontId="29" fillId="0" borderId="0" xfId="57" applyNumberFormat="1" applyFont="1" applyAlignment="1">
      <alignment vertical="center"/>
    </xf>
    <xf numFmtId="171" fontId="20" fillId="0" borderId="0" xfId="57" applyNumberFormat="1" applyFont="1" applyAlignment="1">
      <alignment vertical="center"/>
    </xf>
    <xf numFmtId="172" fontId="18" fillId="0" borderId="0" xfId="0" applyNumberFormat="1" applyFont="1" applyAlignment="1">
      <alignment vertical="center"/>
    </xf>
    <xf numFmtId="176" fontId="16" fillId="0" borderId="0" xfId="0" applyNumberFormat="1" applyFont="1" applyAlignment="1">
      <alignment vertical="center"/>
    </xf>
    <xf numFmtId="0" fontId="1" fillId="0" borderId="0" xfId="57" applyAlignment="1">
      <alignment vertical="center"/>
    </xf>
    <xf numFmtId="6" fontId="1" fillId="0" borderId="0" xfId="57" applyNumberFormat="1" applyAlignment="1">
      <alignment vertical="center"/>
    </xf>
    <xf numFmtId="165" fontId="32" fillId="0" borderId="0" xfId="0" applyNumberFormat="1" applyFont="1" applyAlignment="1">
      <alignment horizontal="right" vertical="center"/>
    </xf>
    <xf numFmtId="0" fontId="20" fillId="0" borderId="0" xfId="57" applyNumberFormat="1" applyFont="1" applyAlignment="1">
      <alignment vertical="center"/>
    </xf>
    <xf numFmtId="172" fontId="13" fillId="0" borderId="0" xfId="0" applyNumberFormat="1" applyFont="1" applyAlignment="1">
      <alignment vertical="center"/>
    </xf>
    <xf numFmtId="172" fontId="15" fillId="0" borderId="0" xfId="57" applyNumberFormat="1" applyFont="1" applyAlignment="1">
      <alignment vertical="center"/>
    </xf>
    <xf numFmtId="165" fontId="33" fillId="0" borderId="0" xfId="57" applyNumberFormat="1" applyFont="1" applyAlignment="1">
      <alignment horizontal="right" vertical="center"/>
    </xf>
    <xf numFmtId="0" fontId="33" fillId="0" borderId="0" xfId="57" applyFont="1" applyAlignment="1">
      <alignment vertical="center"/>
    </xf>
    <xf numFmtId="165" fontId="9" fillId="0" borderId="0" xfId="0" applyNumberFormat="1" applyFont="1" applyAlignment="1">
      <alignment horizontal="right" vertical="center"/>
    </xf>
    <xf numFmtId="0" fontId="34" fillId="0" borderId="0" xfId="57" applyFont="1" applyAlignment="1">
      <alignment vertical="center"/>
    </xf>
    <xf numFmtId="172" fontId="0" fillId="0" borderId="0" xfId="0" applyNumberFormat="1"/>
    <xf numFmtId="172" fontId="4" fillId="0" borderId="0" xfId="0" applyNumberFormat="1" applyFont="1"/>
    <xf numFmtId="12" fontId="13" fillId="0" borderId="0" xfId="0" applyNumberFormat="1" applyFont="1" applyAlignment="1">
      <alignment vertical="center"/>
    </xf>
    <xf numFmtId="178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/>
    <xf numFmtId="0" fontId="31" fillId="0" borderId="0" xfId="0" applyFont="1"/>
    <xf numFmtId="0" fontId="3" fillId="0" borderId="0" xfId="0" applyNumberFormat="1" applyFont="1"/>
    <xf numFmtId="164" fontId="0" fillId="0" borderId="0" xfId="0" applyNumberFormat="1" applyFont="1"/>
    <xf numFmtId="0" fontId="6" fillId="0" borderId="0" xfId="0" applyFont="1" applyAlignment="1"/>
    <xf numFmtId="181" fontId="0" fillId="0" borderId="0" xfId="0" applyNumberFormat="1"/>
    <xf numFmtId="179" fontId="0" fillId="0" borderId="0" xfId="0" applyNumberFormat="1" applyAlignment="1"/>
    <xf numFmtId="14" fontId="0" fillId="0" borderId="0" xfId="0" applyNumberFormat="1" applyAlignment="1">
      <alignment horizontal="right"/>
    </xf>
    <xf numFmtId="0" fontId="28" fillId="0" borderId="0" xfId="0" applyFont="1" applyAlignment="1">
      <alignment vertical="center"/>
    </xf>
    <xf numFmtId="182" fontId="9" fillId="0" borderId="0" xfId="0" applyNumberFormat="1" applyFont="1" applyAlignment="1">
      <alignment vertical="center"/>
    </xf>
    <xf numFmtId="182" fontId="9" fillId="0" borderId="0" xfId="0" applyNumberFormat="1" applyFont="1" applyBorder="1" applyAlignment="1">
      <alignment vertical="center" wrapText="1"/>
    </xf>
    <xf numFmtId="182" fontId="23" fillId="0" borderId="0" xfId="0" applyNumberFormat="1" applyFont="1" applyBorder="1" applyAlignment="1">
      <alignment vertical="center" wrapText="1"/>
    </xf>
    <xf numFmtId="182" fontId="16" fillId="0" borderId="0" xfId="0" applyNumberFormat="1" applyFont="1" applyAlignment="1">
      <alignment vertical="center"/>
    </xf>
    <xf numFmtId="182" fontId="16" fillId="0" borderId="0" xfId="0" applyNumberFormat="1" applyFont="1" applyBorder="1" applyAlignment="1">
      <alignment vertical="center" wrapText="1"/>
    </xf>
    <xf numFmtId="182" fontId="26" fillId="0" borderId="0" xfId="0" applyNumberFormat="1" applyFont="1" applyBorder="1" applyAlignment="1">
      <alignment vertical="center" wrapText="1"/>
    </xf>
    <xf numFmtId="182" fontId="0" fillId="0" borderId="0" xfId="0" applyNumberFormat="1" applyAlignment="1">
      <alignment vertical="center"/>
    </xf>
    <xf numFmtId="182" fontId="8" fillId="0" borderId="0" xfId="0" applyNumberFormat="1" applyFont="1" applyBorder="1" applyAlignment="1">
      <alignment vertical="center" wrapText="1"/>
    </xf>
    <xf numFmtId="182" fontId="12" fillId="0" borderId="0" xfId="0" applyNumberFormat="1" applyFont="1" applyBorder="1" applyAlignment="1">
      <alignment vertical="center" wrapText="1"/>
    </xf>
    <xf numFmtId="182" fontId="13" fillId="0" borderId="0" xfId="0" applyNumberFormat="1" applyFont="1" applyAlignment="1">
      <alignment vertical="center"/>
    </xf>
    <xf numFmtId="182" fontId="5" fillId="0" borderId="0" xfId="0" applyNumberFormat="1" applyFont="1" applyAlignment="1">
      <alignment vertical="center"/>
    </xf>
    <xf numFmtId="182" fontId="25" fillId="0" borderId="0" xfId="0" applyNumberFormat="1" applyFont="1" applyBorder="1" applyAlignment="1">
      <alignment vertical="center" wrapText="1"/>
    </xf>
    <xf numFmtId="183" fontId="5" fillId="0" borderId="0" xfId="0" applyNumberFormat="1" applyFont="1"/>
    <xf numFmtId="183" fontId="13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vertical="center"/>
    </xf>
    <xf numFmtId="183" fontId="13" fillId="0" borderId="0" xfId="0" applyNumberFormat="1" applyFont="1"/>
    <xf numFmtId="184" fontId="5" fillId="0" borderId="0" xfId="0" applyNumberFormat="1" applyFont="1"/>
    <xf numFmtId="171" fontId="5" fillId="0" borderId="0" xfId="0" applyNumberFormat="1" applyFont="1" applyAlignment="1">
      <alignment vertical="center"/>
    </xf>
    <xf numFmtId="0" fontId="24" fillId="0" borderId="0" xfId="57" applyFont="1" applyAlignment="1">
      <alignment vertical="center"/>
    </xf>
    <xf numFmtId="0" fontId="3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/>
    <cellStyle name="Normal" xfId="0" builtinId="0"/>
  </cellStyles>
  <dxfs count="26"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rgb="FF0000FF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00FF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0000FF"/>
      </font>
      <fill>
        <patternFill>
          <bgColor rgb="FFC6EFCE"/>
        </patternFill>
      </fill>
    </dxf>
    <dxf>
      <font>
        <color rgb="FF0000FF"/>
      </font>
      <fill>
        <patternFill>
          <bgColor rgb="FFFFEB9C"/>
        </patternFill>
      </fill>
    </dxf>
    <dxf>
      <font>
        <color rgb="FF0000FF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strike val="0"/>
        <color auto="1"/>
      </font>
      <fill>
        <patternFill>
          <bgColor rgb="FFFFC7CE"/>
        </patternFill>
      </fill>
    </dxf>
    <dxf>
      <font>
        <color rgb="FF0000FF"/>
      </font>
      <fill>
        <patternFill>
          <bgColor rgb="FFC6EFCE"/>
        </patternFill>
      </fill>
    </dxf>
    <dxf>
      <font>
        <color rgb="FF0000FF"/>
      </font>
      <fill>
        <patternFill>
          <bgColor rgb="FFFFEB9C"/>
        </patternFill>
      </fill>
    </dxf>
    <dxf>
      <font>
        <color rgb="FF0000FF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uc.edu/upass/u-passopt-out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catalog.findlay.edu/current/Undergraduate-Catalog/Academic-Calendar/2022-2023-Academic-Calendar/Fall-Semester-2022" TargetMode="External"/><Relationship Id="rId12" Type="http://schemas.openxmlformats.org/officeDocument/2006/relationships/hyperlink" Target="https://www.regis.edu/_documents/records-and-registration/rc-graduate-and-spa-academic-calendar-2021-2022.pdf" TargetMode="External"/><Relationship Id="rId13" Type="http://schemas.openxmlformats.org/officeDocument/2006/relationships/hyperlink" Target="https://lindenwood.smartcatalogiq.com/2021-2022/Graduate-Catalog/Academic-Calendar" TargetMode="External"/><Relationship Id="rId1" Type="http://schemas.openxmlformats.org/officeDocument/2006/relationships/hyperlink" Target="../Library/Application%20Support/Library/Application%20Support/Library/Application%20Support/Microsoft/Downloads/Marquette%20University.pdf" TargetMode="External"/><Relationship Id="rId2" Type="http://schemas.openxmlformats.org/officeDocument/2006/relationships/hyperlink" Target="https://academics.depaul.edu/calendar/Pages/default.aspx?query=All&amp;year=2022-2023&amp;term=autumn&amp;type=begin-end" TargetMode="External"/><Relationship Id="rId3" Type="http://schemas.openxmlformats.org/officeDocument/2006/relationships/hyperlink" Target="https://www.udmercy.edu/current-students/registrar/files/current_3yr_calendar.pdf" TargetMode="External"/><Relationship Id="rId4" Type="http://schemas.openxmlformats.org/officeDocument/2006/relationships/hyperlink" Target="https://catalog.canisius.edu/graduate/academic-calendar/" TargetMode="External"/><Relationship Id="rId5" Type="http://schemas.openxmlformats.org/officeDocument/2006/relationships/hyperlink" Target="https://www.american.edu/programs/shared/data-science/admissions.cfm" TargetMode="External"/><Relationship Id="rId6" Type="http://schemas.openxmlformats.org/officeDocument/2006/relationships/hyperlink" Target="https://www.tiffin.edu/academics/calendar-bulletin" TargetMode="External"/><Relationship Id="rId7" Type="http://schemas.openxmlformats.org/officeDocument/2006/relationships/hyperlink" Target="https://www.stmarys-ca.edu/graduate-business-ranked-a-best-graduate-school-by-us-news-world-report/application-deadlines" TargetMode="External"/><Relationship Id="rId8" Type="http://schemas.openxmlformats.org/officeDocument/2006/relationships/hyperlink" Target="https://www.up.edu/graduate/program-requirements/ma-hesa.html" TargetMode="External"/><Relationship Id="rId9" Type="http://schemas.openxmlformats.org/officeDocument/2006/relationships/hyperlink" Target="https://www.marquette.edu/grad/programs-criminal-justice-data-analytics.php" TargetMode="External"/><Relationship Id="rId10" Type="http://schemas.openxmlformats.org/officeDocument/2006/relationships/hyperlink" Target="https://www.loyola.edu/academics/data-science/graduate/ad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sqref="A1:C1"/>
    </sheetView>
  </sheetViews>
  <sheetFormatPr baseColWidth="10" defaultRowHeight="15" x14ac:dyDescent="0"/>
  <cols>
    <col min="1" max="1" width="39.33203125" customWidth="1"/>
    <col min="2" max="2" width="7" bestFit="1" customWidth="1"/>
    <col min="3" max="3" width="9.33203125" bestFit="1" customWidth="1"/>
    <col min="4" max="4" width="2.5" customWidth="1"/>
    <col min="5" max="5" width="39.33203125" customWidth="1"/>
    <col min="6" max="6" width="7" bestFit="1" customWidth="1"/>
    <col min="7" max="7" width="9.33203125" bestFit="1" customWidth="1"/>
    <col min="8" max="8" width="2.5" customWidth="1"/>
    <col min="9" max="9" width="39.33203125" customWidth="1"/>
    <col min="10" max="10" width="7" bestFit="1" customWidth="1"/>
    <col min="11" max="11" width="10.33203125" bestFit="1" customWidth="1"/>
    <col min="12" max="12" width="2.5" customWidth="1"/>
    <col min="13" max="13" width="40.83203125" bestFit="1" customWidth="1"/>
    <col min="14" max="14" width="7" bestFit="1" customWidth="1"/>
    <col min="15" max="15" width="9.33203125" bestFit="1" customWidth="1"/>
  </cols>
  <sheetData>
    <row r="1" spans="1:15" ht="16">
      <c r="A1" s="124" t="s">
        <v>34</v>
      </c>
      <c r="B1" s="124"/>
      <c r="C1" s="124"/>
      <c r="E1" s="124" t="s">
        <v>35</v>
      </c>
      <c r="F1" s="124"/>
      <c r="G1" s="124"/>
      <c r="I1" s="122" t="s">
        <v>50</v>
      </c>
      <c r="J1" s="122"/>
      <c r="K1" s="122"/>
      <c r="M1" s="122" t="s">
        <v>65</v>
      </c>
      <c r="N1" s="122"/>
      <c r="O1" s="122"/>
    </row>
    <row r="2" spans="1:15">
      <c r="A2" t="s">
        <v>23</v>
      </c>
      <c r="B2" t="s">
        <v>3</v>
      </c>
      <c r="C2" t="s">
        <v>18</v>
      </c>
      <c r="E2" t="str">
        <f>A2</f>
        <v>Course Number and Title</v>
      </c>
      <c r="F2" t="str">
        <f>B2</f>
        <v>Credits</v>
      </c>
      <c r="G2" t="str">
        <f>C2</f>
        <v>Tuition</v>
      </c>
      <c r="I2" s="3" t="str">
        <f>A2</f>
        <v>Course Number and Title</v>
      </c>
      <c r="J2" s="3" t="str">
        <f>B2</f>
        <v>Credits</v>
      </c>
      <c r="K2" s="3" t="str">
        <f>C2</f>
        <v>Tuition</v>
      </c>
      <c r="M2" s="3" t="str">
        <f>A2</f>
        <v>Course Number and Title</v>
      </c>
      <c r="N2" s="3" t="str">
        <f>B2</f>
        <v>Credits</v>
      </c>
      <c r="O2" s="3" t="str">
        <f>C2</f>
        <v>Tuition</v>
      </c>
    </row>
    <row r="3" spans="1:15" ht="16">
      <c r="A3" t="s">
        <v>103</v>
      </c>
      <c r="B3">
        <f t="shared" ref="B3:B8" si="0">IF(ISBLANK(A3),0,IF(ISNUMBER(SEARCH(401,A3)),2,IF(ISNUMBER(SEARCH("STAT 4",A3)),3,0)))</f>
        <v>3</v>
      </c>
      <c r="C3" s="2">
        <f>IF(OR(A1="✓ Fall 2020",A1="✓ Spring 2021",A1="✓ Fall 2021",A1="✓ Spring 2022"),1033*0.5*B3,1033*B3)</f>
        <v>1549.5</v>
      </c>
      <c r="E3" s="3" t="s">
        <v>104</v>
      </c>
      <c r="F3">
        <f t="shared" ref="F3:F8" si="1">IF(ISBLANK(E3),0,IF(ISNUMBER(SEARCH(401,E3)),2,IF(ISNUMBER(SEARCH("STAT 4",E3)),3,0)))</f>
        <v>3</v>
      </c>
      <c r="G3" s="2">
        <f>IF(OR(E1="✓ Fall 2020",E1="✓ Spring 2021",E1="✓ Fall 2021",E1="✓ Spring 2022"),1033*0.5*F3,1033*F3)</f>
        <v>1549.5</v>
      </c>
      <c r="I3" s="3" t="s">
        <v>105</v>
      </c>
      <c r="J3">
        <f t="shared" ref="J3:J8" si="2">IF(ISBLANK(I3),0,IF(ISNUMBER(SEARCH(401,I3)),2,IF(ISNUMBER(SEARCH("STAT 4",I3)),3,0)))</f>
        <v>3</v>
      </c>
      <c r="K3" s="2">
        <f>IF(OR(I1="✓ Fall 2020",I1="✓ Spring 2021",I1="✓ Fall 2021",I1="✓ Spring 2022"),1055*0.5*J3,1055*J3)</f>
        <v>1582.5</v>
      </c>
      <c r="M3" s="3" t="s">
        <v>106</v>
      </c>
      <c r="N3">
        <f t="shared" ref="N3:N8" si="3">IF(ISBLANK(M3),0,IF(ISNUMBER(SEARCH(401,M3)),2,IF(ISNUMBER(SEARCH("STAT 4",M3)),3,0)))</f>
        <v>3</v>
      </c>
      <c r="O3" s="2">
        <f>IF(OR(M1="✓ Fall 2020",M1="✓ Spring 2021",M1="✓ Fall 2021",M1="✓ Spring 2022"),1055*0.5*N3,1055*N3)</f>
        <v>1582.5</v>
      </c>
    </row>
    <row r="4" spans="1:15" ht="16">
      <c r="B4">
        <f t="shared" si="0"/>
        <v>0</v>
      </c>
      <c r="C4" s="2">
        <f>IF(OR(A1="✓ Fall 2020",A1="✓ Spring 2021",A1="✓ Fall 2021",A1="✓ Spring 2022"),1033*0.5*B4,1033*B4)</f>
        <v>0</v>
      </c>
      <c r="F4">
        <f t="shared" si="1"/>
        <v>0</v>
      </c>
      <c r="G4" s="2">
        <f>IF(OR(E1="✓ Fall 2020",E1="✓ Spring 2021",E1="✓ Fall 2021",E1="✓ Spring 2022"),1033*0.5*F4,1033*F4)</f>
        <v>0</v>
      </c>
      <c r="I4" s="3"/>
      <c r="J4">
        <f t="shared" si="2"/>
        <v>0</v>
      </c>
      <c r="K4" s="2">
        <f>IF(OR(I1="✓ Fall 2020",I1="✓ Spring 2021",I1="✓ Fall 2021",I1="✓ Spring 2022"),1055*0.5*J4,1055*J4)</f>
        <v>0</v>
      </c>
      <c r="M4" s="3" t="s">
        <v>107</v>
      </c>
      <c r="N4">
        <f t="shared" si="3"/>
        <v>3</v>
      </c>
      <c r="O4" s="2">
        <f>IF(OR(M1="✓ Fall 2020",M1="✓ Spring 2021",M1="✓ Fall 2021",M1="✓ Spring 2022"),1055*0.5*N4,1055*N4)</f>
        <v>1582.5</v>
      </c>
    </row>
    <row r="5" spans="1:15" ht="16">
      <c r="B5">
        <f t="shared" si="0"/>
        <v>0</v>
      </c>
      <c r="C5" s="2">
        <f>IF(OR(A1="✓ Fall 2020",A1="✓ Spring 2021",A1="✓ Fall 2021",A1="✓ Spring 2022"),1033*0.5*B5,1033*B5)</f>
        <v>0</v>
      </c>
      <c r="F5">
        <f t="shared" si="1"/>
        <v>0</v>
      </c>
      <c r="G5" s="2">
        <f>IF(OR(E1="✓ Fall 2020",E1="✓ Spring 2021",E1="✓ Fall 2021",E1="✓ Spring 2022"),1033*0.5*F5,1033*F5)</f>
        <v>0</v>
      </c>
      <c r="I5" s="3"/>
      <c r="J5">
        <f t="shared" si="2"/>
        <v>0</v>
      </c>
      <c r="K5" s="2">
        <f>IF(OR(I1="✓ Fall 2020",I1="✓ Spring 2021",I1="✓ Fall 2021",I1="✓ Spring 2022"),1055*0.5*J5,1055*J5)</f>
        <v>0</v>
      </c>
      <c r="M5" s="95" t="s">
        <v>108</v>
      </c>
      <c r="N5">
        <f t="shared" si="3"/>
        <v>3</v>
      </c>
      <c r="O5" s="2">
        <f>IF(OR(M1="✓ Fall 2020",M1="✓ Spring 2021",M1="✓ Fall 2021",M1="✓ Spring 2022"),1055*0.5*N5,1055*N5)</f>
        <v>1582.5</v>
      </c>
    </row>
    <row r="6" spans="1:15">
      <c r="A6" s="5" t="str">
        <f>HYPERLINK("https://www.luc.edu/coronavirus/previousmessages/2020-0626-1fall2020tuitionfeesandhousing.shtml","Student Development Fee (''suspend''ed)")</f>
        <v>Student Development Fee (''suspend''ed)</v>
      </c>
      <c r="B6" s="1">
        <f t="shared" si="0"/>
        <v>0</v>
      </c>
      <c r="C6" s="6">
        <f>0</f>
        <v>0</v>
      </c>
      <c r="E6" s="5" t="str">
        <f>HYPERLINK("https://www.luc.edu/coronavirus/previousmessages/2020-0626-1fall2020tuitionfeesandhousing.shtml","Student Development Fee (''suspend''ed)")</f>
        <v>Student Development Fee (''suspend''ed)</v>
      </c>
      <c r="F6" s="1">
        <f t="shared" si="1"/>
        <v>0</v>
      </c>
      <c r="G6" s="6">
        <f>0</f>
        <v>0</v>
      </c>
      <c r="I6" t="str">
        <f>LEFT(A6,24)</f>
        <v xml:space="preserve">Student Development Fee </v>
      </c>
      <c r="J6">
        <f t="shared" si="2"/>
        <v>0</v>
      </c>
      <c r="K6" s="2">
        <f>IF(J9&gt;=6,172,IF(J9&gt;=1,85,0))</f>
        <v>85</v>
      </c>
      <c r="M6" t="str">
        <f>I6</f>
        <v xml:space="preserve">Student Development Fee </v>
      </c>
      <c r="N6">
        <f t="shared" si="3"/>
        <v>0</v>
      </c>
      <c r="O6" s="2">
        <f>IF(N9&gt;=6,172,IF(N9&gt;=1,85,0))</f>
        <v>172</v>
      </c>
    </row>
    <row r="7" spans="1:15">
      <c r="A7" t="str">
        <f>"Technology"&amp;TEXT(MID(A6,FIND(" Fee",A6,1),4),"")&amp;""</f>
        <v>Technology Fee</v>
      </c>
      <c r="B7">
        <f t="shared" si="0"/>
        <v>0</v>
      </c>
      <c r="C7" s="2">
        <f>IF(B9&gt;=9,125,IF(B9&gt;=4,65,IF(B9&gt;=1,30,0)))</f>
        <v>30</v>
      </c>
      <c r="E7" t="str">
        <f>A7</f>
        <v>Technology Fee</v>
      </c>
      <c r="F7">
        <f t="shared" si="1"/>
        <v>0</v>
      </c>
      <c r="G7" s="2">
        <f>IF(F9&gt;=9,125,IF(F9&gt;=4,65,IF(F9&gt;=1,30,0)))</f>
        <v>30</v>
      </c>
      <c r="I7" t="str">
        <f>A7</f>
        <v>Technology Fee</v>
      </c>
      <c r="J7">
        <f t="shared" si="2"/>
        <v>0</v>
      </c>
      <c r="K7" s="2">
        <f>IF(J9&gt;=9,125,IF(J9&gt;=4,65,IF(J9&gt;=1,30,0)))</f>
        <v>30</v>
      </c>
      <c r="M7" t="str">
        <f>A7</f>
        <v>Technology Fee</v>
      </c>
      <c r="N7">
        <f t="shared" si="3"/>
        <v>0</v>
      </c>
      <c r="O7" s="2">
        <f>IF(N9&gt;=9,125,IF(N9&gt;=4,65,IF(N9&gt;=1,30,0)))</f>
        <v>125</v>
      </c>
    </row>
    <row r="8" spans="1:15">
      <c r="A8" t="s">
        <v>29</v>
      </c>
      <c r="B8">
        <f t="shared" si="0"/>
        <v>0</v>
      </c>
      <c r="C8" s="2">
        <f>IF(B9&gt;=8,155,0)</f>
        <v>0</v>
      </c>
      <c r="E8" t="str">
        <f>A8</f>
        <v>Chicago Transit Authority (CTA) U-Pass</v>
      </c>
      <c r="F8">
        <f t="shared" si="1"/>
        <v>0</v>
      </c>
      <c r="G8" s="2">
        <f>IF(F9&gt;=8,155,0)</f>
        <v>0</v>
      </c>
      <c r="I8" t="str">
        <f>A8</f>
        <v>Chicago Transit Authority (CTA) U-Pass</v>
      </c>
      <c r="J8">
        <f t="shared" si="2"/>
        <v>0</v>
      </c>
      <c r="K8" s="2">
        <f>IF(J9&gt;=8,155,0)</f>
        <v>0</v>
      </c>
      <c r="M8" s="5" t="str">
        <f>HYPERLINK("https://www.luc.edu/upass/u-passopt-out","Chicago Transit Authority U-Pass (''opt-out'')")</f>
        <v>Chicago Transit Authority U-Pass (''opt-out'')</v>
      </c>
      <c r="N8" s="96">
        <f t="shared" si="3"/>
        <v>0</v>
      </c>
      <c r="O8" s="6">
        <v>0</v>
      </c>
    </row>
    <row r="9" spans="1:15">
      <c r="A9" t="s">
        <v>24</v>
      </c>
      <c r="B9">
        <f>SUM(B3:B8)</f>
        <v>3</v>
      </c>
      <c r="C9" s="2">
        <f>SUM(C3:C8)</f>
        <v>1579.5</v>
      </c>
      <c r="E9" t="str">
        <f>A9</f>
        <v>Total</v>
      </c>
      <c r="F9">
        <f>SUM(F3:F8)</f>
        <v>3</v>
      </c>
      <c r="G9" s="2">
        <f>SUM(G3:G8)</f>
        <v>1579.5</v>
      </c>
      <c r="I9" t="str">
        <f>A9</f>
        <v>Total</v>
      </c>
      <c r="J9">
        <f>SUM(J3:J8)</f>
        <v>3</v>
      </c>
      <c r="K9" s="2">
        <f>SUM(K3:K8)</f>
        <v>1697.5</v>
      </c>
      <c r="M9" t="str">
        <f>A9</f>
        <v>Total</v>
      </c>
      <c r="N9">
        <f>SUM(N3:N8)</f>
        <v>9</v>
      </c>
      <c r="O9" s="2">
        <f>SUM(O3:O8)</f>
        <v>5044.5</v>
      </c>
    </row>
    <row r="11" spans="1:15" ht="16">
      <c r="A11" s="124" t="s">
        <v>69</v>
      </c>
      <c r="B11" s="124"/>
      <c r="C11" s="124"/>
      <c r="E11" s="122" t="s">
        <v>102</v>
      </c>
      <c r="F11" s="122"/>
      <c r="G11" s="122"/>
      <c r="I11" s="123" t="s">
        <v>114</v>
      </c>
      <c r="J11" s="123"/>
      <c r="K11" s="123"/>
      <c r="M11" s="98"/>
      <c r="N11" s="98"/>
      <c r="O11" s="98"/>
    </row>
    <row r="12" spans="1:15">
      <c r="A12" s="3" t="str">
        <f>A2</f>
        <v>Course Number and Title</v>
      </c>
      <c r="B12" s="3" t="str">
        <f>B2</f>
        <v>Credits</v>
      </c>
      <c r="C12" s="3" t="str">
        <f>C2</f>
        <v>Tuition</v>
      </c>
      <c r="E12" s="3" t="str">
        <f>A2</f>
        <v>Course Number and Title</v>
      </c>
      <c r="F12" s="3" t="str">
        <f>B2</f>
        <v>Credits</v>
      </c>
      <c r="G12" s="3" t="str">
        <f>C2</f>
        <v>Tuition</v>
      </c>
      <c r="I12" s="3" t="s">
        <v>25</v>
      </c>
      <c r="J12" s="3" t="str">
        <f>B2</f>
        <v>Credits</v>
      </c>
      <c r="K12" s="3" t="str">
        <f>C2</f>
        <v>Tuition</v>
      </c>
      <c r="M12" s="3"/>
      <c r="N12" s="3"/>
      <c r="O12" s="3"/>
    </row>
    <row r="13" spans="1:15" ht="16">
      <c r="A13" s="3" t="s">
        <v>109</v>
      </c>
      <c r="B13">
        <f t="shared" ref="B13:B18" si="4">IF(ISBLANK(A13),0,IF(ISNUMBER(SEARCH(401,A13)),2,IF(ISNUMBER(SEARCH("STAT 4",A13)),3,0)))</f>
        <v>3</v>
      </c>
      <c r="C13" s="2">
        <f>IF(OR(A11="✓ Fall 2020",A11="✓ Spring 2021",A11="✓ Fall 2021",A11="✓ Spring 2022"),1055*0.5*B13,1055*B13)</f>
        <v>3165</v>
      </c>
      <c r="E13" s="3" t="s">
        <v>110</v>
      </c>
      <c r="F13">
        <f t="shared" ref="F13:F18" si="5">IF(ISBLANK(E13),0,IF(ISNUMBER(SEARCH(401,E13)),2,IF(ISNUMBER(SEARCH("STAT 4",E13)),3,0)))</f>
        <v>2</v>
      </c>
      <c r="G13" s="2">
        <f>IF(OR(E11="✓ Fall 2020",E11="✓ Spring 2021",E11="✓ Fall 2021",E11="✓ Spring 2022"),1080*0.5*F13,1080*0.75*F13)</f>
        <v>1620</v>
      </c>
      <c r="I13" s="3" t="str">
        <f>A1</f>
        <v>✓ Fall 2020</v>
      </c>
      <c r="J13">
        <f>B9</f>
        <v>3</v>
      </c>
      <c r="K13" s="2">
        <f>C9</f>
        <v>1579.5</v>
      </c>
      <c r="M13" s="33"/>
      <c r="O13" s="2"/>
    </row>
    <row r="14" spans="1:15" ht="16">
      <c r="A14" s="3"/>
      <c r="B14">
        <f t="shared" si="4"/>
        <v>0</v>
      </c>
      <c r="C14" s="2">
        <f>IF(OR(A11="✓ Fall 2020",A11="✓ Spring 2021",A11="✓ Fall 2021",A11="✓ Spring 2022"),1080*0.5*B14,1080*0.75*B14)</f>
        <v>0</v>
      </c>
      <c r="E14" s="3" t="s">
        <v>111</v>
      </c>
      <c r="F14">
        <f t="shared" si="5"/>
        <v>3</v>
      </c>
      <c r="G14" s="2">
        <f>IF(OR(E11="✓ Fall 2020",E11="✓ Spring 2021",E11="✓ Fall 2021",E11="✓ Spring 2022"),1080*0.5*F14,1080*0.75*F14)</f>
        <v>2430</v>
      </c>
      <c r="I14" s="3" t="str">
        <f>E1</f>
        <v>✓ Spring 2021</v>
      </c>
      <c r="J14">
        <f>F9</f>
        <v>3</v>
      </c>
      <c r="K14" s="2">
        <f>G9</f>
        <v>1579.5</v>
      </c>
      <c r="M14" s="33"/>
      <c r="O14" s="2"/>
    </row>
    <row r="15" spans="1:15" ht="16">
      <c r="A15" s="3"/>
      <c r="B15">
        <f t="shared" si="4"/>
        <v>0</v>
      </c>
      <c r="C15" s="2">
        <f>IF(OR(A11="✓ Fall 2020",A11="✓ Spring 2021",A11="✓ Fall 2021",A11="✓ Spring 2022"),1080*0.5*B15,1080*0.75*B15)</f>
        <v>0</v>
      </c>
      <c r="E15" s="3" t="s">
        <v>112</v>
      </c>
      <c r="F15">
        <f t="shared" si="5"/>
        <v>3</v>
      </c>
      <c r="G15" s="2">
        <f>IF(OR(E11="✓ Fall 2020",E11="✓ Spring 2021",E11="✓ Fall 2021",E11="✓ Spring 2022"),1080*0.5*F15,1080*0.75*F15)</f>
        <v>2430</v>
      </c>
      <c r="I15" s="3" t="str">
        <f>I1</f>
        <v>✓ Fall 2021</v>
      </c>
      <c r="J15">
        <f>J9</f>
        <v>3</v>
      </c>
      <c r="K15" s="2">
        <f>K9</f>
        <v>1697.5</v>
      </c>
      <c r="M15" s="3"/>
      <c r="O15" s="2"/>
    </row>
    <row r="16" spans="1:15">
      <c r="A16" s="3" t="str">
        <f>I6</f>
        <v xml:space="preserve">Student Development Fee </v>
      </c>
      <c r="B16">
        <f t="shared" si="4"/>
        <v>0</v>
      </c>
      <c r="C16" s="2">
        <v>0</v>
      </c>
      <c r="E16" t="str">
        <f>I6</f>
        <v xml:space="preserve">Student Development Fee </v>
      </c>
      <c r="F16">
        <f t="shared" si="5"/>
        <v>0</v>
      </c>
      <c r="G16" s="2">
        <f>IF(F19&gt;=6,172,IF(F19&gt;=1,85,0))</f>
        <v>172</v>
      </c>
      <c r="I16" t="str">
        <f>M1</f>
        <v>✓ Spring 2022</v>
      </c>
      <c r="J16">
        <f>N9</f>
        <v>9</v>
      </c>
      <c r="K16" s="2">
        <f>O9</f>
        <v>5044.5</v>
      </c>
      <c r="O16" s="2"/>
    </row>
    <row r="17" spans="1:15">
      <c r="A17" s="3" t="str">
        <f>A7</f>
        <v>Technology Fee</v>
      </c>
      <c r="B17">
        <f t="shared" si="4"/>
        <v>0</v>
      </c>
      <c r="C17" s="2">
        <v>0</v>
      </c>
      <c r="E17" t="str">
        <f>A7</f>
        <v>Technology Fee</v>
      </c>
      <c r="F17">
        <f t="shared" si="5"/>
        <v>0</v>
      </c>
      <c r="G17" s="2">
        <f>IF(F19&gt;=9,125,IF(F19&gt;=4,65,IF(F19&gt;=1,30,0)))</f>
        <v>65</v>
      </c>
      <c r="I17" t="str">
        <f>A11</f>
        <v>✓ Summer 2022</v>
      </c>
      <c r="J17">
        <f>B19</f>
        <v>3</v>
      </c>
      <c r="K17" s="2">
        <f>C19</f>
        <v>3165</v>
      </c>
      <c r="O17" s="2"/>
    </row>
    <row r="18" spans="1:15">
      <c r="A18" s="3" t="str">
        <f>A8</f>
        <v>Chicago Transit Authority (CTA) U-Pass</v>
      </c>
      <c r="B18">
        <f t="shared" si="4"/>
        <v>0</v>
      </c>
      <c r="C18" s="2">
        <f>IF(B19&gt;=8,155,0)</f>
        <v>0</v>
      </c>
      <c r="E18" s="5" t="s">
        <v>113</v>
      </c>
      <c r="F18" s="1">
        <f t="shared" si="5"/>
        <v>0</v>
      </c>
      <c r="G18" s="6">
        <v>0</v>
      </c>
      <c r="I18" t="str">
        <f>E11</f>
        <v>✓ Fall 2022</v>
      </c>
      <c r="J18">
        <f>F19</f>
        <v>8</v>
      </c>
      <c r="K18" s="2">
        <f>G19</f>
        <v>6717</v>
      </c>
      <c r="O18" s="2"/>
    </row>
    <row r="19" spans="1:15">
      <c r="A19" s="3" t="str">
        <f>A9</f>
        <v>Total</v>
      </c>
      <c r="B19">
        <f>SUM(B13:B18)</f>
        <v>3</v>
      </c>
      <c r="C19" s="2">
        <f>SUM(C13:C18)</f>
        <v>3165</v>
      </c>
      <c r="E19" t="str">
        <f>A9</f>
        <v>Total</v>
      </c>
      <c r="F19">
        <f>SUM(F13:F18)</f>
        <v>8</v>
      </c>
      <c r="G19" s="2">
        <f>SUM(G13:G18)</f>
        <v>6717</v>
      </c>
      <c r="I19" t="s">
        <v>26</v>
      </c>
      <c r="K19" s="2">
        <f>'Apartment Rent'!F56</f>
        <v>20240.071290322587</v>
      </c>
      <c r="O19" s="2"/>
    </row>
    <row r="20" spans="1:15">
      <c r="A20" s="3"/>
      <c r="C20" s="2"/>
      <c r="G20" s="2"/>
      <c r="I20" s="5" t="str">
        <f>HYPERLINK("https://www.luc.edu/bursar/Matriculation_Fee.shtml","Matriculation"&amp;TEXT(RIGHT(A7,4),"")&amp;"")</f>
        <v>Matriculation Fee</v>
      </c>
      <c r="K20" s="2">
        <f>IF(J21=29,100,0)</f>
        <v>100</v>
      </c>
      <c r="O20" s="2"/>
    </row>
    <row r="21" spans="1:15">
      <c r="A21" s="3"/>
      <c r="C21" s="2"/>
      <c r="G21" s="2"/>
      <c r="I21" t="str">
        <f>"Grand "&amp;TEXT(A9,"")&amp;""</f>
        <v>Grand Total</v>
      </c>
      <c r="J21">
        <f>SUM(J13:J18)</f>
        <v>29</v>
      </c>
      <c r="K21" s="4">
        <f>SUM(K13:K20)</f>
        <v>40123.071290322587</v>
      </c>
      <c r="O21" s="2"/>
    </row>
  </sheetData>
  <sheetProtection password="F369" sheet="1" objects="1" scenarios="1" sort="0" autoFilter="0"/>
  <customSheetViews>
    <customSheetView guid="{D6ACF4D4-0270-1E41-ACF3-32941C02D89F}">
      <selection activeCell="E11" sqref="E11:G11"/>
      <pageSetup orientation="portrait" horizontalDpi="4294967292" verticalDpi="4294967292"/>
    </customSheetView>
  </customSheetViews>
  <mergeCells count="7">
    <mergeCell ref="M1:O1"/>
    <mergeCell ref="I11:K11"/>
    <mergeCell ref="A1:C1"/>
    <mergeCell ref="E1:G1"/>
    <mergeCell ref="A11:C11"/>
    <mergeCell ref="E11:G11"/>
    <mergeCell ref="I1:K1"/>
  </mergeCells>
  <conditionalFormatting sqref="C13:C15">
    <cfRule type="cellIs" dxfId="25" priority="3" operator="greaterThan">
      <formula>0</formula>
    </cfRule>
  </conditionalFormatting>
  <hyperlinks>
    <hyperlink ref="E18" r:id="rId1"/>
  </hyperlinks>
  <pageMargins left="0.75" right="0.75" top="1" bottom="1" header="0.5" footer="0.5"/>
  <pageSetup orientation="portrait" horizontalDpi="4294967292" verticalDpi="4294967292"/>
  <ignoredErrors>
    <ignoredError sqref="B4:B5 F4:F5 J4:J5 N4:N5 B14:B15 F14:F15" emptyCellReference="1"/>
    <ignoredError sqref="A10:O10 A9 C9:O9 C8:E8 A4 D5:E5 H5 L5 L15 H15 D15 A2 D2:E2 H2:I2 L2:M2 A12 L12 H12 D12:E12 D6 C7:E7 D3 D4:E4 H3 H4 L3 L4 D14 H13 H14 L13 L14 D11 J11:L11 H11 G8:I8 H6 G7:I7 K8:M8 K6:L6 K7:M7 O6 O7 A17:A18 C18:D18 H18 L18 D16 G16:H16 L16 D17:E17 G17:H17 A19:H19 L19 L17" formula="1"/>
    <ignoredError sqref="B9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baseColWidth="10" defaultRowHeight="15" x14ac:dyDescent="0"/>
  <cols>
    <col min="1" max="1" width="12.6640625" customWidth="1"/>
    <col min="2" max="2" width="32.6640625" hidden="1" customWidth="1"/>
    <col min="3" max="3" width="14.6640625" bestFit="1" customWidth="1"/>
    <col min="4" max="4" width="17.83203125" bestFit="1" customWidth="1"/>
    <col min="6" max="6" width="10.5" bestFit="1" customWidth="1"/>
    <col min="7" max="7" width="16.5" bestFit="1" customWidth="1"/>
  </cols>
  <sheetData>
    <row r="1" spans="1:7">
      <c r="A1" t="s">
        <v>40</v>
      </c>
      <c r="B1" t="s">
        <v>41</v>
      </c>
      <c r="C1" t="s">
        <v>37</v>
      </c>
      <c r="D1" t="s">
        <v>38</v>
      </c>
      <c r="E1" t="s">
        <v>39</v>
      </c>
      <c r="F1" t="s">
        <v>49</v>
      </c>
      <c r="G1" t="s">
        <v>70</v>
      </c>
    </row>
    <row r="2" spans="1:7">
      <c r="A2" s="5" t="str">
        <f>HYPERLINK("https://6401sheridan.com","Sheridan Lake")</f>
        <v>Sheridan Lake</v>
      </c>
      <c r="B2" t="s">
        <v>52</v>
      </c>
      <c r="C2" s="91">
        <v>44562</v>
      </c>
      <c r="D2" t="s">
        <v>42</v>
      </c>
      <c r="E2" s="2">
        <v>1168</v>
      </c>
      <c r="F2" s="2">
        <f>SUM(E2)</f>
        <v>1168</v>
      </c>
      <c r="G2" s="94" t="s">
        <v>54</v>
      </c>
    </row>
    <row r="3" spans="1:7">
      <c r="A3" s="5" t="str">
        <f>A2</f>
        <v>Sheridan Lake</v>
      </c>
      <c r="B3" t="str">
        <f>B2</f>
        <v>6415 North Sheridan Road, Unit #0503</v>
      </c>
      <c r="C3" s="91">
        <f>C2</f>
        <v>44562</v>
      </c>
      <c r="D3" t="s">
        <v>43</v>
      </c>
      <c r="E3" s="2">
        <v>59</v>
      </c>
      <c r="F3" s="2">
        <f>SUM(E2:E3)</f>
        <v>1227</v>
      </c>
      <c r="G3" s="94" t="s">
        <v>53</v>
      </c>
    </row>
    <row r="4" spans="1:7">
      <c r="A4" s="5" t="str">
        <f>A2</f>
        <v>Sheridan Lake</v>
      </c>
      <c r="B4" t="str">
        <f>B2</f>
        <v>6415 North Sheridan Road, Unit #0503</v>
      </c>
      <c r="C4" s="92" t="s">
        <v>51</v>
      </c>
      <c r="D4" t="s">
        <v>44</v>
      </c>
      <c r="E4" s="97">
        <v>23.9</v>
      </c>
      <c r="F4" s="2">
        <f>SUM(E2:E4)</f>
        <v>1250.9000000000001</v>
      </c>
      <c r="G4" s="93" t="s">
        <v>55</v>
      </c>
    </row>
    <row r="5" spans="1:7">
      <c r="A5" s="5" t="str">
        <f>A2</f>
        <v>Sheridan Lake</v>
      </c>
      <c r="B5" t="str">
        <f>B2</f>
        <v>6415 North Sheridan Road, Unit #0503</v>
      </c>
      <c r="C5" s="91">
        <v>44593</v>
      </c>
      <c r="D5" t="str">
        <f>D2</f>
        <v>Base Rent</v>
      </c>
      <c r="E5" s="2">
        <f>E2</f>
        <v>1168</v>
      </c>
      <c r="F5" s="2">
        <f>SUM(E2:E5)</f>
        <v>2418.9</v>
      </c>
      <c r="G5" s="93" t="s">
        <v>56</v>
      </c>
    </row>
    <row r="6" spans="1:7">
      <c r="A6" s="5" t="str">
        <f>A2</f>
        <v>Sheridan Lake</v>
      </c>
      <c r="B6" t="str">
        <f>B2</f>
        <v>6415 North Sheridan Road, Unit #0503</v>
      </c>
      <c r="C6" s="91">
        <f>C5</f>
        <v>44593</v>
      </c>
      <c r="D6" t="str">
        <f>D3</f>
        <v>Monthly Service Fee</v>
      </c>
      <c r="E6" s="2">
        <f>E3</f>
        <v>59</v>
      </c>
      <c r="F6" s="2">
        <f>SUM(E2:E6)</f>
        <v>2477.9</v>
      </c>
      <c r="G6" s="93" t="s">
        <v>57</v>
      </c>
    </row>
    <row r="7" spans="1:7">
      <c r="A7" s="5" t="str">
        <f>A2</f>
        <v>Sheridan Lake</v>
      </c>
      <c r="B7" t="str">
        <f>B2</f>
        <v>6415 North Sheridan Road, Unit #0503</v>
      </c>
      <c r="C7" s="92" t="s">
        <v>45</v>
      </c>
      <c r="D7" t="str">
        <f>D4</f>
        <v>ComEd/Electricity</v>
      </c>
      <c r="E7" s="97">
        <v>20.329999999999998</v>
      </c>
      <c r="F7" s="2">
        <f>SUM(E2:E7)</f>
        <v>2498.23</v>
      </c>
      <c r="G7" s="93" t="s">
        <v>59</v>
      </c>
    </row>
    <row r="8" spans="1:7">
      <c r="A8" s="5" t="str">
        <f>A2</f>
        <v>Sheridan Lake</v>
      </c>
      <c r="B8" t="str">
        <f>B2</f>
        <v>6415 North Sheridan Road, Unit #0503</v>
      </c>
      <c r="C8" s="91">
        <v>44621</v>
      </c>
      <c r="D8" t="str">
        <f>D2</f>
        <v>Base Rent</v>
      </c>
      <c r="E8" s="2">
        <f>E2</f>
        <v>1168</v>
      </c>
      <c r="F8" s="2">
        <f>SUM(E2:E8)</f>
        <v>3666.23</v>
      </c>
      <c r="G8" s="93" t="s">
        <v>59</v>
      </c>
    </row>
    <row r="9" spans="1:7">
      <c r="A9" s="5" t="str">
        <f>A2</f>
        <v>Sheridan Lake</v>
      </c>
      <c r="B9" t="str">
        <f>B2</f>
        <v>6415 North Sheridan Road, Unit #0503</v>
      </c>
      <c r="C9" s="91">
        <f>C8</f>
        <v>44621</v>
      </c>
      <c r="D9" t="str">
        <f>D3</f>
        <v>Monthly Service Fee</v>
      </c>
      <c r="E9" s="2">
        <f>E3</f>
        <v>59</v>
      </c>
      <c r="F9" s="2">
        <f>SUM(E2:E9)</f>
        <v>3725.23</v>
      </c>
      <c r="G9" s="93" t="s">
        <v>58</v>
      </c>
    </row>
    <row r="10" spans="1:7">
      <c r="A10" s="5" t="str">
        <f>A2</f>
        <v>Sheridan Lake</v>
      </c>
      <c r="B10" t="str">
        <f>B2</f>
        <v>6415 North Sheridan Road, Unit #0503</v>
      </c>
      <c r="C10" s="92" t="s">
        <v>46</v>
      </c>
      <c r="D10" t="str">
        <f>D4</f>
        <v>ComEd/Electricity</v>
      </c>
      <c r="E10" s="97">
        <v>19.649999999999999</v>
      </c>
      <c r="F10" s="2">
        <f>SUM(E2:E10)</f>
        <v>3744.88</v>
      </c>
      <c r="G10" s="93" t="s">
        <v>62</v>
      </c>
    </row>
    <row r="11" spans="1:7">
      <c r="A11" s="5" t="str">
        <f>A2</f>
        <v>Sheridan Lake</v>
      </c>
      <c r="B11" t="str">
        <f>B2</f>
        <v>6415 North Sheridan Road, Unit #0503</v>
      </c>
      <c r="C11" s="91">
        <v>44652</v>
      </c>
      <c r="D11" t="str">
        <f>D2</f>
        <v>Base Rent</v>
      </c>
      <c r="E11" s="2">
        <f>E2</f>
        <v>1168</v>
      </c>
      <c r="F11" s="2">
        <f>SUM(E2:E11)</f>
        <v>4912.88</v>
      </c>
      <c r="G11" s="93" t="s">
        <v>61</v>
      </c>
    </row>
    <row r="12" spans="1:7">
      <c r="A12" s="5" t="str">
        <f>A2</f>
        <v>Sheridan Lake</v>
      </c>
      <c r="B12" t="str">
        <f>B2</f>
        <v>6415 North Sheridan Road, Unit #0503</v>
      </c>
      <c r="C12" s="91">
        <f>C11</f>
        <v>44652</v>
      </c>
      <c r="D12" t="str">
        <f>D3</f>
        <v>Monthly Service Fee</v>
      </c>
      <c r="E12" s="2">
        <f>E3</f>
        <v>59</v>
      </c>
      <c r="F12" s="2">
        <f>SUM(E2:E12)</f>
        <v>4971.88</v>
      </c>
      <c r="G12" s="93" t="s">
        <v>60</v>
      </c>
    </row>
    <row r="13" spans="1:7">
      <c r="A13" s="5" t="str">
        <f>A2</f>
        <v>Sheridan Lake</v>
      </c>
      <c r="B13" t="str">
        <f>B2</f>
        <v>6415 North Sheridan Road, Unit #0503</v>
      </c>
      <c r="C13" s="92" t="s">
        <v>47</v>
      </c>
      <c r="D13" t="str">
        <f>D4</f>
        <v>ComEd/Electricity</v>
      </c>
      <c r="E13" s="97">
        <v>18.850000000000001</v>
      </c>
      <c r="F13" s="2">
        <f>SUM(E2:E13)</f>
        <v>4990.7300000000005</v>
      </c>
      <c r="G13" s="93" t="s">
        <v>63</v>
      </c>
    </row>
    <row r="14" spans="1:7">
      <c r="A14" s="5" t="str">
        <f>A2</f>
        <v>Sheridan Lake</v>
      </c>
      <c r="B14" t="str">
        <f>B2</f>
        <v>6415 North Sheridan Road, Unit #0503</v>
      </c>
      <c r="C14" s="91">
        <v>44682</v>
      </c>
      <c r="D14" t="str">
        <f>D2</f>
        <v>Base Rent</v>
      </c>
      <c r="E14" s="2">
        <f>E2</f>
        <v>1168</v>
      </c>
      <c r="F14" s="2">
        <f>SUM(E2:E14)</f>
        <v>6158.7300000000005</v>
      </c>
      <c r="G14" s="93" t="s">
        <v>64</v>
      </c>
    </row>
    <row r="15" spans="1:7">
      <c r="A15" s="5" t="str">
        <f>A2</f>
        <v>Sheridan Lake</v>
      </c>
      <c r="B15" t="str">
        <f>B2</f>
        <v>6415 North Sheridan Road, Unit #0503</v>
      </c>
      <c r="C15" s="91">
        <f>C14</f>
        <v>44682</v>
      </c>
      <c r="D15" t="str">
        <f>D3</f>
        <v>Monthly Service Fee</v>
      </c>
      <c r="E15" s="2">
        <f>E3</f>
        <v>59</v>
      </c>
      <c r="F15" s="2">
        <f>SUM(E2:E15)</f>
        <v>6217.7300000000005</v>
      </c>
      <c r="G15" s="93" t="s">
        <v>63</v>
      </c>
    </row>
    <row r="16" spans="1:7">
      <c r="A16" s="5" t="str">
        <f>A2</f>
        <v>Sheridan Lake</v>
      </c>
      <c r="B16" t="str">
        <f>B2</f>
        <v>6415 North Sheridan Road, Unit #0503</v>
      </c>
      <c r="C16" s="92" t="s">
        <v>48</v>
      </c>
      <c r="D16" t="str">
        <f>D4</f>
        <v>ComEd/Electricity</v>
      </c>
      <c r="E16" s="97">
        <v>19.55</v>
      </c>
      <c r="F16" s="4">
        <f>SUM(E2:E16)</f>
        <v>6237.2800000000007</v>
      </c>
      <c r="G16" s="93" t="s">
        <v>66</v>
      </c>
    </row>
    <row r="17" spans="1:7">
      <c r="A17" s="5" t="str">
        <f>A2</f>
        <v>Sheridan Lake</v>
      </c>
      <c r="B17" t="s">
        <v>67</v>
      </c>
      <c r="C17" s="92">
        <v>44787</v>
      </c>
      <c r="D17" t="str">
        <f t="shared" ref="D17" si="0">D5</f>
        <v>Base Rent</v>
      </c>
      <c r="E17" s="97">
        <f>1524*18/31-400</f>
        <v>484.90322580645159</v>
      </c>
      <c r="F17" s="97">
        <f>SUM(E2:E17)</f>
        <v>6722.1832258064524</v>
      </c>
      <c r="G17" s="93" t="s">
        <v>68</v>
      </c>
    </row>
    <row r="18" spans="1:7">
      <c r="A18" s="5" t="str">
        <f>A3</f>
        <v>Sheridan Lake</v>
      </c>
      <c r="B18" t="s">
        <v>67</v>
      </c>
      <c r="C18" s="92">
        <f>C17</f>
        <v>44787</v>
      </c>
      <c r="D18" t="str">
        <f>D6</f>
        <v>Monthly Service Fee</v>
      </c>
      <c r="E18" s="97">
        <f>59*18/31</f>
        <v>34.258064516129032</v>
      </c>
      <c r="F18" s="97">
        <f>SUM(E2:E18)</f>
        <v>6756.4412903225812</v>
      </c>
      <c r="G18" s="100" t="s">
        <v>68</v>
      </c>
    </row>
    <row r="19" spans="1:7">
      <c r="A19" s="5" t="str">
        <f>A4</f>
        <v>Sheridan Lake</v>
      </c>
      <c r="B19" t="s">
        <v>97</v>
      </c>
      <c r="C19" s="92">
        <f>C18</f>
        <v>44787</v>
      </c>
      <c r="D19" t="s">
        <v>99</v>
      </c>
      <c r="E19" s="97">
        <v>0.95</v>
      </c>
      <c r="F19" s="97">
        <f>SUM(E2:E19)</f>
        <v>6757.391290322581</v>
      </c>
      <c r="G19" s="100" t="s">
        <v>98</v>
      </c>
    </row>
    <row r="20" spans="1:7">
      <c r="A20" s="5" t="str">
        <f>A4</f>
        <v>Sheridan Lake</v>
      </c>
      <c r="B20" s="3" t="s">
        <v>67</v>
      </c>
      <c r="C20" s="92">
        <v>44774</v>
      </c>
      <c r="D20" t="str">
        <f>D7</f>
        <v>ComEd/Electricity</v>
      </c>
      <c r="E20" s="97">
        <v>5.38</v>
      </c>
      <c r="F20" s="97">
        <f>SUM(E2:E20)</f>
        <v>6762.7712903225811</v>
      </c>
      <c r="G20" s="100" t="s">
        <v>72</v>
      </c>
    </row>
    <row r="21" spans="1:7">
      <c r="A21" s="5" t="str">
        <f>A5</f>
        <v>Sheridan Lake</v>
      </c>
      <c r="B21" s="3" t="s">
        <v>67</v>
      </c>
      <c r="C21" s="91">
        <v>44805</v>
      </c>
      <c r="D21" t="str">
        <f>D8</f>
        <v>Base Rent</v>
      </c>
      <c r="E21" s="97">
        <v>1524</v>
      </c>
      <c r="F21" s="97">
        <f>SUM(E2:E21)</f>
        <v>8286.7712903225802</v>
      </c>
      <c r="G21" s="100" t="s">
        <v>71</v>
      </c>
    </row>
    <row r="22" spans="1:7">
      <c r="A22" s="5" t="str">
        <f>A6</f>
        <v>Sheridan Lake</v>
      </c>
      <c r="B22" s="3" t="s">
        <v>67</v>
      </c>
      <c r="C22" s="91">
        <f>C21</f>
        <v>44805</v>
      </c>
      <c r="D22" t="str">
        <f>D9</f>
        <v>Monthly Service Fee</v>
      </c>
      <c r="E22" s="97">
        <v>59</v>
      </c>
      <c r="F22" s="97">
        <f>SUM(E2:E22)</f>
        <v>8345.7712903225802</v>
      </c>
      <c r="G22" s="100" t="s">
        <v>71</v>
      </c>
    </row>
    <row r="23" spans="1:7">
      <c r="A23" s="5" t="str">
        <f>A7</f>
        <v>Sheridan Lake</v>
      </c>
      <c r="B23" s="3" t="s">
        <v>97</v>
      </c>
      <c r="C23" s="91">
        <f>C22</f>
        <v>44805</v>
      </c>
      <c r="D23" t="s">
        <v>99</v>
      </c>
      <c r="E23" s="97">
        <v>0.95</v>
      </c>
      <c r="F23" s="97">
        <f>SUM(E2:E23)</f>
        <v>8346.7212903225809</v>
      </c>
      <c r="G23" s="100" t="s">
        <v>71</v>
      </c>
    </row>
    <row r="24" spans="1:7">
      <c r="A24" s="5" t="str">
        <f>A7</f>
        <v>Sheridan Lake</v>
      </c>
      <c r="B24" s="3" t="s">
        <v>67</v>
      </c>
      <c r="C24" s="101" t="s">
        <v>74</v>
      </c>
      <c r="D24" t="str">
        <f>D10</f>
        <v>ComEd/Electricity</v>
      </c>
      <c r="E24" s="97">
        <v>17.149999999999999</v>
      </c>
      <c r="F24" s="97">
        <f>SUM(E2:E24)</f>
        <v>8363.8712903225805</v>
      </c>
      <c r="G24" s="99" t="s">
        <v>83</v>
      </c>
    </row>
    <row r="25" spans="1:7">
      <c r="A25" s="5" t="str">
        <f>A8</f>
        <v>Sheridan Lake</v>
      </c>
      <c r="B25" s="3" t="s">
        <v>67</v>
      </c>
      <c r="C25" s="91">
        <v>44835</v>
      </c>
      <c r="D25" t="str">
        <f>D11</f>
        <v>Base Rent</v>
      </c>
      <c r="E25" s="97">
        <v>1524</v>
      </c>
      <c r="F25" s="97">
        <f>SUM(E2:E25)</f>
        <v>9887.8712903225805</v>
      </c>
      <c r="G25" s="99" t="s">
        <v>73</v>
      </c>
    </row>
    <row r="26" spans="1:7">
      <c r="A26" s="5" t="str">
        <f>A9</f>
        <v>Sheridan Lake</v>
      </c>
      <c r="B26" s="3" t="s">
        <v>67</v>
      </c>
      <c r="C26" s="91">
        <f>C25</f>
        <v>44835</v>
      </c>
      <c r="D26" t="str">
        <f>D12</f>
        <v>Monthly Service Fee</v>
      </c>
      <c r="E26" s="97">
        <v>59</v>
      </c>
      <c r="F26" s="97">
        <f>SUM(E2:E26)</f>
        <v>9946.8712903225805</v>
      </c>
      <c r="G26" s="99" t="s">
        <v>73</v>
      </c>
    </row>
    <row r="27" spans="1:7">
      <c r="A27" s="5" t="str">
        <f>A10</f>
        <v>Sheridan Lake</v>
      </c>
      <c r="B27" s="3" t="s">
        <v>97</v>
      </c>
      <c r="C27" s="91">
        <f>C26</f>
        <v>44835</v>
      </c>
      <c r="D27" t="s">
        <v>99</v>
      </c>
      <c r="E27" s="97">
        <v>0.95</v>
      </c>
      <c r="F27" s="97">
        <f>SUM(E2:E27)</f>
        <v>9947.8212903225813</v>
      </c>
      <c r="G27" s="99" t="s">
        <v>73</v>
      </c>
    </row>
    <row r="28" spans="1:7">
      <c r="A28" s="5" t="str">
        <f>A10</f>
        <v>Sheridan Lake</v>
      </c>
      <c r="B28" s="3" t="s">
        <v>67</v>
      </c>
      <c r="C28" s="101" t="s">
        <v>75</v>
      </c>
      <c r="D28" t="str">
        <f>D13</f>
        <v>ComEd/Electricity</v>
      </c>
      <c r="E28" s="97">
        <v>15.82</v>
      </c>
      <c r="F28" s="97">
        <f>SUM(E2:E28)</f>
        <v>9963.641290322581</v>
      </c>
      <c r="G28" s="99" t="s">
        <v>84</v>
      </c>
    </row>
    <row r="29" spans="1:7">
      <c r="A29" s="5" t="str">
        <f>A11</f>
        <v>Sheridan Lake</v>
      </c>
      <c r="B29" s="3" t="s">
        <v>67</v>
      </c>
      <c r="C29" s="91">
        <v>44866</v>
      </c>
      <c r="D29" t="str">
        <f>D14</f>
        <v>Base Rent</v>
      </c>
      <c r="E29" s="97">
        <v>1524</v>
      </c>
      <c r="F29" s="97">
        <f>SUM(E2:E29)</f>
        <v>11487.641290322581</v>
      </c>
      <c r="G29" s="99" t="s">
        <v>85</v>
      </c>
    </row>
    <row r="30" spans="1:7">
      <c r="A30" s="5" t="str">
        <f>A12</f>
        <v>Sheridan Lake</v>
      </c>
      <c r="B30" s="3" t="s">
        <v>67</v>
      </c>
      <c r="C30" s="91">
        <f>C29</f>
        <v>44866</v>
      </c>
      <c r="D30" t="str">
        <f>D15</f>
        <v>Monthly Service Fee</v>
      </c>
      <c r="E30" s="97">
        <v>59</v>
      </c>
      <c r="F30" s="97">
        <f>SUM(E2:E30)</f>
        <v>11546.641290322581</v>
      </c>
      <c r="G30" s="99" t="s">
        <v>85</v>
      </c>
    </row>
    <row r="31" spans="1:7">
      <c r="A31" s="5" t="str">
        <f>A13</f>
        <v>Sheridan Lake</v>
      </c>
      <c r="B31" s="3" t="s">
        <v>97</v>
      </c>
      <c r="C31" s="91">
        <f>C30</f>
        <v>44866</v>
      </c>
      <c r="D31" t="s">
        <v>99</v>
      </c>
      <c r="E31" s="97">
        <v>0.95</v>
      </c>
      <c r="F31" s="97">
        <f>SUM(E2:E31)</f>
        <v>11547.591290322582</v>
      </c>
      <c r="G31" s="99" t="s">
        <v>85</v>
      </c>
    </row>
    <row r="32" spans="1:7">
      <c r="A32" s="5" t="str">
        <f>A13</f>
        <v>Sheridan Lake</v>
      </c>
      <c r="B32" s="3" t="s">
        <v>67</v>
      </c>
      <c r="C32" s="101" t="s">
        <v>76</v>
      </c>
      <c r="D32" t="str">
        <f>D16</f>
        <v>ComEd/Electricity</v>
      </c>
      <c r="E32" s="97">
        <v>18.11</v>
      </c>
      <c r="F32" s="97">
        <f>SUM(E2:E32)</f>
        <v>11565.701290322582</v>
      </c>
      <c r="G32" s="99" t="s">
        <v>87</v>
      </c>
    </row>
    <row r="33" spans="1:7">
      <c r="A33" s="5" t="str">
        <f>A14</f>
        <v>Sheridan Lake</v>
      </c>
      <c r="B33" s="3" t="s">
        <v>67</v>
      </c>
      <c r="C33" s="91">
        <v>44896</v>
      </c>
      <c r="D33" t="str">
        <f>D17</f>
        <v>Base Rent</v>
      </c>
      <c r="E33" s="97">
        <v>1524</v>
      </c>
      <c r="F33" s="97">
        <f>SUM(E2:E33)</f>
        <v>13089.701290322582</v>
      </c>
      <c r="G33" s="99" t="s">
        <v>86</v>
      </c>
    </row>
    <row r="34" spans="1:7">
      <c r="A34" s="5" t="str">
        <f>A15</f>
        <v>Sheridan Lake</v>
      </c>
      <c r="B34" s="3" t="s">
        <v>67</v>
      </c>
      <c r="C34" s="91">
        <f>C33</f>
        <v>44896</v>
      </c>
      <c r="D34" t="str">
        <f>D18</f>
        <v>Monthly Service Fee</v>
      </c>
      <c r="E34" s="97">
        <v>59</v>
      </c>
      <c r="F34" s="97">
        <f>SUM(E2:E34)</f>
        <v>13148.701290322582</v>
      </c>
      <c r="G34" s="99" t="s">
        <v>86</v>
      </c>
    </row>
    <row r="35" spans="1:7">
      <c r="A35" s="5" t="str">
        <f>A16</f>
        <v>Sheridan Lake</v>
      </c>
      <c r="B35" s="3" t="s">
        <v>97</v>
      </c>
      <c r="C35" s="91">
        <f>C34</f>
        <v>44896</v>
      </c>
      <c r="D35" t="s">
        <v>99</v>
      </c>
      <c r="E35" s="97">
        <v>0.95</v>
      </c>
      <c r="F35" s="97">
        <f>SUM(E2:E35)</f>
        <v>13149.651290322583</v>
      </c>
      <c r="G35" s="99" t="s">
        <v>86</v>
      </c>
    </row>
    <row r="36" spans="1:7">
      <c r="A36" s="5" t="str">
        <f t="shared" ref="A36:A44" si="1">A16</f>
        <v>Sheridan Lake</v>
      </c>
      <c r="B36" s="3" t="s">
        <v>67</v>
      </c>
      <c r="C36" s="101" t="s">
        <v>77</v>
      </c>
      <c r="D36" t="str">
        <f>D20</f>
        <v>ComEd/Electricity</v>
      </c>
      <c r="E36" s="97">
        <v>17.21</v>
      </c>
      <c r="F36" s="97">
        <f>SUM(E2:E36)</f>
        <v>13166.861290322582</v>
      </c>
      <c r="G36" s="99" t="s">
        <v>88</v>
      </c>
    </row>
    <row r="37" spans="1:7">
      <c r="A37" s="5" t="str">
        <f t="shared" si="1"/>
        <v>Sheridan Lake</v>
      </c>
      <c r="B37" s="3" t="s">
        <v>67</v>
      </c>
      <c r="C37" s="91">
        <v>44927</v>
      </c>
      <c r="D37" t="str">
        <f>D21</f>
        <v>Base Rent</v>
      </c>
      <c r="E37" s="97">
        <v>1524</v>
      </c>
      <c r="F37" s="97">
        <f>SUM(E2:E37)</f>
        <v>14690.861290322582</v>
      </c>
      <c r="G37" s="99" t="s">
        <v>89</v>
      </c>
    </row>
    <row r="38" spans="1:7">
      <c r="A38" s="5" t="str">
        <f t="shared" si="1"/>
        <v>Sheridan Lake</v>
      </c>
      <c r="B38" s="3" t="s">
        <v>67</v>
      </c>
      <c r="C38" s="91">
        <f>C37</f>
        <v>44927</v>
      </c>
      <c r="D38" t="str">
        <f>D22</f>
        <v>Monthly Service Fee</v>
      </c>
      <c r="E38" s="97">
        <v>59</v>
      </c>
      <c r="F38" s="97">
        <f>SUM(E2:E38)</f>
        <v>14749.861290322582</v>
      </c>
      <c r="G38" s="99" t="s">
        <v>89</v>
      </c>
    </row>
    <row r="39" spans="1:7">
      <c r="A39" s="5" t="str">
        <f t="shared" si="1"/>
        <v>Sheridan Lake</v>
      </c>
      <c r="B39" s="3" t="s">
        <v>97</v>
      </c>
      <c r="C39" s="91">
        <f>C38</f>
        <v>44927</v>
      </c>
      <c r="D39" t="s">
        <v>99</v>
      </c>
      <c r="E39" s="97">
        <v>0.95</v>
      </c>
      <c r="F39" s="97">
        <f>SUM(E2:E39)</f>
        <v>14750.811290322583</v>
      </c>
      <c r="G39" s="99" t="s">
        <v>89</v>
      </c>
    </row>
    <row r="40" spans="1:7">
      <c r="A40" s="5" t="str">
        <f t="shared" si="1"/>
        <v>Sheridan Lake</v>
      </c>
      <c r="B40" s="3" t="s">
        <v>67</v>
      </c>
      <c r="C40" s="101" t="s">
        <v>78</v>
      </c>
      <c r="D40" t="str">
        <f>D24</f>
        <v>ComEd/Electricity</v>
      </c>
      <c r="E40" s="97">
        <v>14.97</v>
      </c>
      <c r="F40" s="97">
        <f>SUM(E2:E40)</f>
        <v>14765.781290322582</v>
      </c>
      <c r="G40" s="99" t="s">
        <v>91</v>
      </c>
    </row>
    <row r="41" spans="1:7">
      <c r="A41" s="5" t="str">
        <f t="shared" si="1"/>
        <v>Sheridan Lake</v>
      </c>
      <c r="B41" s="3" t="s">
        <v>67</v>
      </c>
      <c r="C41" s="91">
        <v>44958</v>
      </c>
      <c r="D41" t="str">
        <f>D25</f>
        <v>Base Rent</v>
      </c>
      <c r="E41" s="97">
        <v>1524</v>
      </c>
      <c r="F41" s="97">
        <f>SUM(E2:E41)</f>
        <v>16289.781290322582</v>
      </c>
      <c r="G41" s="99" t="s">
        <v>90</v>
      </c>
    </row>
    <row r="42" spans="1:7">
      <c r="A42" s="5" t="str">
        <f t="shared" si="1"/>
        <v>Sheridan Lake</v>
      </c>
      <c r="B42" s="3" t="s">
        <v>67</v>
      </c>
      <c r="C42" s="91">
        <f>C41</f>
        <v>44958</v>
      </c>
      <c r="D42" t="str">
        <f>D26</f>
        <v>Monthly Service Fee</v>
      </c>
      <c r="E42" s="97">
        <v>59</v>
      </c>
      <c r="F42" s="97">
        <f>SUM(E2:E42)</f>
        <v>16348.781290322582</v>
      </c>
      <c r="G42" s="99" t="s">
        <v>90</v>
      </c>
    </row>
    <row r="43" spans="1:7">
      <c r="A43" s="5" t="str">
        <f t="shared" si="1"/>
        <v>Sheridan Lake</v>
      </c>
      <c r="B43" s="3" t="s">
        <v>97</v>
      </c>
      <c r="C43" s="91">
        <f>C42</f>
        <v>44958</v>
      </c>
      <c r="D43" t="s">
        <v>99</v>
      </c>
      <c r="E43" s="97">
        <v>0.95</v>
      </c>
      <c r="F43" s="97">
        <f>SUM(E2:E43)</f>
        <v>16349.731290322583</v>
      </c>
      <c r="G43" s="99" t="s">
        <v>90</v>
      </c>
    </row>
    <row r="44" spans="1:7">
      <c r="A44" s="5" t="str">
        <f t="shared" si="1"/>
        <v>Sheridan Lake</v>
      </c>
      <c r="B44" s="3" t="s">
        <v>67</v>
      </c>
      <c r="C44" s="101" t="s">
        <v>79</v>
      </c>
      <c r="D44" t="str">
        <f>D28</f>
        <v>ComEd/Electricity</v>
      </c>
      <c r="E44" s="97">
        <v>15.15</v>
      </c>
      <c r="F44" s="97">
        <f>SUM(E2:E44)</f>
        <v>16364.881290322583</v>
      </c>
      <c r="G44" s="99" t="s">
        <v>93</v>
      </c>
    </row>
    <row r="45" spans="1:7">
      <c r="A45" s="5" t="str">
        <f t="shared" ref="A45" si="2">A25</f>
        <v>Sheridan Lake</v>
      </c>
      <c r="B45" s="3" t="s">
        <v>67</v>
      </c>
      <c r="C45" s="91">
        <v>44986</v>
      </c>
      <c r="D45" t="str">
        <f>D29</f>
        <v>Base Rent</v>
      </c>
      <c r="E45" s="97">
        <v>1524</v>
      </c>
      <c r="F45" s="97">
        <f>SUM(E2:E45)</f>
        <v>17888.881290322584</v>
      </c>
      <c r="G45" s="99" t="s">
        <v>92</v>
      </c>
    </row>
    <row r="46" spans="1:7">
      <c r="A46" s="5" t="str">
        <f t="shared" ref="A46:A56" si="3">A26</f>
        <v>Sheridan Lake</v>
      </c>
      <c r="B46" s="3" t="s">
        <v>67</v>
      </c>
      <c r="C46" s="91">
        <f>C45</f>
        <v>44986</v>
      </c>
      <c r="D46" t="str">
        <f>D30</f>
        <v>Monthly Service Fee</v>
      </c>
      <c r="E46" s="97">
        <v>59</v>
      </c>
      <c r="F46" s="97">
        <f>SUM(E2:E46)</f>
        <v>17947.881290322584</v>
      </c>
      <c r="G46" s="99" t="s">
        <v>92</v>
      </c>
    </row>
    <row r="47" spans="1:7">
      <c r="A47" s="5" t="str">
        <f t="shared" si="3"/>
        <v>Sheridan Lake</v>
      </c>
      <c r="B47" s="3" t="s">
        <v>97</v>
      </c>
      <c r="C47" s="91">
        <f>C46</f>
        <v>44986</v>
      </c>
      <c r="D47" t="s">
        <v>99</v>
      </c>
      <c r="E47" s="97">
        <v>0.95</v>
      </c>
      <c r="F47" s="97">
        <f>SUM(E2:E47)</f>
        <v>17948.831290322585</v>
      </c>
      <c r="G47" s="99" t="s">
        <v>92</v>
      </c>
    </row>
    <row r="48" spans="1:7">
      <c r="A48" s="5" t="str">
        <f t="shared" si="3"/>
        <v>Sheridan Lake</v>
      </c>
      <c r="B48" s="3" t="s">
        <v>67</v>
      </c>
      <c r="C48" s="101" t="s">
        <v>80</v>
      </c>
      <c r="D48" t="str">
        <f>D32</f>
        <v>ComEd/Electricity</v>
      </c>
      <c r="E48" s="97">
        <v>16.12</v>
      </c>
      <c r="F48" s="97">
        <f>SUM(E2:E48)</f>
        <v>17964.951290322584</v>
      </c>
      <c r="G48" s="99" t="s">
        <v>95</v>
      </c>
    </row>
    <row r="49" spans="1:7">
      <c r="A49" s="5" t="str">
        <f t="shared" si="3"/>
        <v>Sheridan Lake</v>
      </c>
      <c r="B49" s="3" t="s">
        <v>67</v>
      </c>
      <c r="C49" s="91">
        <v>45017</v>
      </c>
      <c r="D49" t="str">
        <f>D33</f>
        <v>Base Rent</v>
      </c>
      <c r="E49" s="97">
        <v>1524</v>
      </c>
      <c r="F49" s="97">
        <f>SUM(E2:E49)</f>
        <v>19488.951290322584</v>
      </c>
      <c r="G49" s="99" t="s">
        <v>94</v>
      </c>
    </row>
    <row r="50" spans="1:7">
      <c r="A50" s="5" t="str">
        <f t="shared" si="3"/>
        <v>Sheridan Lake</v>
      </c>
      <c r="B50" s="3" t="s">
        <v>67</v>
      </c>
      <c r="C50" s="91">
        <f>C49</f>
        <v>45017</v>
      </c>
      <c r="D50" t="str">
        <f>D34</f>
        <v>Monthly Service Fee</v>
      </c>
      <c r="E50" s="97">
        <v>59</v>
      </c>
      <c r="F50" s="97">
        <f>SUM(E2:E50)</f>
        <v>19547.951290322584</v>
      </c>
      <c r="G50" s="99" t="s">
        <v>94</v>
      </c>
    </row>
    <row r="51" spans="1:7">
      <c r="A51" s="5" t="str">
        <f t="shared" si="3"/>
        <v>Sheridan Lake</v>
      </c>
      <c r="B51" s="3" t="s">
        <v>97</v>
      </c>
      <c r="C51" s="91">
        <f>C50</f>
        <v>45017</v>
      </c>
      <c r="D51" t="s">
        <v>99</v>
      </c>
      <c r="E51" s="97">
        <v>0.95</v>
      </c>
      <c r="F51" s="97">
        <f>SUM(E2:E51)</f>
        <v>19548.901290322585</v>
      </c>
      <c r="G51" s="99" t="s">
        <v>94</v>
      </c>
    </row>
    <row r="52" spans="1:7">
      <c r="A52" s="5" t="str">
        <f t="shared" si="3"/>
        <v>Sheridan Lake</v>
      </c>
      <c r="B52" s="3" t="s">
        <v>67</v>
      </c>
      <c r="C52" s="101" t="s">
        <v>81</v>
      </c>
      <c r="D52" t="str">
        <f>D36</f>
        <v>ComEd/Electricity</v>
      </c>
      <c r="E52" s="97">
        <v>15.81</v>
      </c>
      <c r="F52" s="97">
        <f>SUM(E2:E52)</f>
        <v>19564.711290322586</v>
      </c>
      <c r="G52" s="99" t="s">
        <v>100</v>
      </c>
    </row>
    <row r="53" spans="1:7">
      <c r="A53" s="5" t="str">
        <f t="shared" si="3"/>
        <v>Sheridan Lake</v>
      </c>
      <c r="B53" s="3" t="s">
        <v>67</v>
      </c>
      <c r="C53" s="91">
        <v>45047</v>
      </c>
      <c r="D53" t="str">
        <f>D37</f>
        <v>Base Rent</v>
      </c>
      <c r="E53" s="97">
        <v>639.1</v>
      </c>
      <c r="F53" s="97">
        <f>SUM(E2:E53)</f>
        <v>20203.811290322585</v>
      </c>
      <c r="G53" s="99" t="s">
        <v>96</v>
      </c>
    </row>
    <row r="54" spans="1:7">
      <c r="A54" s="5" t="str">
        <f t="shared" si="3"/>
        <v>Sheridan Lake</v>
      </c>
      <c r="B54" s="3" t="s">
        <v>67</v>
      </c>
      <c r="C54" s="91">
        <f>C53</f>
        <v>45047</v>
      </c>
      <c r="D54" t="str">
        <f>D38</f>
        <v>Monthly Service Fee</v>
      </c>
      <c r="E54" s="97">
        <v>24.74</v>
      </c>
      <c r="F54" s="97">
        <f>SUM(E2:E54)</f>
        <v>20228.551290322586</v>
      </c>
      <c r="G54" s="99" t="s">
        <v>96</v>
      </c>
    </row>
    <row r="55" spans="1:7">
      <c r="A55" s="5" t="str">
        <f t="shared" si="3"/>
        <v>Sheridan Lake</v>
      </c>
      <c r="B55" s="3" t="s">
        <v>97</v>
      </c>
      <c r="C55" s="91">
        <f>C54</f>
        <v>45047</v>
      </c>
      <c r="D55" t="s">
        <v>99</v>
      </c>
      <c r="E55" s="97">
        <v>0.95</v>
      </c>
      <c r="F55" s="97">
        <f>SUM(E2:E55)</f>
        <v>20229.501290322587</v>
      </c>
      <c r="G55" s="99" t="s">
        <v>96</v>
      </c>
    </row>
    <row r="56" spans="1:7">
      <c r="A56" s="5" t="str">
        <f t="shared" si="3"/>
        <v>Sheridan Lake</v>
      </c>
      <c r="B56" s="3" t="s">
        <v>67</v>
      </c>
      <c r="C56" s="101" t="s">
        <v>82</v>
      </c>
      <c r="D56" t="str">
        <f>D40</f>
        <v>ComEd/Electricity</v>
      </c>
      <c r="E56" s="97">
        <v>10.57</v>
      </c>
      <c r="F56" s="4">
        <f>SUM(E2:E56)</f>
        <v>20240.071290322587</v>
      </c>
      <c r="G56" s="99" t="s">
        <v>101</v>
      </c>
    </row>
  </sheetData>
  <sheetProtection password="F369" sheet="1" objects="1" scenarios="1" sort="0" autoFilter="0"/>
  <customSheetViews>
    <customSheetView guid="{D6ACF4D4-0270-1E41-ACF3-32941C02D89F}" hiddenColumns="1">
      <pageSetup orientation="portrait" horizontalDpi="4294967292" verticalDpi="4294967292"/>
    </customSheetView>
  </customSheetViews>
  <phoneticPr fontId="7" type="noConversion"/>
  <pageMargins left="0.75" right="0.75" top="1" bottom="1" header="0.5" footer="0.5"/>
  <pageSetup orientation="portrait" horizontalDpi="4294967292" verticalDpi="4294967292"/>
  <ignoredErrors>
    <ignoredError sqref="A3" formula="1"/>
    <ignoredError sqref="F3" formulaRange="1"/>
    <ignoredError sqref="F56 F52:F54 F48:F50 F44:F46 F40:F42 F36:F38 F32:F34 F28:F30 F24:F26 F20:F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baseColWidth="10" defaultRowHeight="15" x14ac:dyDescent="0"/>
  <cols>
    <col min="1" max="1" width="15.33203125" style="7" bestFit="1" customWidth="1"/>
    <col min="2" max="2" width="10.6640625" style="7" bestFit="1" customWidth="1"/>
    <col min="3" max="3" width="10.83203125" style="7" bestFit="1" customWidth="1"/>
    <col min="4" max="4" width="37" style="7" bestFit="1" customWidth="1"/>
    <col min="5" max="5" width="8.33203125" style="7" bestFit="1" customWidth="1"/>
    <col min="6" max="6" width="7" style="7" customWidth="1"/>
    <col min="7" max="7" width="7.6640625" style="7" customWidth="1"/>
    <col min="8" max="8" width="44" style="7" bestFit="1" customWidth="1"/>
    <col min="9" max="9" width="10.33203125" style="7" customWidth="1"/>
    <col min="10" max="10" width="10.83203125" style="7" bestFit="1" customWidth="1"/>
    <col min="11" max="11" width="8.33203125" style="7" bestFit="1" customWidth="1"/>
    <col min="12" max="12" width="6.83203125" style="7" bestFit="1" customWidth="1"/>
    <col min="13" max="13" width="6.5" style="7" bestFit="1" customWidth="1"/>
    <col min="14" max="14" width="3.5" style="7" customWidth="1"/>
    <col min="15" max="19" width="9" style="7" customWidth="1"/>
    <col min="20" max="16384" width="10.83203125" style="7"/>
  </cols>
  <sheetData>
    <row r="1" spans="1:19" ht="16">
      <c r="A1" s="7" t="s">
        <v>28</v>
      </c>
      <c r="B1" s="7" t="s">
        <v>16</v>
      </c>
      <c r="C1" s="7" t="s">
        <v>17</v>
      </c>
      <c r="D1" s="7" t="str">
        <f>"Program "&amp;TEXT(RIGHT(A1,4),"")&amp;""</f>
        <v>Program Name</v>
      </c>
      <c r="E1" s="7" t="s">
        <v>20</v>
      </c>
      <c r="F1" s="7" t="str">
        <f>'Loyola Course Grid'!B2</f>
        <v>Credits</v>
      </c>
      <c r="G1" s="7" t="str">
        <f>""&amp;TEXT(LEFT('Loyola Course Grid'!A2,6),"")&amp;"s"</f>
        <v>Courses</v>
      </c>
      <c r="H1" s="7" t="str">
        <f>"Culmination or Thesis ("&amp;TEXT('Loyola Course Grid'!A2,"")&amp;")"</f>
        <v>Culmination or Thesis (Course Number and Title)</v>
      </c>
      <c r="I1" s="7" t="str">
        <f>'Loyola Course Grid'!C2</f>
        <v>Tuition</v>
      </c>
      <c r="J1" s="7" t="s">
        <v>0</v>
      </c>
      <c r="K1" s="7" t="s">
        <v>1</v>
      </c>
      <c r="L1" s="7" t="str">
        <f>""&amp;TEXT(RIGHT('Loyola Course Grid'!A7,3),"")&amp;""</f>
        <v>Fee</v>
      </c>
      <c r="M1" s="7" t="s">
        <v>36</v>
      </c>
      <c r="N1" s="12" t="s">
        <v>32</v>
      </c>
      <c r="O1" s="31" t="str">
        <f>A2</f>
        <v>DePaul</v>
      </c>
      <c r="P1" s="31" t="str">
        <f>TEXT(LEFT(A4,7),"")</f>
        <v>Detroit</v>
      </c>
      <c r="Q1" s="31" t="str">
        <f>LEFT(A9,8)</f>
        <v>Canisius</v>
      </c>
      <c r="R1" s="31" t="str">
        <f>LEFT(A10,5)</f>
        <v>Mount</v>
      </c>
      <c r="S1" s="63" t="str">
        <f>LEFT(A15,6)</f>
        <v>Loyola</v>
      </c>
    </row>
    <row r="2" spans="1:19">
      <c r="A2" s="46" t="s">
        <v>2</v>
      </c>
      <c r="B2" s="47">
        <v>43864</v>
      </c>
      <c r="C2" s="118">
        <v>43885</v>
      </c>
      <c r="D2" s="46" t="s">
        <v>114</v>
      </c>
      <c r="E2" s="48">
        <v>2</v>
      </c>
      <c r="F2" s="38">
        <f>HYPERLINK("https://csh.depaul.edu/academics/mathematical-sciences/graduate/applied-statistics-ms/Pages/degree-requirements.aspx",4*G2)</f>
        <v>48</v>
      </c>
      <c r="G2" s="49">
        <v>12</v>
      </c>
      <c r="H2" s="50" t="s">
        <v>31</v>
      </c>
      <c r="I2" s="79">
        <f>HYPERLINK("https://offices.depaul.edu/student-financial-accounts/cost-of-attendance/tuition/Pages/Tuition-Rates-2021-2022.aspx",F2*750*(1-0.1)+25*4*E2+105*3*E2+86*1*E2)</f>
        <v>33402</v>
      </c>
      <c r="J2" s="32">
        <v>44811</v>
      </c>
      <c r="K2" s="89">
        <v>2</v>
      </c>
      <c r="L2" s="59">
        <f>HYPERLINK("https://csh.depaul.edu/admission/graduate/Pages/default.aspx#collapse-g_7c272b2e_647b_4801_a1d4_6fe7ae4fe1cd-1",40)</f>
        <v>40</v>
      </c>
      <c r="M2" s="22" t="str">
        <f>HYPERLINK("https://csh.depaul.edu/academics/mathematical-sciences/graduate/applied-statistics-ms/Pages/admission-requirements.aspx","Yes")</f>
        <v>Yes</v>
      </c>
      <c r="O2" s="103">
        <f>IFERROR(RSQ(A2:M2,A2:M2),"—")</f>
        <v>1.0000000000000004</v>
      </c>
      <c r="P2" s="104">
        <f>IFERROR(RSQ(A2:M2,A4:M4),"—")</f>
        <v>0.98997087497086034</v>
      </c>
      <c r="Q2" s="104">
        <f>IFERROR(RSQ(A2:M2,A9:M9),"—")</f>
        <v>0.9991742506875374</v>
      </c>
      <c r="R2" s="104">
        <f>IFERROR(RSQ(A2:M2,A10:M10),"—")</f>
        <v>0.98125361504688513</v>
      </c>
      <c r="S2" s="105">
        <f>IFERROR(RSQ(A2:M2,A15:M15),"—")</f>
        <v>0.98928831900458647</v>
      </c>
    </row>
    <row r="3" spans="1:19">
      <c r="A3" s="25" t="s">
        <v>4</v>
      </c>
      <c r="B3" s="28">
        <v>43865</v>
      </c>
      <c r="C3" s="118">
        <v>43880</v>
      </c>
      <c r="D3" s="45" t="s">
        <v>115</v>
      </c>
      <c r="E3" s="27">
        <v>2</v>
      </c>
      <c r="F3" s="39">
        <f>HYPERLINK("https://loyola.edu/academics/data-science/graduate",3*(G3-1)+1*1)</f>
        <v>34</v>
      </c>
      <c r="G3" s="40">
        <f>HYPERLINK("https://loyola.edu/academics/data-science/graduate/curriculum",12)</f>
        <v>12</v>
      </c>
      <c r="H3" s="41" t="str">
        <f>HYPERLINK("https://catalogue.loyola.edu/preview_course_nopop.php?catoid=17&amp;coid=28556","Capstone (Project), Practicum (Internship or Project)")</f>
        <v>Capstone (Project), Practicum (Internship or Project)</v>
      </c>
      <c r="I3" s="36">
        <f>HYPERLINK("https://loyola.edu/department/financial-aid/graduate/tuition-charges/data-science",F3*875+25*3*E3)</f>
        <v>29900</v>
      </c>
      <c r="J3" s="75">
        <v>44774</v>
      </c>
      <c r="K3" s="90">
        <v>1</v>
      </c>
      <c r="L3" s="60">
        <f>HYPERLINK("https://www.loyola.edu/academics/data-science/graduate/admission",60)</f>
        <v>60</v>
      </c>
      <c r="M3" s="50" t="s">
        <v>30</v>
      </c>
      <c r="O3" s="106">
        <f>IFERROR(RSQ(A3:M3,A2:M2),"—")</f>
        <v>0.99734025459474551</v>
      </c>
      <c r="P3" s="107">
        <f>IFERROR(RSQ(A3:M3,A4:M4),"—")</f>
        <v>0.99762735815412551</v>
      </c>
      <c r="Q3" s="107">
        <f>IFERROR(RSQ(A3:M3,A9:M9),"—")</f>
        <v>0.99356064324838711</v>
      </c>
      <c r="R3" s="107">
        <f>IFERROR(RSQ(A3:M3,A10:M10),"—")</f>
        <v>0.99310175226845832</v>
      </c>
      <c r="S3" s="108">
        <f>IFERROR(RSQ(A3:M3,A15:M15),"—")</f>
        <v>0.97535527393814436</v>
      </c>
    </row>
    <row r="4" spans="1:19">
      <c r="A4" s="46" t="s">
        <v>5</v>
      </c>
      <c r="B4" s="47">
        <v>43865</v>
      </c>
      <c r="C4" s="118">
        <v>43874</v>
      </c>
      <c r="D4" s="46" t="s">
        <v>116</v>
      </c>
      <c r="E4" s="51">
        <v>1</v>
      </c>
      <c r="F4" s="78">
        <f>HYPERLINK("https://www.udmercy.edu/academics/catalog/graduate2020-2021/colleges/clae/applied-data-analytics.php",3*G4)</f>
        <v>30</v>
      </c>
      <c r="G4" s="49">
        <v>10</v>
      </c>
      <c r="H4" s="78" t="str">
        <f>HYPERLINK("https://udmercy.edu/academics/catalog/graduate2020-2021/courses/link.php?sub=DATA#DATA5130","Capstone Project (DATA 5130 - Capstone Project)")</f>
        <v>Capstone Project (DATA 5130 - Capstone Project)</v>
      </c>
      <c r="I4" s="79">
        <f>HYPERLINK("https://udmercy.edu/admission/financial-aid/cost/index.php",F4*889)</f>
        <v>26670</v>
      </c>
      <c r="J4" s="32">
        <v>44801</v>
      </c>
      <c r="K4" s="88">
        <v>2</v>
      </c>
      <c r="L4" s="23">
        <v>0</v>
      </c>
      <c r="M4" s="20" t="s">
        <v>21</v>
      </c>
      <c r="O4" s="109">
        <f>IFERROR(RSQ(A4:M4,A2:M2),"—")</f>
        <v>0.98997087497086034</v>
      </c>
      <c r="P4" s="110">
        <f>IFERROR(RSQ(A4:M4,A4:M4),"—")</f>
        <v>1</v>
      </c>
      <c r="Q4" s="104">
        <f>IFERROR(RSQ(A4:M4,A9:M9),"—")</f>
        <v>0.98343938983838275</v>
      </c>
      <c r="R4" s="104">
        <f>IFERROR(RSQ(A4:M4,A10:M10),"—")</f>
        <v>0.99897044509982169</v>
      </c>
      <c r="S4" s="111">
        <f>IFERROR(RSQ(A4:M4,A15:M15),"—")</f>
        <v>0.95710635014456003</v>
      </c>
    </row>
    <row r="5" spans="1:19">
      <c r="A5" s="25" t="s">
        <v>6</v>
      </c>
      <c r="B5" s="26" t="s">
        <v>22</v>
      </c>
      <c r="C5" s="116" t="s">
        <v>22</v>
      </c>
      <c r="D5" s="45" t="s">
        <v>123</v>
      </c>
      <c r="E5" s="27">
        <v>2</v>
      </c>
      <c r="F5" s="39" t="str">
        <f>HYPERLINK("https://lindenwood.smartcatalogiq.com/2020-2021/Graduate-Catalog/Plaster-School-of-Business-and-Entrepreneurship/Master-of-Business-Administration-Programs/Business-Administration-M.B.A.","48-66")</f>
        <v>48-66</v>
      </c>
      <c r="G5" s="40" t="str">
        <f>HYPERLINK("https://lindenwood.smartcatalogiq.com/2020-2021/Undergraduate-Catalog/Plaster-School-of-Business-and-Entrepreneurship/Sport-Management-Department/Sport-Management-Emphasis","16-22")</f>
        <v>16-22</v>
      </c>
      <c r="H5" s="41" t="str">
        <f>HYPERLINK("https://lindenwood.smartcatalogiq.com/2020-2021/Graduate-Catalog/Courses/MGMT-Management/60000/MGMT-66080","Capstone (MGMT 66080 - Policies and Strategies)")</f>
        <v>Capstone (MGMT 66080 - Policies and Strategies)</v>
      </c>
      <c r="I5" s="36">
        <f>HYPERLINK("https://lindenwood.edu/admissions/student-financial-services/tuition-and-fees",66*520+125)</f>
        <v>34445</v>
      </c>
      <c r="J5" s="75">
        <v>44431</v>
      </c>
      <c r="K5" s="90">
        <v>1</v>
      </c>
      <c r="L5" s="61">
        <v>0</v>
      </c>
      <c r="M5" s="50" t="s">
        <v>30</v>
      </c>
      <c r="O5" s="112">
        <f>IFERROR(RSQ(A5:M5,A2:M2),"—")</f>
        <v>0.99941438630352875</v>
      </c>
      <c r="P5" s="107">
        <f>IFERROR(RSQ(A5:M5,A4:M4),"—")</f>
        <v>0.9763230943298894</v>
      </c>
      <c r="Q5" s="107">
        <f>IFERROR(RSQ(A5:M5,A9:M9),"—")</f>
        <v>0.99986870186553412</v>
      </c>
      <c r="R5" s="107">
        <f>IFERROR(RSQ(A5:M5,A10:M10),"—")</f>
        <v>0.96205953857540405</v>
      </c>
      <c r="S5" s="108">
        <f>IFERROR(RSQ(A5:M5,A15:M15),"—")</f>
        <v>0.98763076191202459</v>
      </c>
    </row>
    <row r="6" spans="1:19">
      <c r="A6" s="25" t="s">
        <v>7</v>
      </c>
      <c r="B6" s="28">
        <v>43865</v>
      </c>
      <c r="C6" s="118">
        <v>43872</v>
      </c>
      <c r="D6" s="45" t="s">
        <v>122</v>
      </c>
      <c r="E6" s="27">
        <v>2</v>
      </c>
      <c r="F6" s="81">
        <f>HYPERLINK("https://education.up.edu/graduate-programs/ma-hesa.html",3*(G6-1)+6*1)</f>
        <v>30</v>
      </c>
      <c r="G6" s="43">
        <v>9</v>
      </c>
      <c r="H6" s="41" t="str">
        <f>HYPERLINK("http://up.smartcatalogiq.com/2019-2020/bulletin/Courses/ED-Education/Graduate-Courses/ED-527","Practicum (ED 527 - Applied Studies in HESA)")</f>
        <v>Practicum (ED 527 - Applied Studies in HESA)</v>
      </c>
      <c r="I6" s="36">
        <f>HYPERLINK("https://up.edu/studentaccounts/tuition-and-fees/index.html",F6*663)</f>
        <v>19890</v>
      </c>
      <c r="J6" s="75">
        <v>44774</v>
      </c>
      <c r="K6" s="82">
        <v>1</v>
      </c>
      <c r="L6" s="80">
        <v>0</v>
      </c>
      <c r="M6" s="87" t="str">
        <f>HYPERLINK("https://www.up.edu/graduate/files/MA%20HESA%20Statement%20of%20Goals%20EDITABLE.pdf","Yes")</f>
        <v>Yes</v>
      </c>
      <c r="O6" s="106">
        <f>IFERROR(RSQ(A6:M6,A2:M2),"—")</f>
        <v>0.95868566920647347</v>
      </c>
      <c r="P6" s="107">
        <f>IFERROR(RSQ(A6:M6,A4:M4),"—")</f>
        <v>0.98914580437574129</v>
      </c>
      <c r="Q6" s="107">
        <f>IFERROR(RSQ(A6:M6,A9:M9),"—")</f>
        <v>0.94649817946155945</v>
      </c>
      <c r="R6" s="107">
        <f>IFERROR(RSQ(A6:M6,A10:M10),"—")</f>
        <v>0.99410656418448751</v>
      </c>
      <c r="S6" s="108">
        <f>IFERROR(RSQ(A6:M6,A15:M15),"—")</f>
        <v>0.90257283518648079</v>
      </c>
    </row>
    <row r="7" spans="1:19">
      <c r="A7" s="25" t="s">
        <v>8</v>
      </c>
      <c r="B7" s="28">
        <v>43866</v>
      </c>
      <c r="C7" s="118">
        <v>43875</v>
      </c>
      <c r="D7" s="45" t="s">
        <v>117</v>
      </c>
      <c r="E7" s="42">
        <v>1.5</v>
      </c>
      <c r="F7" s="29"/>
      <c r="G7" s="40">
        <f>HYPERLINK("https://www.stmarys-ca.edu/ms-in-business-analytics/curriculum",11.5)</f>
        <v>11.5</v>
      </c>
      <c r="H7" s="41" t="str">
        <f>HYPERLINK("https://stmarys-ca.edu/ms-in-business-analytics/course-descriptions","Capstone/Field Study (OPS 812 - Field Study)")</f>
        <v>Capstone/Field Study (OPS 812 - Field Study)</v>
      </c>
      <c r="I7" s="36">
        <f>HYPERLINK("https://stmarys-ca.edu/ms-in-business-analytics/tuition",46543)</f>
        <v>46543</v>
      </c>
      <c r="J7" s="75">
        <v>44449</v>
      </c>
      <c r="K7" s="90">
        <v>0</v>
      </c>
      <c r="L7" s="60">
        <f>HYPERLINK("https://www.stmarys-ca.edu/ms-in-business-analytics/requirements",50)</f>
        <v>50</v>
      </c>
      <c r="M7" s="50" t="s">
        <v>30</v>
      </c>
      <c r="O7" s="112">
        <f>IFERROR(RSQ(A7:M7,A2:M2),"—")</f>
        <v>0.96360524318383722</v>
      </c>
      <c r="P7" s="107">
        <f>IFERROR(RSQ(A7:M7,A4:M4),"—")</f>
        <v>0.91424878467714732</v>
      </c>
      <c r="Q7" s="107">
        <f>IFERROR(RSQ(A7:M7,A9:M9),"—")</f>
        <v>0.97406778498269253</v>
      </c>
      <c r="R7" s="107">
        <f>IFERROR(RSQ(A7:M7,A10:M10),"—")</f>
        <v>0.87975766692308399</v>
      </c>
      <c r="S7" s="108">
        <f>IFERROR(RSQ(A7:M7,A15:M15),"—")</f>
        <v>0.99076096335982566</v>
      </c>
    </row>
    <row r="8" spans="1:19">
      <c r="A8" s="25" t="s">
        <v>9</v>
      </c>
      <c r="B8" s="28">
        <v>43866</v>
      </c>
      <c r="C8" s="118">
        <v>43875</v>
      </c>
      <c r="D8" s="45" t="s">
        <v>118</v>
      </c>
      <c r="E8" s="67">
        <v>2</v>
      </c>
      <c r="F8" s="41">
        <f>HYPERLINK("https://bulletin.marquette.edu/grad/programs/criminaljusticedataanalytics/#mastersrequirementstext",3*G8)</f>
        <v>30</v>
      </c>
      <c r="G8" s="43">
        <v>10</v>
      </c>
      <c r="H8" s="41" t="str">
        <f>HYPERLINK("https://bulletin.marquette.edu/search/?P=CRLS%206975","Capstone/Practicum (CRLS 6975)")</f>
        <v>Capstone/Practicum (CRLS 6975)</v>
      </c>
      <c r="I8" s="36">
        <f>HYPERLINK("https://www.marquette.edu/central/bursar/tuition-housing-fees-2021-22.php#per_credit_tuition_1920",F8*1220)</f>
        <v>36600</v>
      </c>
      <c r="J8" s="75">
        <v>44774</v>
      </c>
      <c r="K8" s="83">
        <v>1</v>
      </c>
      <c r="L8" s="84">
        <f>HYPERLINK("https://www.marquette.edu/grad/future-apply.php",50)</f>
        <v>50</v>
      </c>
      <c r="M8" s="85" t="str">
        <f>HYPERLINK("https://www.marquette.edu/grad/programs-criminal-justice-data-analytics.php","Yes")</f>
        <v>Yes</v>
      </c>
      <c r="O8" s="106">
        <f>IFERROR(RSQ(A8:M8,A2:M2),"—")</f>
        <v>0.99786376236114183</v>
      </c>
      <c r="P8" s="107">
        <f>IFERROR(RSQ(A8:M8,A4:M4),"—")</f>
        <v>0.97867730627456584</v>
      </c>
      <c r="Q8" s="107">
        <f>IFERROR(RSQ(A8:M8,A9:M9),"—")</f>
        <v>0.99969308089996223</v>
      </c>
      <c r="R8" s="107">
        <f>IFERROR(RSQ(A8:M8,A10:M10),"—")</f>
        <v>0.96580203645928708</v>
      </c>
      <c r="S8" s="108">
        <f>IFERROR(RSQ(A8:M8,A15:M15),"—")</f>
        <v>0.99692313301326141</v>
      </c>
    </row>
    <row r="9" spans="1:19">
      <c r="A9" s="46" t="s">
        <v>15</v>
      </c>
      <c r="B9" s="47">
        <v>43866</v>
      </c>
      <c r="C9" s="118">
        <v>43871</v>
      </c>
      <c r="D9" s="46" t="s">
        <v>119</v>
      </c>
      <c r="E9" s="52">
        <v>1</v>
      </c>
      <c r="F9" s="38">
        <f>HYPERLINK("https://catalog.canisius.edu/graduate/college-arts-sciences/data-analytics/#curriculumtext",3*(G9-3)+4*1+1*1+2*1)</f>
        <v>40</v>
      </c>
      <c r="G9" s="49">
        <v>14</v>
      </c>
      <c r="H9" s="38" t="str">
        <f>HYPERLINK("https://catalog.canisius.edu/search/?P=DAT%20522","Internship or Project (DAT 522)")</f>
        <v>Internship or Project (DAT 522)</v>
      </c>
      <c r="I9" s="58">
        <f>HYPERLINK("https://canisius.edu/tuition-aid/student-records-and-financial-services/cost-attendance#gradtuition",F9*860+140*3*E9+90*3*E9+145*2*E9)</f>
        <v>35380</v>
      </c>
      <c r="J9" s="32">
        <v>44802</v>
      </c>
      <c r="K9" s="76">
        <v>2</v>
      </c>
      <c r="L9" s="23">
        <v>0</v>
      </c>
      <c r="M9" s="21" t="str">
        <f>HYPERLINK("https://www.canisius.edu/admissions/graduate-admissions","Yes")</f>
        <v>Yes</v>
      </c>
      <c r="O9" s="109">
        <f>IFERROR(RSQ(A9:M9,A2:M2),"—")</f>
        <v>0.9991742506875374</v>
      </c>
      <c r="P9" s="104">
        <f>IFERROR(RSQ(A9:M9,A4:M4),"—")</f>
        <v>0.98343938983838275</v>
      </c>
      <c r="Q9" s="104">
        <f>IFERROR(RSQ(A9:M9,A9:M9),"—")</f>
        <v>0.99999999999999978</v>
      </c>
      <c r="R9" s="104">
        <f>IFERROR(RSQ(A9:M9,A10:M10),"—")</f>
        <v>0.97217754666211975</v>
      </c>
      <c r="S9" s="105">
        <f>IFERROR(RSQ(A9:M9,A15:M15),"—")</f>
        <v>0.99457856338074024</v>
      </c>
    </row>
    <row r="10" spans="1:19">
      <c r="A10" s="7" t="s">
        <v>19</v>
      </c>
      <c r="B10" s="13">
        <v>43866</v>
      </c>
      <c r="C10" s="118">
        <v>43871</v>
      </c>
      <c r="D10" s="7" t="s">
        <v>120</v>
      </c>
      <c r="E10" s="9">
        <v>2</v>
      </c>
      <c r="F10" s="37">
        <f>HYPERLINK("https://catalog.msmary.edu/preview_program.php?catoid=7&amp;poid=574",36)</f>
        <v>36</v>
      </c>
      <c r="G10" s="44" t="s">
        <v>27</v>
      </c>
      <c r="H10" s="38" t="str">
        <f>HYPERLINK("https://catalog.msmary.edu/preview_course_nopop.php?catoid=7&amp;coid=4591","Master's Project or Internship (MSSM 620/621)")</f>
        <v>Master's Project or Internship (MSSM 620/621)</v>
      </c>
      <c r="I10" s="79">
        <f>HYPERLINK("https://msmary.edu/academics/graduate-programs/master-science-sports-management.html",F10*685)</f>
        <v>24660</v>
      </c>
      <c r="J10" s="34">
        <v>44788</v>
      </c>
      <c r="K10" s="88">
        <v>2</v>
      </c>
      <c r="L10" s="23">
        <v>0</v>
      </c>
      <c r="M10" s="20" t="s">
        <v>21</v>
      </c>
      <c r="O10" s="109">
        <f>IFERROR(RSQ(A10:M10,A2:M2),"—")</f>
        <v>0.98125361504688513</v>
      </c>
      <c r="P10" s="104">
        <f>IFERROR(RSQ(A10:M10,A4:M4),"—")</f>
        <v>0.99897044509982169</v>
      </c>
      <c r="Q10" s="104">
        <f>IFERROR(RSQ(A10:M10,A9:M9),"—")</f>
        <v>0.97217754666211975</v>
      </c>
      <c r="R10" s="104">
        <f>IFERROR(RSQ(A10:M10,A10:M10),"—")</f>
        <v>1</v>
      </c>
      <c r="S10" s="105">
        <f>IFERROR(RSQ(A10:M10,A15:M15),"—")</f>
        <v>0.93467825236983626</v>
      </c>
    </row>
    <row r="11" spans="1:19">
      <c r="A11" s="25" t="s">
        <v>11</v>
      </c>
      <c r="B11" s="118">
        <v>43869</v>
      </c>
      <c r="C11" s="117">
        <v>43878</v>
      </c>
      <c r="D11" s="45" t="s">
        <v>115</v>
      </c>
      <c r="E11" s="67">
        <v>2</v>
      </c>
      <c r="F11" s="41">
        <f>HYPERLINK("https://american.edu/programs/shared/data-science/admissions.cfm",3*G11)</f>
        <v>30</v>
      </c>
      <c r="G11" s="43">
        <v>10</v>
      </c>
      <c r="H11" s="41" t="str">
        <f>HYPERLINK("https://catalog.american.edu/preview_course_nopop.php?catoid=16&amp;coid=66516","Capstone (DATA 793 - Data Science Practicum)")</f>
        <v>Capstone (DATA 793 - Data Science Practicum)</v>
      </c>
      <c r="I11" s="36">
        <f>HYPERLINK("https://american.edu/spa/admissions/tuition.cfm",F11*1812+(30+30+40+0)*2*E11+(0+0+0+0)*1*E11)</f>
        <v>54760</v>
      </c>
      <c r="J11" s="68">
        <v>44607</v>
      </c>
      <c r="K11" s="90">
        <v>1</v>
      </c>
      <c r="L11" s="60">
        <f>HYPERLINK("https://www.american.edu/spa/admissions/apply-to-spa.cfm#collapse-4679832",65)</f>
        <v>65</v>
      </c>
      <c r="M11" s="38" t="str">
        <f>HYPERLINK("https://www.american.edu/spa/admissions/apply-to-spa.cfm#collapse-4679873","Yes")</f>
        <v>Yes</v>
      </c>
      <c r="O11" s="106">
        <f>IFERROR(RSQ(A11:M11,A2:M2),"—")</f>
        <v>0.92287155749841598</v>
      </c>
      <c r="P11" s="107">
        <f>IFERROR(RSQ(A11:M11,A4:M4),"—")</f>
        <v>0.86122428988718702</v>
      </c>
      <c r="Q11" s="107">
        <f>IFERROR(RSQ(A11:M11,A9:M9),"—")</f>
        <v>0.93749611033555202</v>
      </c>
      <c r="R11" s="107">
        <f>IFERROR(RSQ(A11:M11,A10:M10),"—")</f>
        <v>0.82334344909061141</v>
      </c>
      <c r="S11" s="108">
        <f>IFERROR(RSQ(A11:M11,A15:M15),"—")</f>
        <v>0.96298840967975052</v>
      </c>
    </row>
    <row r="12" spans="1:19">
      <c r="A12" s="25" t="s">
        <v>14</v>
      </c>
      <c r="B12" s="118">
        <v>43870</v>
      </c>
      <c r="C12" s="118">
        <v>43875</v>
      </c>
      <c r="D12" s="45" t="s">
        <v>115</v>
      </c>
      <c r="E12" s="27">
        <v>2</v>
      </c>
      <c r="F12" s="41">
        <f>HYPERLINK("https://regis.edu/_documents/academics/fact-sheets/CCIS_MS_DataScience.pdf",3*G12)</f>
        <v>36</v>
      </c>
      <c r="G12" s="43">
        <v>12</v>
      </c>
      <c r="H12" s="41" t="str">
        <f>HYPERLINK("https://www.regis.edu/_documents/academics/catalogs/2020-2021-regis-university-catalog.pdf#page=92","Project (MSDE/MSDS 692/696 - Data Practicum I/II)")</f>
        <v>Project (MSDE/MSDS 692/696 - Data Practicum I/II)</v>
      </c>
      <c r="I12" s="36">
        <f>HYPERLINK("https://regis.edu/academics/majors-and-programs/graduate/data-science-ms",F12*950+G12*75+50)</f>
        <v>35150</v>
      </c>
      <c r="J12" s="75">
        <v>44431</v>
      </c>
      <c r="K12" s="90">
        <v>1</v>
      </c>
      <c r="L12" s="61">
        <v>0</v>
      </c>
      <c r="M12" s="38" t="str">
        <f>HYPERLINK("https://www.regis.edu/_documents/admissions/CCIS_Graduate_EssayPrompt.pdf","Yes")</f>
        <v>Yes</v>
      </c>
      <c r="O12" s="112">
        <f>IFERROR(RSQ(A12:M12,A2:M2),"—")</f>
        <v>0.99925579208528659</v>
      </c>
      <c r="P12" s="107">
        <f>IFERROR(RSQ(A12:M12,A4:M4),"—")</f>
        <v>0.98389716370213487</v>
      </c>
      <c r="Q12" s="107">
        <f>IFERROR(RSQ(A12:M12,A9:M9),"—")</f>
        <v>0.99997296802739521</v>
      </c>
      <c r="R12" s="107">
        <f>IFERROR(RSQ(A12:M12,A10:M10),"—")</f>
        <v>0.97280735384408412</v>
      </c>
      <c r="S12" s="108">
        <f>IFERROR(RSQ(A12:M12,A15:M15),"—")</f>
        <v>0.99437451354302653</v>
      </c>
    </row>
    <row r="13" spans="1:19">
      <c r="A13" s="25" t="s">
        <v>10</v>
      </c>
      <c r="B13" s="28">
        <v>43870</v>
      </c>
      <c r="C13" s="118">
        <v>43872</v>
      </c>
      <c r="D13" s="45" t="s">
        <v>121</v>
      </c>
      <c r="E13" s="30">
        <v>2</v>
      </c>
      <c r="F13" s="41">
        <f>HYPERLINK("https://findlay.edu/sciences/applied-security-analytics-masters/degree-requirements",3*(G13-2)+1*1+2*1)</f>
        <v>33</v>
      </c>
      <c r="G13" s="43">
        <v>12</v>
      </c>
      <c r="H13" s="41" t="str">
        <f>HYPERLINK("http://catalog.findlay.edu/en/current/Graduate-Catalog/Courses/CSCI-Master-of-Science-in-Applied-Security-and-Analytics/600/CSCI-698","Capstone Develop/Proposal, Project (CSCI 697/698)")</f>
        <v>Capstone Develop/Proposal, Project (CSCI 697/698)</v>
      </c>
      <c r="I13" s="36">
        <f>HYPERLINK("https://findlay.edu/offices/business-affairs/student-accounts/graduate-charges",F13*750+F13*50+35*2*E13)</f>
        <v>26540</v>
      </c>
      <c r="J13" s="75">
        <v>44788</v>
      </c>
      <c r="K13" s="90">
        <v>0</v>
      </c>
      <c r="L13" s="61">
        <v>0</v>
      </c>
      <c r="M13" s="50" t="s">
        <v>21</v>
      </c>
      <c r="O13" s="112">
        <f>IFERROR(RSQ(A13:M13,A2:M2),"—")</f>
        <v>0.98957807714768398</v>
      </c>
      <c r="P13" s="107">
        <f>IFERROR(RSQ(A13:M13,A4:M4),"—")</f>
        <v>0.99999614264335113</v>
      </c>
      <c r="Q13" s="107">
        <f>IFERROR(RSQ(A13:M13,A9:M9),"—")</f>
        <v>0.98293747679161003</v>
      </c>
      <c r="R13" s="107">
        <f>IFERROR(RSQ(A13:M13,A10:M10),"—")</f>
        <v>0.99909726279715616</v>
      </c>
      <c r="S13" s="108">
        <f>IFERROR(RSQ(A13:M13,A15:M15),"—")</f>
        <v>0.95627823682766011</v>
      </c>
    </row>
    <row r="14" spans="1:19">
      <c r="A14" s="69" t="s">
        <v>13</v>
      </c>
      <c r="B14" s="70">
        <v>43870</v>
      </c>
      <c r="C14" s="118">
        <v>43873</v>
      </c>
      <c r="D14" s="102" t="s">
        <v>124</v>
      </c>
      <c r="E14" s="71">
        <v>2</v>
      </c>
      <c r="F14" s="72">
        <f>HYPERLINK("https://tiffin.edu/sites/default/files/media/academics/registrar/2019-2020-academic-bulletin.pdf#page=105",3*4+2*(G14-4))</f>
        <v>36</v>
      </c>
      <c r="G14" s="74">
        <f>HYPERLINK("https://tiffin.edu/academics/graduate/M.B.A./data-analytics?qt-program_overview=1#qt-program_overview",16)</f>
        <v>16</v>
      </c>
      <c r="H14" s="72" t="str">
        <f>HYPERLINK("https://selfservice.tiffin.edu/SelfService/Search/CatalogDetails.aspx?CourseCode=DAX641","Project (DAX 641 - Data Viz, Design, &amp; Presentation)")</f>
        <v>Project (DAX 641 - Data Viz, Design, &amp; Presentation)</v>
      </c>
      <c r="I14" s="73">
        <f>HYPERLINK("https://tiffin.edu/finaid/tuition-fees#tab1-3",F14*700+200*2*E14)</f>
        <v>26000</v>
      </c>
      <c r="J14" s="75">
        <v>44431</v>
      </c>
      <c r="K14" s="77">
        <v>0.5</v>
      </c>
      <c r="L14" s="86">
        <v>0</v>
      </c>
      <c r="M14" s="85" t="str">
        <f>HYPERLINK("https://go.tiffin.edu/admissions-aid/requirements","Yes")</f>
        <v>Yes</v>
      </c>
      <c r="N14" s="24"/>
      <c r="O14" s="106">
        <f>IFERROR(RSQ(A14:M14,A2:M2),"—")</f>
        <v>0.98804851395561033</v>
      </c>
      <c r="P14" s="107">
        <f>IFERROR(RSQ(A14:M14,A4:M4),"—")</f>
        <v>0.99989246305800727</v>
      </c>
      <c r="Q14" s="107">
        <f>IFERROR(RSQ(A14:M14,A9:M9),"—")</f>
        <v>0.98100881197771328</v>
      </c>
      <c r="R14" s="107">
        <f>IFERROR(RSQ(A14:M14,A10:M10),"—")</f>
        <v>0.99946601042319172</v>
      </c>
      <c r="S14" s="108">
        <f>IFERROR(RSQ(A14:M14,A15:M15),"—")</f>
        <v>0.9532491036492311</v>
      </c>
    </row>
    <row r="15" spans="1:19">
      <c r="A15" s="53" t="s">
        <v>12</v>
      </c>
      <c r="B15" s="120">
        <v>43951</v>
      </c>
      <c r="C15" s="119">
        <v>43964</v>
      </c>
      <c r="D15" s="53" t="str">
        <f>'Loyola Course Grid'!I11</f>
        <v>M.S. Applied Statistics</v>
      </c>
      <c r="E15" s="54">
        <f>(COUNTIF('Loyola Course Grid'!K13:'Loyola Course Grid'!K18,"&gt;0")-COUNT('Loyola Course Grid'!K17))/2</f>
        <v>2.5</v>
      </c>
      <c r="F15" s="55">
        <f>HYPERLINK("https://luc.edu/math/msappliedstat/curriculum/#faq-261294Collapse",3*(G15-1)+2*1)</f>
        <v>29</v>
      </c>
      <c r="G15" s="56">
        <v>10</v>
      </c>
      <c r="H15" s="121" t="str">
        <f>HYPERLINK("https://www.luc.edu/math/msappliedstat/curriculum/#faq-261293Collapse","Capstone/Project (STAT 401 - Statistical Consulting)")</f>
        <v>Capstone/Project (STAT 401 - Statistical Consulting)</v>
      </c>
      <c r="I15" s="57">
        <f>'Loyola Course Grid'!K21</f>
        <v>40123.071290322587</v>
      </c>
      <c r="J15" s="115">
        <v>44040</v>
      </c>
      <c r="K15" s="63" t="s">
        <v>33</v>
      </c>
      <c r="L15" s="64">
        <v>0</v>
      </c>
      <c r="M15" s="65" t="str">
        <f>HYPERLINK("https://www.luc.edu/gpem/2020pathways","No")</f>
        <v>No</v>
      </c>
      <c r="O15" s="113">
        <f>IFERROR(RSQ(A15:M15,A2:M2),"—")</f>
        <v>0.98928831900458647</v>
      </c>
      <c r="P15" s="114">
        <f>IFERROR(RSQ(A15:M15,A4:M4),"—")</f>
        <v>0.95710635014456003</v>
      </c>
      <c r="Q15" s="114">
        <f>IFERROR(RSQ(A15:M15,A9:M9),"—")</f>
        <v>0.99457856338074024</v>
      </c>
      <c r="R15" s="114">
        <f>IFERROR(RSQ(A15:M15,A10:M10),"—")</f>
        <v>0.93467825236983626</v>
      </c>
      <c r="S15" s="105">
        <f>IFERROR(RSQ(A15:M15,A15:M15),"—")</f>
        <v>1.0000000000000004</v>
      </c>
    </row>
    <row r="16" spans="1:19">
      <c r="B16" s="11"/>
      <c r="C16" s="11"/>
      <c r="F16" s="12"/>
      <c r="G16" s="10"/>
      <c r="I16" s="8"/>
    </row>
    <row r="17" spans="1:13">
      <c r="A17" s="12" t="str">
        <f>"Mean (μ"&amp;RIGHT(H1,1)&amp;""&amp;RIGHT(N1,1)&amp;""</f>
        <v>Mean (μ):</v>
      </c>
      <c r="B17" s="13">
        <f>AVERAGE(B2,B4,B9:B10)</f>
        <v>43865.25</v>
      </c>
      <c r="C17" s="13">
        <f>AVERAGE(C2,C4,C9:C10)</f>
        <v>43875.25</v>
      </c>
      <c r="D17" s="8"/>
      <c r="E17" s="8">
        <f>AVERAGE(E2,E4,E9:E10)</f>
        <v>1.5</v>
      </c>
      <c r="F17" s="8">
        <f t="shared" ref="F17:G17" si="0">AVERAGE(F2,F4,F9:F10)</f>
        <v>38.5</v>
      </c>
      <c r="G17" s="8">
        <f t="shared" si="0"/>
        <v>12</v>
      </c>
      <c r="H17" s="8"/>
      <c r="I17" s="14">
        <f>CEILING(AVERAGE(I2,I4,I9:I10),0.01)</f>
        <v>30028</v>
      </c>
      <c r="J17" s="13">
        <f>INT(AVERAGE(J2,J4,J9:J10))</f>
        <v>44800</v>
      </c>
      <c r="K17" s="31">
        <f>AVERAGE(K2,K4,K9:K10)</f>
        <v>2</v>
      </c>
      <c r="L17" s="16">
        <f>CEILING(AVERAGE(L3,L5:L8,L11:L14),0.01)</f>
        <v>25</v>
      </c>
      <c r="M17" s="15">
        <f>(COUNTIF(M3,"Yes")+COUNTIF(M5:M8,"Yes")+COUNTIF(M11:M14,"Yes"))/(COUNTIF(M3,"Yes")+COUNTIF(M5:M8,"Yes")+COUNTIF(M11:M14,"Yes")+COUNTIF(M3,"No")+COUNTIF(M5:M8,"No")+COUNTIF(M11:M14,"No"))</f>
        <v>0.88888888888888884</v>
      </c>
    </row>
    <row r="18" spans="1:13">
      <c r="A18" s="12" t="str">
        <f>"Median (m"&amp;RIGHT(A17,2)&amp;""</f>
        <v>Median (m):</v>
      </c>
      <c r="B18" s="13">
        <f>MEDIAN(B2,B4,B9:B10)</f>
        <v>43865.5</v>
      </c>
      <c r="C18" s="13">
        <f>MEDIAN(C2,C4,C9:C10)</f>
        <v>43872.5</v>
      </c>
      <c r="D18" s="8"/>
      <c r="E18" s="8">
        <f>MEDIAN(E2,E4,E9:E10)</f>
        <v>1.5</v>
      </c>
      <c r="F18" s="8">
        <f>MEDIAN(F2,F4,F9:F10)</f>
        <v>38</v>
      </c>
      <c r="G18" s="8">
        <f>MEDIAN(G2,G4,G9:G10)</f>
        <v>12</v>
      </c>
      <c r="H18" s="8"/>
      <c r="I18" s="14">
        <f>MEDIAN(I2,I4,I9:I10)</f>
        <v>30036</v>
      </c>
      <c r="J18" s="13">
        <f>MEDIAN(J2,J4,J9:J10)</f>
        <v>44801.5</v>
      </c>
      <c r="K18" s="31">
        <f>MEDIAN(K2,K4,K9:K10)</f>
        <v>2</v>
      </c>
      <c r="L18" s="16">
        <f>MEDIAN(L3,L5:L8,L11:L14)</f>
        <v>0</v>
      </c>
      <c r="M18" s="7" t="str">
        <f>IF(COUNTIF(M3,"Yes")+COUNTIF(M5:M8,"Yes")+COUNTIF(M11:M14,"Yes")&gt;=COUNTIF(M3,"No")+COUNTIF(M5:M8,"No")+COUNTIF(M11:M14,"No"),"Yes","No")</f>
        <v>Yes</v>
      </c>
    </row>
    <row r="19" spans="1:13">
      <c r="A19" s="12" t="str">
        <f>"Mode"&amp;RIGHT(N1,1)&amp;""</f>
        <v>Mode:</v>
      </c>
      <c r="B19" s="13">
        <f>IFERROR(MODE(B2,B4,B9:B10),"—")</f>
        <v>43866</v>
      </c>
      <c r="C19" s="13">
        <f>IFERROR(MODE(C2,C4,C9:C10),"—")</f>
        <v>43871</v>
      </c>
      <c r="D19" s="31"/>
      <c r="E19" s="8">
        <f>IFERROR(MODE(E2,E4,E9:E10),"—")</f>
        <v>2</v>
      </c>
      <c r="F19" s="31" t="str">
        <f>IFERROR(MODE(F2,F4,F9:F10),"—")</f>
        <v>—</v>
      </c>
      <c r="G19" s="31" t="str">
        <f>IFERROR(MODE(G2,G4,G9:G10),"—")</f>
        <v>—</v>
      </c>
      <c r="H19" s="31"/>
      <c r="I19" s="35" t="str">
        <f>IFERROR(MODE(I2,I4,I9:I10),"—")</f>
        <v>—</v>
      </c>
      <c r="J19" s="35" t="str">
        <f>IFERROR(MODE(J2,J4,J9:J10),"—")</f>
        <v>—</v>
      </c>
      <c r="K19" s="31">
        <f>IFERROR(MODE(K2,K4,K9:K10),"—")</f>
        <v>2</v>
      </c>
      <c r="L19" s="16">
        <f>IFERROR(MODE(L3,L5:L8,L11:L14),"—")</f>
        <v>0</v>
      </c>
      <c r="M19" s="7" t="str">
        <f>IFERROR(IF(COUNTIF(M3,"Yes")+COUNTIF(M5:M8,"Yes")+COUNTIF(M11:M14,"Yes")&gt;=COUNTIF(M3,"No")+COUNTIF(M5:M8,"No")+COUNTIF(M11:M14,"No"),IF((COUNTIF(M3,"Yes")+COUNTIF(M5:M8,"Yes")+COUNTIF(M11:M14,"Yes"))/COUNTA(M3,M5:M8,M11:M14)&gt;1/3,"Yes","—"),IF((COUNTIF(M3,"No")+COUNTIF(M5:M8,"No")+COUNTIF(M11:M14,"No"))/COUNTA(M3,M5:M8,M11:M14)&gt;1/3,"No","—")),"—")</f>
        <v>Yes</v>
      </c>
    </row>
    <row r="20" spans="1:13">
      <c r="A20" s="12" t="str">
        <f>"Corr. (all) \ SD"&amp;RIGHT(N1,1)&amp;""</f>
        <v>Corr. (all) \ SD:</v>
      </c>
      <c r="B20" s="12" t="str">
        <f>""&amp;TEXT(STDEV(B2,B4,B9:B10),"0.###")&amp;" days"</f>
        <v>0.957 days</v>
      </c>
      <c r="C20" s="12" t="str">
        <f>""&amp;TEXT(STDEV(C2,C4,C9:C10),"#.###")&amp;""&amp;TEXT(RIGHT(B20,5),"")&amp;""</f>
        <v>6.652 days</v>
      </c>
      <c r="D20" s="8"/>
      <c r="E20" s="66">
        <f>STDEV(E2,E4,E9:E10)</f>
        <v>0.57735026918962573</v>
      </c>
      <c r="F20" s="66">
        <f>STDEV(F2,F4,F9:F10)</f>
        <v>7.5498344352707498</v>
      </c>
      <c r="G20" s="66">
        <f>STDEV(G2,G4,G9:G10)</f>
        <v>2</v>
      </c>
      <c r="H20" s="8"/>
      <c r="I20" s="14">
        <f>CEILING(STDEV(I2,I4,I9:I10),0.01)</f>
        <v>5167.83</v>
      </c>
      <c r="J20" s="12" t="str">
        <f>""&amp;TEXT(STDEV(J2,J4,J9:J10),"#.###")&amp;""&amp;TEXT(RIGHT(B20,5),"")&amp;""</f>
        <v>9.469 days</v>
      </c>
      <c r="K20" s="31">
        <f>STDEV(K2,K4,K9:K10)</f>
        <v>0</v>
      </c>
      <c r="L20" s="14">
        <f>CEILING(STDEV(L3,L5:L8,L11:L14),0.01)</f>
        <v>30</v>
      </c>
      <c r="M20" s="62">
        <f>STDEV(COUNTIF(M3,"Yes"),COUNTIF(M5,"Yes"),COUNTIF(M6,"Yes"),COUNTIF(M7,"Yes"),COUNTIF(M8,"Yes"),COUNTIF(M11,"Yes"),COUNTIF(M12,"Yes"),COUNTIF(M13,"Yes"),COUNTIF(M14,"Yes"))</f>
        <v>0.33333333333333343</v>
      </c>
    </row>
    <row r="21" spans="1:13">
      <c r="A21" s="12" t="str">
        <f>B1</f>
        <v>Application</v>
      </c>
      <c r="B21" s="17">
        <f>IFERROR(CORREL(B2:B15,B2:B15),"—")</f>
        <v>1.0000000000000002</v>
      </c>
      <c r="C21" s="17">
        <f>IFERROR(CORREL(B2:B15,C2:C15),"—")</f>
        <v>0.97845453842631236</v>
      </c>
      <c r="D21" s="17"/>
      <c r="E21" s="17">
        <f>IFERROR(CORREL(B2:B15,E2:E15),"—")</f>
        <v>0.48332644833896499</v>
      </c>
      <c r="F21" s="17">
        <f>IFERROR(CORREL(B2:B15,F2:F15),"—")</f>
        <v>-0.32323893350018318</v>
      </c>
      <c r="G21" s="17">
        <f>IFERROR(CORREL(B2:B15,G2:G15),"—")</f>
        <v>-0.21089382264079484</v>
      </c>
      <c r="H21" s="17"/>
      <c r="I21" s="17">
        <f>IFERROR(CORREL(B2:B15,I2:I15),"—")</f>
        <v>0.22139461472172178</v>
      </c>
      <c r="J21" s="17">
        <f>IFERROR(CORREL(B2:B15,J2:J15),"—")</f>
        <v>-0.79475483773578548</v>
      </c>
      <c r="K21" s="17">
        <f>IFERROR(CORREL(B2:B15,K2:K15),"—")</f>
        <v>-0.55795655144759282</v>
      </c>
      <c r="L21" s="17">
        <f>IFERROR(CORREL(B2:B15,L2:L15),"—")</f>
        <v>-0.24391357352295759</v>
      </c>
    </row>
    <row r="22" spans="1:13">
      <c r="A22" s="12" t="str">
        <f>C1</f>
        <v>Acceptance</v>
      </c>
      <c r="B22" s="17">
        <f>IFERROR(CORREL(C2:C15,B2:B15),"—")</f>
        <v>0.97845453842631236</v>
      </c>
      <c r="C22" s="17">
        <f>IFERROR(CORREL(C2:C15,C2:C15),"—")</f>
        <v>1</v>
      </c>
      <c r="D22" s="17"/>
      <c r="E22" s="17">
        <f>IFERROR(CORREL(C2:C15,E2:E15),"—")</f>
        <v>0.49444479768962185</v>
      </c>
      <c r="F22" s="17">
        <f>IFERROR(CORREL(C2:C15,F2:F15),"—")</f>
        <v>-0.23144950374228998</v>
      </c>
      <c r="G22" s="17">
        <f>IFERROR(CORREL(C2:C15,G2:G15),"—")</f>
        <v>-0.26023915148784754</v>
      </c>
      <c r="H22" s="17"/>
      <c r="I22" s="17">
        <f>IFERROR(CORREL(C2:C15,I2:I15),"—")</f>
        <v>0.2584214137998318</v>
      </c>
      <c r="J22" s="17">
        <f>IFERROR(CORREL(C2:C15,J2:J15),"—")</f>
        <v>-0.74614559799607327</v>
      </c>
      <c r="K22" s="17">
        <f>IFERROR(CORREL(C2:C15,K2:K15),"—")</f>
        <v>0.14405011429073347</v>
      </c>
      <c r="L22" s="17">
        <f>IFERROR(CORREL(C2:C15,L2:L15),"—")</f>
        <v>-0.11431970722929141</v>
      </c>
    </row>
    <row r="23" spans="1:13">
      <c r="A23" s="12" t="str">
        <f>E1</f>
        <v>Length</v>
      </c>
      <c r="B23" s="17">
        <f>IFERROR(CORREL(E2:E15,B2:B15),"—")</f>
        <v>0.48332644833896499</v>
      </c>
      <c r="C23" s="17">
        <f>IFERROR(CORREL(E2:E15,C2:C15),"—")</f>
        <v>0.49444479768962185</v>
      </c>
      <c r="D23" s="17"/>
      <c r="E23" s="17">
        <f>IFERROR(CORREL(E2:E15,E2:E15),"—")</f>
        <v>1</v>
      </c>
      <c r="F23" s="17">
        <f>IFERROR(CORREL(E2:E15,F2:F15),"—")</f>
        <v>-0.15270679750664914</v>
      </c>
      <c r="G23" s="17">
        <f>IFERROR(CORREL(E2:E15,G2:G15),"—")</f>
        <v>-0.17321698983432743</v>
      </c>
      <c r="H23" s="17"/>
      <c r="I23" s="17">
        <f>IFERROR(CORREL(E2:E15,I2:I15),"—")</f>
        <v>3.8155234749776404E-2</v>
      </c>
      <c r="J23" s="17">
        <f>IFERROR(CORREL(E2:E15,J2:J15),"—")</f>
        <v>-0.45247987131804029</v>
      </c>
      <c r="K23" s="17">
        <f>IFERROR(CORREL(E2:E15,K2:K15),"—")</f>
        <v>-0.36949034496826327</v>
      </c>
      <c r="L23" s="17">
        <f>IFERROR(CORREL(E2:E15,L2:L15),"—")</f>
        <v>8.9075353503669019E-2</v>
      </c>
    </row>
    <row r="24" spans="1:13">
      <c r="A24" s="12" t="str">
        <f>F1</f>
        <v>Credits</v>
      </c>
      <c r="B24" s="17">
        <f>IFERROR(CORREL(F2:F15,B2:B15),"—")</f>
        <v>-0.32323893350018318</v>
      </c>
      <c r="C24" s="17">
        <f>IFERROR(CORREL(F2:F15,C2:C15),"—")</f>
        <v>-0.23144950374228998</v>
      </c>
      <c r="D24" s="17"/>
      <c r="E24" s="17">
        <f>IFERROR(CORREL(F2:F15,E2:E15),"—")</f>
        <v>-0.15270679750664914</v>
      </c>
      <c r="F24" s="17">
        <f>IFERROR(CORREL(F2:F15,F2:F15),"—")</f>
        <v>1</v>
      </c>
      <c r="G24" s="17">
        <f>IFERROR(CORREL(F2:F15,G2:G15),"—")</f>
        <v>0.56378690647299279</v>
      </c>
      <c r="H24" s="17"/>
      <c r="I24" s="17">
        <f>IFERROR(CORREL(F2:F15,I2:I15),"—")</f>
        <v>-0.10272543048327305</v>
      </c>
      <c r="J24" s="17">
        <f>IFERROR(CORREL(F2:F15,J2:J15),"—")</f>
        <v>0.28046865073160643</v>
      </c>
      <c r="K24" s="17">
        <f>IFERROR(CORREL(F2:F15,K2:K15),"—")</f>
        <v>0.42455632509178559</v>
      </c>
      <c r="L24" s="17">
        <f>IFERROR(CORREL(F2:F15,L2:L15),"—")</f>
        <v>1.7289315240579584E-2</v>
      </c>
    </row>
    <row r="25" spans="1:13">
      <c r="A25" s="12" t="str">
        <f>G1</f>
        <v>Courses</v>
      </c>
      <c r="B25" s="17">
        <f>IFERROR(CORREL(G2:G15,B2:B15),"—")</f>
        <v>-0.21089382264079484</v>
      </c>
      <c r="C25" s="17">
        <f>IFERROR(CORREL(G2:G15,C2:C15),"—")</f>
        <v>-0.26023915148784754</v>
      </c>
      <c r="D25" s="17"/>
      <c r="E25" s="17">
        <f>IFERROR(CORREL(G2:G15,E2:E15),"—")</f>
        <v>-0.17321698983432743</v>
      </c>
      <c r="F25" s="17">
        <f>IFERROR(CORREL(G2:G15,F2:F15),"—")</f>
        <v>0.56378690647299279</v>
      </c>
      <c r="G25" s="17">
        <f>IFERROR(CORREL(G2:G15,G2:G15),"—")</f>
        <v>1.0000000000000002</v>
      </c>
      <c r="H25" s="17"/>
      <c r="I25" s="17">
        <f>IFERROR(CORREL(G2:G15,I2:I15),"—")</f>
        <v>-0.17267558282474116</v>
      </c>
      <c r="J25" s="17">
        <f>IFERROR(CORREL(G2:G15,J2:J15),"—")</f>
        <v>-4.4643925085131972E-2</v>
      </c>
      <c r="K25" s="17">
        <f>IFERROR(CORREL(G2:G15,K2:K15),"—")</f>
        <v>-9.2574791803190726E-2</v>
      </c>
      <c r="L25" s="17">
        <f>IFERROR(CORREL(G2:G15,L2:L15),"—")</f>
        <v>-0.22064306388701202</v>
      </c>
    </row>
    <row r="26" spans="1:13">
      <c r="A26" s="12" t="str">
        <f>I1</f>
        <v>Tuition</v>
      </c>
      <c r="B26" s="17">
        <f>IFERROR(CORREL(I2:I15,B2:B15),"—")</f>
        <v>0.22139461472172178</v>
      </c>
      <c r="C26" s="17">
        <f>IFERROR(CORREL(I2:I15,C2:C15),"—")</f>
        <v>0.2584214137998318</v>
      </c>
      <c r="D26" s="17"/>
      <c r="E26" s="17">
        <f>IFERROR(CORREL(I2:I15,E2:E15),"—")</f>
        <v>3.8155234749776404E-2</v>
      </c>
      <c r="F26" s="17">
        <f>IFERROR(CORREL(I2:I15,F2:F15),"—")</f>
        <v>-0.10272543048327305</v>
      </c>
      <c r="G26" s="17">
        <f>IFERROR(CORREL(I2:I15,G2:G15),"—")</f>
        <v>-0.17267558282474116</v>
      </c>
      <c r="H26" s="17"/>
      <c r="I26" s="17">
        <f>IFERROR(CORREL(I2:I15,I2:I15),"—")</f>
        <v>0.99999999999999978</v>
      </c>
      <c r="J26" s="17">
        <f>IFERROR(CORREL(I2:I15,J2:J15),"—")</f>
        <v>-0.39957386753592883</v>
      </c>
      <c r="K26" s="17">
        <f>IFERROR(CORREL(I2:I15,K2:K15),"—")</f>
        <v>-0.19373299709158834</v>
      </c>
      <c r="L26" s="17">
        <f>IFERROR(CORREL(I2:I15,L2:L15),"—")</f>
        <v>0.60299754173320175</v>
      </c>
    </row>
    <row r="27" spans="1:13">
      <c r="A27" s="12" t="str">
        <f>J1</f>
        <v>Deadline</v>
      </c>
      <c r="B27" s="17">
        <f>IFERROR(CORREL(J2:J15,B2:B15),"—")</f>
        <v>-0.79475483773578548</v>
      </c>
      <c r="C27" s="17">
        <f>IFERROR(CORREL(J2:J15,C2:C15),"—")</f>
        <v>-0.74614559799607327</v>
      </c>
      <c r="D27" s="17"/>
      <c r="E27" s="17">
        <f>IFERROR(CORREL(J2:J15,E2:E15),"—")</f>
        <v>-0.45247987131804029</v>
      </c>
      <c r="F27" s="17">
        <f>IFERROR(CORREL(J2:J15,F2:F15),"—")</f>
        <v>0.28046865073160643</v>
      </c>
      <c r="G27" s="17">
        <f>IFERROR(CORREL(J2:J15,G2:G15),"—")</f>
        <v>-4.4643925085131972E-2</v>
      </c>
      <c r="H27" s="17"/>
      <c r="I27" s="17">
        <f>IFERROR(CORREL(J2:J15,I2:I15),"—")</f>
        <v>-0.39957386753592883</v>
      </c>
      <c r="J27" s="17">
        <f>IFERROR(CORREL(J2:J15,J2:J15),"—")</f>
        <v>0.99999999999999989</v>
      </c>
      <c r="K27" s="17">
        <f>IFERROR(CORREL(J2:J15,K2:K15),"—")</f>
        <v>0.52283977806252369</v>
      </c>
      <c r="L27" s="17">
        <f>IFERROR(CORREL(J2:J15,L2:L15),"—")</f>
        <v>0.18183472284920013</v>
      </c>
    </row>
    <row r="28" spans="1:13">
      <c r="A28" s="12" t="str">
        <f>K1</f>
        <v>Deferral</v>
      </c>
      <c r="B28" s="17">
        <f>IFERROR(CORREL(K2:K15,B2:B15),"—")</f>
        <v>-0.55795655144759282</v>
      </c>
      <c r="C28" s="17">
        <f>IFERROR(CORREL(K2:K15,C2:C15),"—")</f>
        <v>0.14405011429073347</v>
      </c>
      <c r="D28" s="17"/>
      <c r="E28" s="17">
        <f>IFERROR(CORREL(K2:K15,E2:E15),"—")</f>
        <v>-0.36949034496826327</v>
      </c>
      <c r="F28" s="17">
        <f>IFERROR(CORREL(K2:K15,F2:F15),"—")</f>
        <v>0.42455632509178559</v>
      </c>
      <c r="G28" s="17">
        <f>IFERROR(CORREL(K2:K15,G2:G15),"—")</f>
        <v>-9.2574791803190726E-2</v>
      </c>
      <c r="H28" s="17"/>
      <c r="I28" s="17">
        <f>IFERROR(CORREL(K2:K15,I2:I15),"—")</f>
        <v>-0.19373299709158834</v>
      </c>
      <c r="J28" s="17">
        <f>IFERROR(CORREL(K2:K15,J2:J15),"—")</f>
        <v>0.52283977806252369</v>
      </c>
      <c r="K28" s="17">
        <f>IFERROR(CORREL(K2:K15,K2:K15),"—")</f>
        <v>1</v>
      </c>
      <c r="L28" s="17">
        <f>IFERROR(CORREL(K2:K15,L2:L15),"—")</f>
        <v>-0.17328457768926392</v>
      </c>
    </row>
    <row r="29" spans="1:13">
      <c r="A29" s="12" t="str">
        <f>L1</f>
        <v>Fee</v>
      </c>
      <c r="B29" s="17">
        <f>IFERROR(CORREL(L2:L15,B2:B15),"—")</f>
        <v>-0.24391357352295759</v>
      </c>
      <c r="C29" s="17">
        <f>IFERROR(CORREL(L2:L15,C2:C15),"—")</f>
        <v>-0.11431970722929141</v>
      </c>
      <c r="D29" s="17"/>
      <c r="E29" s="17">
        <f>IFERROR(CORREL(L2:L15,E2:E15),"—")</f>
        <v>8.9075353503669019E-2</v>
      </c>
      <c r="F29" s="17">
        <f>IFERROR(CORREL(L2:L15,F2:F15),"—")</f>
        <v>1.7289315240579584E-2</v>
      </c>
      <c r="G29" s="17">
        <f>IFERROR(CORREL(L2:L15,G2:G15),"—")</f>
        <v>-0.22064306388701202</v>
      </c>
      <c r="H29" s="17"/>
      <c r="I29" s="17">
        <f>IFERROR(CORREL(L2:L15,I2:I15),"—")</f>
        <v>0.60299754173320175</v>
      </c>
      <c r="J29" s="17">
        <f>IFERROR(CORREL(L2:L15,J2:J15),"—")</f>
        <v>0.18183472284920013</v>
      </c>
      <c r="K29" s="17">
        <f>IFERROR(CORREL(L2:L15,K2:K15),"—")</f>
        <v>-0.17328457768926392</v>
      </c>
      <c r="L29" s="17">
        <f>IFERROR(CORREL(L2:L15,L2:L15),"—")</f>
        <v>1.0000000000000002</v>
      </c>
    </row>
    <row r="30" spans="1:13">
      <c r="I30" s="18"/>
      <c r="J30" s="19"/>
      <c r="K30" s="8"/>
    </row>
  </sheetData>
  <sheetProtection password="F369" sheet="1" objects="1" scenarios="1"/>
  <customSheetViews>
    <customSheetView guid="{D6ACF4D4-0270-1E41-ACF3-32941C02D89F}">
      <pageSetup orientation="portrait" horizontalDpi="4294967292" verticalDpi="4294967292"/>
    </customSheetView>
  </customSheetViews>
  <phoneticPr fontId="7" type="noConversion"/>
  <conditionalFormatting sqref="B21:C29 E21:G29 I21:L29">
    <cfRule type="cellIs" dxfId="24" priority="20" operator="between">
      <formula>0.9</formula>
      <formula>0.999</formula>
    </cfRule>
    <cfRule type="cellIs" dxfId="23" priority="21" operator="between">
      <formula>-0.999</formula>
      <formula>-0.9</formula>
    </cfRule>
  </conditionalFormatting>
  <conditionalFormatting sqref="E2 E4 E9:E10">
    <cfRule type="cellIs" dxfId="22" priority="22" operator="equal">
      <formula>"IF(COUNTIF(E2,MAX(E2,E4,E6,E8:E10,E14))+COUNTIF(E4,MAX(E2,E4,E6,E8:E10,E14))+COUNTIF(E6,MAX(E2,E4,E6,E8:E10,E14))+COUNTIF(E8:E10,MAX(E2,E4,E6,E8:E10,E14))+COUNTIF(E14,MAX(E2,E4,E6,E8:E10,E14))&lt;3,MAX(E2,E4,E6,E8:E10,E14),0)"</formula>
    </cfRule>
    <cfRule type="cellIs" dxfId="21" priority="32" operator="equal">
      <formula>MIN($E$17,$E$18)</formula>
    </cfRule>
    <cfRule type="top10" dxfId="20" priority="34" bottom="1" rank="1"/>
  </conditionalFormatting>
  <conditionalFormatting sqref="F2 F4 F9:F10">
    <cfRule type="top10" dxfId="19" priority="40" rank="1"/>
    <cfRule type="cellIs" dxfId="18" priority="41" operator="equal">
      <formula>MIN($F$17,$F$18)</formula>
    </cfRule>
    <cfRule type="top10" dxfId="17" priority="42" bottom="1" rank="1"/>
  </conditionalFormatting>
  <conditionalFormatting sqref="G2 G4 G9:G10">
    <cfRule type="top10" dxfId="16" priority="37" rank="1"/>
    <cfRule type="cellIs" dxfId="15" priority="38" operator="equal">
      <formula>$G$17</formula>
    </cfRule>
    <cfRule type="top10" dxfId="14" priority="39" bottom="1" rank="1"/>
  </conditionalFormatting>
  <conditionalFormatting sqref="I2 I4 I9:I10">
    <cfRule type="top10" dxfId="13" priority="43" rank="1"/>
    <cfRule type="cellIs" dxfId="12" priority="44" operator="equal">
      <formula>MIN($I$17,$I$18)</formula>
    </cfRule>
    <cfRule type="top10" dxfId="11" priority="46" bottom="1" rank="1"/>
  </conditionalFormatting>
  <conditionalFormatting sqref="J2 J4 J9:J10">
    <cfRule type="timePeriod" dxfId="10" priority="23" timePeriod="thisWeek">
      <formula>AND(TODAY()-ROUNDDOWN(J2,0)&lt;=WEEKDAY(TODAY())-1,ROUNDDOWN(J2,0)-TODAY()&lt;=7-WEEKDAY(TODAY()))</formula>
    </cfRule>
    <cfRule type="top10" dxfId="9" priority="29" bottom="1" rank="1"/>
    <cfRule type="cellIs" dxfId="8" priority="30" operator="equal">
      <formula>MIN($J$17,$J$18)</formula>
    </cfRule>
    <cfRule type="top10" dxfId="7" priority="31" rank="1"/>
  </conditionalFormatting>
  <conditionalFormatting sqref="K2 K4 K9:K10">
    <cfRule type="aboveAverage" dxfId="6" priority="1" aboveAverage="0"/>
    <cfRule type="cellIs" dxfId="5" priority="2" operator="equal">
      <formula>MIN($K$17,$K$18)</formula>
    </cfRule>
    <cfRule type="aboveAverage" dxfId="4" priority="25"/>
  </conditionalFormatting>
  <conditionalFormatting sqref="B21:C29 E21:G29 I21:L29 O2:S2 O4:S4 O9:S10 O15:S15">
    <cfRule type="cellIs" dxfId="3" priority="5" operator="equal">
      <formula>1</formula>
    </cfRule>
    <cfRule type="cellIs" dxfId="2" priority="6" operator="equal">
      <formula>-1</formula>
    </cfRule>
    <cfRule type="cellIs" dxfId="1" priority="7" operator="between">
      <formula>0.999</formula>
      <formula>0.999999</formula>
    </cfRule>
    <cfRule type="cellIs" dxfId="0" priority="8" operator="between">
      <formula>-0.999999</formula>
      <formula>-0.999</formula>
    </cfRule>
  </conditionalFormatting>
  <hyperlinks>
    <hyperlink ref="K8" r:id="rId1" display="../../Downloads/Marquette%20University.pdf"/>
    <hyperlink ref="J2" r:id="rId2" display="https://academics.depaul.edu/calendar/Pages/default.aspx?query=All&amp;year=2022-2023&amp;term=autumn&amp;type=begin-end"/>
    <hyperlink ref="J4" r:id="rId3" display="https://www.udmercy.edu/current-students/registrar/files/current_3yr_calendar.pdf"/>
    <hyperlink ref="J9" r:id="rId4" location="academicyear202223textcontainer" display="https://catalog.canisius.edu/graduate/academic-calendar/ - academicyear202223textcontainer"/>
    <hyperlink ref="J11" r:id="rId5" display="https://www.american.edu/programs/shared/data-science/admissions.cfm"/>
    <hyperlink ref="J14" r:id="rId6" display="https://www.tiffin.edu/academics/calendar-bulletin"/>
    <hyperlink ref="J7" r:id="rId7" display="https://www.stmarys-ca.edu/graduate-business-ranked-a-best-graduate-school-by-us-news-world-report/application-deadlines"/>
    <hyperlink ref="J6" r:id="rId8" display="https://www.up.edu/graduate/program-requirements/ma-hesa.html"/>
    <hyperlink ref="J8" r:id="rId9" display="https://www.marquette.edu/grad/programs-criminal-justice-data-analytics.php"/>
    <hyperlink ref="J3" r:id="rId10" display="https://www.loyola.edu/academics/data-science/graduate/admission"/>
    <hyperlink ref="J13" r:id="rId11" display="http://catalog.findlay.edu/current/Undergraduate-Catalog/Academic-Calendar/2022-2023-Academic-Calendar/Fall-Semester-2022"/>
    <hyperlink ref="J12" r:id="rId12" display="https://www.regis.edu/_documents/records-and-registration/rc-graduate-and-spa-academic-calendar-2021-2022.pdf"/>
    <hyperlink ref="J5" r:id="rId13" display="https://lindenwood.smartcatalogiq.com/2021-2022/Graduate-Catalog/Academic-Calendar"/>
  </hyperlinks>
  <pageMargins left="0.75" right="0.75" top="1" bottom="1" header="0.5" footer="0.5"/>
  <pageSetup orientation="portrait" horizontalDpi="4294967292" verticalDpi="4294967292"/>
  <ignoredErrors>
    <ignoredError sqref="B22:L28 B29:K29 L29 B21:H21 J21:K21 S2:S15 R15 R2 R3 R4 R13 R14 R12 R11 R10 R9 R8 R7 R6 R5 O12:P12 O5:P5 O6:P6 O7:P7 O8:P8 O9:P9 O10:P10 O11:P11 Q12 Q5 Q6 Q7 Q8 Q9 Q10 Q11" emptyCellReference="1"/>
    <ignoredError sqref="B17:C17 B18:C18 B19:C19 B20:C2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Loyola Course Grid</vt:lpstr>
      <vt:lpstr>Apartment Rent</vt:lpstr>
      <vt:lpstr>Graduate Admissions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Wang</dc:creator>
  <cp:lastModifiedBy>Caroline Wang</cp:lastModifiedBy>
  <dcterms:created xsi:type="dcterms:W3CDTF">2020-05-15T00:04:38Z</dcterms:created>
  <dcterms:modified xsi:type="dcterms:W3CDTF">2024-02-18T10:27:17Z</dcterms:modified>
</cp:coreProperties>
</file>