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80" yWindow="0" windowWidth="12924" windowHeight="8952" tabRatio="637"/>
  </bookViews>
  <sheets>
    <sheet name="106.2" sheetId="24" r:id="rId1"/>
    <sheet name="營業報" sheetId="2" r:id="rId2"/>
    <sheet name="技術回收" sheetId="18" r:id="rId3"/>
    <sheet name="新舊客戶業績計表" sheetId="11" r:id="rId4"/>
    <sheet name="年度業績圖表" sheetId="20" r:id="rId5"/>
    <sheet name="班表" sheetId="21" r:id="rId6"/>
    <sheet name="Sheet1" sheetId="25" r:id="rId7"/>
  </sheets>
  <calcPr calcId="124519"/>
</workbook>
</file>

<file path=xl/calcChain.xml><?xml version="1.0" encoding="utf-8"?>
<calcChain xmlns="http://schemas.openxmlformats.org/spreadsheetml/2006/main">
  <c r="J30" i="24"/>
  <c r="I28" i="11"/>
  <c r="S27" i="2"/>
  <c r="R27"/>
  <c r="C27" i="18"/>
  <c r="AA27"/>
  <c r="B27" i="2"/>
  <c r="J27"/>
  <c r="F27"/>
  <c r="G30" i="24"/>
  <c r="S21" i="2" l="1"/>
  <c r="R21"/>
  <c r="G29" i="24"/>
  <c r="I27" i="11"/>
  <c r="D26" i="2"/>
  <c r="U26" s="1"/>
  <c r="U27"/>
  <c r="E27" i="24"/>
  <c r="E28"/>
  <c r="E29"/>
  <c r="E30"/>
  <c r="I29"/>
  <c r="G15" l="1"/>
  <c r="G28"/>
  <c r="S25" i="2"/>
  <c r="R25"/>
  <c r="L25"/>
  <c r="E25"/>
  <c r="D24"/>
  <c r="J27" i="24"/>
  <c r="AA24" i="18"/>
  <c r="G24"/>
  <c r="C24"/>
  <c r="O24" i="2"/>
  <c r="N24"/>
  <c r="S24"/>
  <c r="R24"/>
  <c r="I24" i="11" l="1"/>
  <c r="F23" i="2"/>
  <c r="C23" i="18"/>
  <c r="S23" i="2"/>
  <c r="R23"/>
  <c r="G26" i="24"/>
  <c r="C24" i="11"/>
  <c r="H26" i="24"/>
  <c r="D23" i="2"/>
  <c r="I23" i="11" l="1"/>
  <c r="D22" i="2"/>
  <c r="G25" i="24"/>
  <c r="K22" i="18"/>
  <c r="S22" i="2"/>
  <c r="R22"/>
  <c r="AA22" i="18"/>
  <c r="H22" i="11" l="1"/>
  <c r="I22"/>
  <c r="D21" i="2"/>
  <c r="G24" i="24"/>
  <c r="E21" i="2"/>
  <c r="J24" i="24"/>
  <c r="O21" i="2"/>
  <c r="N21"/>
  <c r="I21" i="11" l="1"/>
  <c r="G23" i="24"/>
  <c r="AA20" i="18"/>
  <c r="R20" i="2"/>
  <c r="C20" i="18"/>
  <c r="S20" i="2"/>
  <c r="G20" i="18"/>
  <c r="F20" i="2"/>
  <c r="G22" i="24"/>
  <c r="S19" i="2"/>
  <c r="R19"/>
  <c r="L19"/>
  <c r="C20" i="11"/>
  <c r="AA19" i="18"/>
  <c r="G19"/>
  <c r="K19"/>
  <c r="D17" i="2"/>
  <c r="G20" i="24"/>
  <c r="O18" i="2" l="1"/>
  <c r="N18"/>
  <c r="K18" i="18"/>
  <c r="AA18"/>
  <c r="S18" i="2"/>
  <c r="R18"/>
  <c r="G21" i="24"/>
  <c r="E18" i="2"/>
  <c r="I19" i="11"/>
  <c r="H19"/>
  <c r="B18" i="2"/>
  <c r="L18"/>
  <c r="Y18" i="18"/>
  <c r="E19" i="11"/>
  <c r="I18"/>
  <c r="J17" i="2"/>
  <c r="O17"/>
  <c r="N17"/>
  <c r="G17" i="18"/>
  <c r="M17"/>
  <c r="S17" i="2"/>
  <c r="R17"/>
  <c r="L17"/>
  <c r="S16"/>
  <c r="R16"/>
  <c r="H19" i="24"/>
  <c r="C16" i="11"/>
  <c r="G18" i="24"/>
  <c r="F10"/>
  <c r="F11" s="1"/>
  <c r="F12" s="1"/>
  <c r="F13" s="1"/>
  <c r="F14" s="1"/>
  <c r="F29" i="11"/>
  <c r="I29"/>
  <c r="L18" i="24"/>
  <c r="AB15" i="18"/>
  <c r="AA15"/>
  <c r="H18" i="24"/>
  <c r="Y14" i="18" l="1"/>
  <c r="K14"/>
  <c r="S14" i="2"/>
  <c r="R14"/>
  <c r="G17" i="24"/>
  <c r="AJ12" i="18"/>
  <c r="AJ13"/>
  <c r="AI12"/>
  <c r="AI13"/>
  <c r="AI14"/>
  <c r="AI15"/>
  <c r="AI16"/>
  <c r="AI17"/>
  <c r="AI18"/>
  <c r="AI19"/>
  <c r="AI20"/>
  <c r="AI21"/>
  <c r="AI22"/>
  <c r="AI23"/>
  <c r="AI24"/>
  <c r="AI25"/>
  <c r="AI26"/>
  <c r="AJ26" s="1"/>
  <c r="AI27"/>
  <c r="AJ11"/>
  <c r="D14" i="2"/>
  <c r="I15" i="11"/>
  <c r="H17" i="24"/>
  <c r="M14" i="2"/>
  <c r="C15" i="11"/>
  <c r="AJ10" i="18"/>
  <c r="AH14"/>
  <c r="B14" i="2"/>
  <c r="G16" i="24"/>
  <c r="I16"/>
  <c r="S13" i="2"/>
  <c r="R13"/>
  <c r="AG14" i="18"/>
  <c r="AH15"/>
  <c r="L13" i="2"/>
  <c r="AJ15" i="18" l="1"/>
  <c r="AJ14"/>
  <c r="G12" i="24"/>
  <c r="S12" i="2"/>
  <c r="R12"/>
  <c r="M12" i="18"/>
  <c r="C12"/>
  <c r="AA10" l="1"/>
  <c r="S10" i="2"/>
  <c r="R10"/>
  <c r="K10" i="18"/>
  <c r="G10"/>
  <c r="S9" i="2"/>
  <c r="R9"/>
  <c r="M9"/>
  <c r="H12" i="24"/>
  <c r="J7" i="2"/>
  <c r="K10" i="24"/>
  <c r="E9" i="11"/>
  <c r="M8" i="2"/>
  <c r="H11" i="24"/>
  <c r="S8" i="2"/>
  <c r="R8"/>
  <c r="G11" i="24"/>
  <c r="M8" i="18"/>
  <c r="C8"/>
  <c r="T8" i="2"/>
  <c r="I9" i="11"/>
  <c r="J8" i="2"/>
  <c r="D8"/>
  <c r="D9" i="24" l="1"/>
  <c r="C10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5"/>
  <c r="R7" i="2" l="1"/>
  <c r="AH7" i="18"/>
  <c r="W7"/>
  <c r="S7" i="2"/>
  <c r="AA7" i="18" l="1"/>
  <c r="G7"/>
  <c r="C7"/>
  <c r="L7" i="2"/>
  <c r="O7"/>
  <c r="N7"/>
  <c r="G10" i="24"/>
  <c r="D6" i="2"/>
  <c r="I7" i="11"/>
  <c r="G9" i="24"/>
  <c r="S6" i="2"/>
  <c r="R6"/>
  <c r="C6" i="18"/>
  <c r="K6"/>
  <c r="T5" i="2"/>
  <c r="H8" i="24"/>
  <c r="Y5" i="18"/>
  <c r="C5"/>
  <c r="S5" i="2"/>
  <c r="R5"/>
  <c r="G8" i="24"/>
  <c r="I5" i="18"/>
  <c r="P5" i="2"/>
  <c r="U15" l="1"/>
  <c r="U16"/>
  <c r="U17"/>
  <c r="U18"/>
  <c r="U19"/>
  <c r="U20"/>
  <c r="U21"/>
  <c r="U22"/>
  <c r="U23"/>
  <c r="U24"/>
  <c r="U25"/>
  <c r="E23" i="24" l="1"/>
  <c r="E24"/>
  <c r="E25"/>
  <c r="E26"/>
  <c r="N5" i="20" l="1"/>
  <c r="U6" i="2" l="1"/>
  <c r="U7"/>
  <c r="U8"/>
  <c r="U9"/>
  <c r="U10"/>
  <c r="U11"/>
  <c r="U12"/>
  <c r="U13"/>
  <c r="U14"/>
  <c r="U5"/>
  <c r="C8" i="24"/>
  <c r="B29" i="11"/>
  <c r="AG15" i="18"/>
  <c r="S28" i="2"/>
  <c r="H31" i="24"/>
  <c r="G31"/>
  <c r="N15" i="25"/>
  <c r="N10"/>
  <c r="N7"/>
  <c r="P10"/>
  <c r="O8"/>
  <c r="N6"/>
  <c r="N5"/>
  <c r="N4"/>
  <c r="AI6" i="18"/>
  <c r="AI7"/>
  <c r="AI8"/>
  <c r="AI9"/>
  <c r="AI10"/>
  <c r="AI11"/>
  <c r="AH6"/>
  <c r="AH8"/>
  <c r="AH9"/>
  <c r="AH10"/>
  <c r="AH11"/>
  <c r="AH12"/>
  <c r="AH13"/>
  <c r="AH16"/>
  <c r="AJ16" s="1"/>
  <c r="AH17"/>
  <c r="AJ17" s="1"/>
  <c r="AH18"/>
  <c r="AH20"/>
  <c r="AJ20" s="1"/>
  <c r="AH21"/>
  <c r="AJ21" s="1"/>
  <c r="AH22"/>
  <c r="AJ22" s="1"/>
  <c r="AH23"/>
  <c r="AJ23" s="1"/>
  <c r="AH24"/>
  <c r="AJ24" s="1"/>
  <c r="AH25"/>
  <c r="AJ25" s="1"/>
  <c r="AH26"/>
  <c r="AH27"/>
  <c r="AJ27" s="1"/>
  <c r="AG6"/>
  <c r="AG7"/>
  <c r="AG8"/>
  <c r="AG9"/>
  <c r="AG10"/>
  <c r="AG11"/>
  <c r="AG12"/>
  <c r="AG13"/>
  <c r="AG16"/>
  <c r="AG17"/>
  <c r="AG18"/>
  <c r="AG19"/>
  <c r="AG20"/>
  <c r="AG21"/>
  <c r="AG22"/>
  <c r="AG23"/>
  <c r="AG24"/>
  <c r="AG25"/>
  <c r="AG26"/>
  <c r="AG27"/>
  <c r="G6" i="2"/>
  <c r="G7"/>
  <c r="G8"/>
  <c r="G9"/>
  <c r="G10"/>
  <c r="G12"/>
  <c r="G13"/>
  <c r="G14"/>
  <c r="G15"/>
  <c r="G16"/>
  <c r="G17"/>
  <c r="G18"/>
  <c r="G19"/>
  <c r="G20"/>
  <c r="G21"/>
  <c r="G22"/>
  <c r="G23"/>
  <c r="G24"/>
  <c r="G25"/>
  <c r="G27"/>
  <c r="G5"/>
  <c r="N31" i="24"/>
  <c r="I31"/>
  <c r="J31"/>
  <c r="K31"/>
  <c r="L31"/>
  <c r="E9"/>
  <c r="E10"/>
  <c r="E11"/>
  <c r="E12"/>
  <c r="E13"/>
  <c r="E15"/>
  <c r="F15" s="1"/>
  <c r="F16" s="1"/>
  <c r="F17" s="1"/>
  <c r="E16"/>
  <c r="E17"/>
  <c r="E18"/>
  <c r="E19"/>
  <c r="E20"/>
  <c r="E21"/>
  <c r="E22"/>
  <c r="H29" i="11"/>
  <c r="Y28" i="18"/>
  <c r="R28" i="2"/>
  <c r="N3" i="20"/>
  <c r="N4"/>
  <c r="W28" i="18"/>
  <c r="L28" i="2"/>
  <c r="N11" i="20"/>
  <c r="C29" i="11"/>
  <c r="D29"/>
  <c r="E29"/>
  <c r="G29"/>
  <c r="AG5" i="18"/>
  <c r="AH5"/>
  <c r="AI5"/>
  <c r="D28"/>
  <c r="E28"/>
  <c r="F28"/>
  <c r="G28"/>
  <c r="H28"/>
  <c r="J28"/>
  <c r="K28"/>
  <c r="L28"/>
  <c r="M28"/>
  <c r="N28"/>
  <c r="O28"/>
  <c r="P28"/>
  <c r="Q28"/>
  <c r="R28"/>
  <c r="S28"/>
  <c r="T28"/>
  <c r="U28"/>
  <c r="V28"/>
  <c r="X28"/>
  <c r="Z28"/>
  <c r="AA28"/>
  <c r="AB28"/>
  <c r="AC28"/>
  <c r="AD28"/>
  <c r="AE28"/>
  <c r="AF28"/>
  <c r="P28" i="2"/>
  <c r="B28"/>
  <c r="C28"/>
  <c r="F28"/>
  <c r="H28"/>
  <c r="I28"/>
  <c r="K28"/>
  <c r="M28"/>
  <c r="N28"/>
  <c r="O28"/>
  <c r="Q28"/>
  <c r="T28"/>
  <c r="V28"/>
  <c r="W28"/>
  <c r="X28"/>
  <c r="Y28"/>
  <c r="E8" i="24"/>
  <c r="F8" s="1"/>
  <c r="M8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O8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30" s="1"/>
  <c r="J28" i="2"/>
  <c r="I28" i="18"/>
  <c r="AJ8"/>
  <c r="E28" i="2"/>
  <c r="G11"/>
  <c r="E14" i="24"/>
  <c r="C28" i="18"/>
  <c r="AH19"/>
  <c r="AJ19" s="1"/>
  <c r="F18" i="24" l="1"/>
  <c r="F19" s="1"/>
  <c r="F20" s="1"/>
  <c r="F21" s="1"/>
  <c r="F22" s="1"/>
  <c r="F23" s="1"/>
  <c r="F24" s="1"/>
  <c r="F25" s="1"/>
  <c r="F26" s="1"/>
  <c r="F27" s="1"/>
  <c r="F28" s="1"/>
  <c r="F29" s="1"/>
  <c r="F30" s="1"/>
  <c r="AH28" i="18"/>
  <c r="AJ18"/>
  <c r="AJ9"/>
  <c r="AJ7"/>
  <c r="F9" i="24"/>
  <c r="M26"/>
  <c r="M27" s="1"/>
  <c r="M28" s="1"/>
  <c r="M30" s="1"/>
  <c r="AG28" i="18"/>
  <c r="E31" i="24"/>
  <c r="N13" i="20"/>
  <c r="N12"/>
  <c r="AJ6" i="18"/>
  <c r="AI28"/>
  <c r="AJ5"/>
  <c r="D8" i="24"/>
  <c r="C9"/>
  <c r="D10"/>
  <c r="U28" i="2"/>
  <c r="D28"/>
  <c r="G28" s="1"/>
  <c r="E30" s="1"/>
  <c r="D29" i="24" l="1"/>
  <c r="E31" i="2"/>
  <c r="D11" i="24"/>
  <c r="E29" i="2"/>
  <c r="D12" i="24" l="1"/>
  <c r="D13" l="1"/>
  <c r="D14" l="1"/>
  <c r="D15" l="1"/>
  <c r="D16" l="1"/>
  <c r="D17" l="1"/>
  <c r="D18" l="1"/>
  <c r="D19" l="1"/>
  <c r="D20" l="1"/>
  <c r="D21" l="1"/>
  <c r="D22" l="1"/>
  <c r="D23" l="1"/>
  <c r="D24" l="1"/>
  <c r="D25" l="1"/>
  <c r="D26" l="1"/>
  <c r="D27" l="1"/>
  <c r="D28" l="1"/>
  <c r="D30" l="1"/>
</calcChain>
</file>

<file path=xl/sharedStrings.xml><?xml version="1.0" encoding="utf-8"?>
<sst xmlns="http://schemas.openxmlformats.org/spreadsheetml/2006/main" count="425" uniqueCount="195">
  <si>
    <t>當月業績目標：</t>
  </si>
  <si>
    <t>項目</t>
  </si>
  <si>
    <t>合計</t>
  </si>
  <si>
    <t>日期</t>
  </si>
  <si>
    <t>零 售 業 績</t>
  </si>
  <si>
    <t>新客銷售人數</t>
  </si>
  <si>
    <t>新客銷售金額</t>
  </si>
  <si>
    <t>舊客銷售人數</t>
  </si>
  <si>
    <t>舊客銷售金額</t>
  </si>
  <si>
    <t>新沙龍銷售人數</t>
  </si>
  <si>
    <t>新沙龍銷售金額</t>
  </si>
  <si>
    <t>舊沙龍銷售人數</t>
  </si>
  <si>
    <t>舊沙龍銷售金額</t>
  </si>
  <si>
    <t>總計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</si>
  <si>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</si>
  <si>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</si>
  <si>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</si>
  <si>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</si>
  <si>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</si>
  <si>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</si>
  <si>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</si>
  <si>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</si>
  <si>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</si>
  <si>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</si>
  <si>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</si>
  <si>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</si>
  <si>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沙</t>
    </r>
    <r>
      <rPr>
        <sz val="12"/>
        <rFont val="Calibri"/>
        <family val="2"/>
      </rPr>
      <t>2</t>
    </r>
  </si>
  <si>
    <r>
      <t>沙</t>
    </r>
    <r>
      <rPr>
        <sz val="12"/>
        <rFont val="Calibri"/>
        <family val="2"/>
      </rPr>
      <t>5</t>
    </r>
  </si>
  <si>
    <t>手部</t>
    <phoneticPr fontId="2" type="noConversion"/>
  </si>
  <si>
    <t>足部</t>
    <phoneticPr fontId="2" type="noConversion"/>
  </si>
  <si>
    <t>客數</t>
    <phoneticPr fontId="2" type="noConversion"/>
  </si>
  <si>
    <t>姓名</t>
    <phoneticPr fontId="2" type="noConversion"/>
  </si>
  <si>
    <r>
      <t>日期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項目</t>
    </r>
    <phoneticPr fontId="2" type="noConversion"/>
  </si>
  <si>
    <t>總計</t>
    <phoneticPr fontId="2" type="noConversion"/>
  </si>
  <si>
    <t>回收金額</t>
    <phoneticPr fontId="2" type="noConversion"/>
  </si>
  <si>
    <t>營業報</t>
    <phoneticPr fontId="2" type="noConversion"/>
  </si>
  <si>
    <t>統計金額</t>
    <phoneticPr fontId="2" type="noConversion"/>
  </si>
  <si>
    <t>沙 龍 業 績</t>
    <phoneticPr fontId="2" type="noConversion"/>
  </si>
  <si>
    <t xml:space="preserve">      項目
日期</t>
    <phoneticPr fontId="2" type="noConversion"/>
  </si>
  <si>
    <t>年度</t>
    <phoneticPr fontId="2" type="noConversion"/>
  </si>
  <si>
    <t>Lulu</t>
    <phoneticPr fontId="2" type="noConversion"/>
  </si>
  <si>
    <t>Dami</t>
    <phoneticPr fontId="2" type="noConversion"/>
  </si>
  <si>
    <t>Bobo</t>
    <phoneticPr fontId="2" type="noConversion"/>
  </si>
  <si>
    <t>Nail library 台中歌劇院店</t>
    <phoneticPr fontId="2" type="noConversion"/>
  </si>
  <si>
    <t>已休</t>
  </si>
  <si>
    <t>未休</t>
  </si>
  <si>
    <t>年假</t>
  </si>
  <si>
    <t>其他</t>
  </si>
  <si>
    <t>Lulu</t>
  </si>
  <si>
    <t>★</t>
  </si>
  <si>
    <t>Dami</t>
  </si>
  <si>
    <t>Bobo</t>
  </si>
  <si>
    <t>A</t>
  </si>
  <si>
    <t>B</t>
  </si>
  <si>
    <t>GiGi</t>
    <phoneticPr fontId="2" type="noConversion"/>
  </si>
  <si>
    <r>
      <t>經銷</t>
    </r>
    <r>
      <rPr>
        <sz val="10"/>
        <rFont val="Calibri"/>
        <family val="2"/>
      </rPr>
      <t>(</t>
    </r>
    <r>
      <rPr>
        <sz val="10"/>
        <rFont val="微軟正黑體"/>
        <family val="2"/>
        <charset val="136"/>
      </rPr>
      <t>不列入每日業績</t>
    </r>
    <r>
      <rPr>
        <sz val="10"/>
        <rFont val="Calibri"/>
        <family val="2"/>
      </rPr>
      <t>)</t>
    </r>
  </si>
  <si>
    <t>一般沙龍</t>
  </si>
  <si>
    <t>合約客</t>
  </si>
  <si>
    <t>商品零售</t>
  </si>
  <si>
    <t>療程服務</t>
  </si>
  <si>
    <t>禮券銷售</t>
  </si>
  <si>
    <t>每日業績</t>
  </si>
  <si>
    <t>不列入每日業績統計</t>
  </si>
  <si>
    <t>台灣新奇</t>
  </si>
  <si>
    <t>舞指境</t>
  </si>
  <si>
    <r>
      <t>沙</t>
    </r>
    <r>
      <rPr>
        <sz val="12"/>
        <rFont val="Calibri"/>
        <family val="2"/>
      </rPr>
      <t>8</t>
    </r>
  </si>
  <si>
    <t>折讓</t>
  </si>
  <si>
    <r>
      <t>12</t>
    </r>
    <r>
      <rPr>
        <sz val="12"/>
        <rFont val="微軟正黑體"/>
        <family val="2"/>
        <charset val="136"/>
      </rPr>
      <t>萬</t>
    </r>
  </si>
  <si>
    <r>
      <t>24</t>
    </r>
    <r>
      <rPr>
        <sz val="12"/>
        <rFont val="微軟正黑體"/>
        <family val="2"/>
        <charset val="136"/>
      </rPr>
      <t>萬</t>
    </r>
  </si>
  <si>
    <r>
      <t>36</t>
    </r>
    <r>
      <rPr>
        <sz val="12"/>
        <rFont val="微軟正黑體"/>
        <family val="2"/>
        <charset val="136"/>
      </rPr>
      <t>萬</t>
    </r>
  </si>
  <si>
    <t>預收款</t>
  </si>
  <si>
    <t>THALGO</t>
  </si>
  <si>
    <r>
      <t>優惠</t>
    </r>
    <r>
      <rPr>
        <sz val="12"/>
        <rFont val="Calibri"/>
        <family val="2"/>
      </rPr>
      <t>/</t>
    </r>
    <r>
      <rPr>
        <sz val="12"/>
        <rFont val="微軟正黑體"/>
        <family val="2"/>
        <charset val="136"/>
      </rPr>
      <t>公關券</t>
    </r>
  </si>
  <si>
    <t>特賣</t>
  </si>
  <si>
    <t>員購</t>
  </si>
  <si>
    <t>沙龍總額</t>
  </si>
  <si>
    <r>
      <t>(THALGO</t>
    </r>
    <r>
      <rPr>
        <sz val="12"/>
        <color indexed="8"/>
        <rFont val="微軟正黑體"/>
        <family val="2"/>
        <charset val="136"/>
      </rPr>
      <t>僅為備註，業績歸入沙龍</t>
    </r>
    <r>
      <rPr>
        <sz val="12"/>
        <color indexed="8"/>
        <rFont val="Calibri"/>
        <family val="2"/>
      </rPr>
      <t>/</t>
    </r>
    <r>
      <rPr>
        <sz val="12"/>
        <color indexed="8"/>
        <rFont val="微軟正黑體"/>
        <family val="2"/>
        <charset val="136"/>
      </rPr>
      <t>合約報帳</t>
    </r>
    <r>
      <rPr>
        <sz val="12"/>
        <color indexed="8"/>
        <rFont val="Calibri"/>
        <family val="2"/>
      </rPr>
      <t>)</t>
    </r>
  </si>
  <si>
    <t>折讓金額</t>
  </si>
  <si>
    <t>淨銷金額</t>
  </si>
  <si>
    <r>
      <t xml:space="preserve">Nail library </t>
    </r>
    <r>
      <rPr>
        <sz val="20"/>
        <rFont val="細明體"/>
        <family val="3"/>
        <charset val="136"/>
      </rPr>
      <t>台中歌劇院店</t>
    </r>
    <phoneticPr fontId="2" type="noConversion"/>
  </si>
  <si>
    <t>每日業績目標：</t>
    <phoneticPr fontId="2" type="noConversion"/>
  </si>
  <si>
    <t>日期</t>
    <phoneticPr fontId="2" type="noConversion"/>
  </si>
  <si>
    <t>星期</t>
    <phoneticPr fontId="2" type="noConversion"/>
  </si>
  <si>
    <t>應達成業績</t>
    <phoneticPr fontId="2" type="noConversion"/>
  </si>
  <si>
    <t>當日業績</t>
    <phoneticPr fontId="2" type="noConversion"/>
  </si>
  <si>
    <t>帳款收入</t>
    <phoneticPr fontId="2" type="noConversion"/>
  </si>
  <si>
    <t>現金</t>
    <phoneticPr fontId="2" type="noConversion"/>
  </si>
  <si>
    <t>信用卡</t>
    <phoneticPr fontId="2" type="noConversion"/>
  </si>
  <si>
    <t>禮券</t>
    <phoneticPr fontId="2" type="noConversion"/>
  </si>
  <si>
    <t>匯款</t>
    <phoneticPr fontId="2" type="noConversion"/>
  </si>
  <si>
    <t>月結</t>
    <phoneticPr fontId="2" type="noConversion"/>
  </si>
  <si>
    <r>
      <t xml:space="preserve">沙龍
</t>
    </r>
    <r>
      <rPr>
        <sz val="12"/>
        <color indexed="30"/>
        <rFont val="Calibri"/>
        <family val="2"/>
      </rPr>
      <t>(</t>
    </r>
    <r>
      <rPr>
        <sz val="12"/>
        <color indexed="30"/>
        <rFont val="微軟正黑體"/>
        <family val="2"/>
        <charset val="136"/>
      </rPr>
      <t>日取</t>
    </r>
    <r>
      <rPr>
        <sz val="12"/>
        <color indexed="30"/>
        <rFont val="Calibri"/>
        <family val="2"/>
      </rPr>
      <t>)</t>
    </r>
    <phoneticPr fontId="2" type="noConversion"/>
  </si>
  <si>
    <r>
      <t xml:space="preserve">沙龍
</t>
    </r>
    <r>
      <rPr>
        <sz val="12"/>
        <color indexed="60"/>
        <rFont val="Calibri"/>
        <family val="2"/>
      </rPr>
      <t>(</t>
    </r>
    <r>
      <rPr>
        <sz val="12"/>
        <color indexed="60"/>
        <rFont val="微軟正黑體"/>
        <family val="2"/>
        <charset val="136"/>
      </rPr>
      <t>總取</t>
    </r>
    <r>
      <rPr>
        <sz val="12"/>
        <color indexed="60"/>
        <rFont val="Calibri"/>
        <family val="2"/>
      </rPr>
      <t>)</t>
    </r>
    <phoneticPr fontId="2" type="noConversion"/>
  </si>
  <si>
    <r>
      <t xml:space="preserve">零售
</t>
    </r>
    <r>
      <rPr>
        <sz val="12"/>
        <color indexed="12"/>
        <rFont val="Calibri"/>
        <family val="2"/>
      </rPr>
      <t>(</t>
    </r>
    <r>
      <rPr>
        <sz val="12"/>
        <color indexed="12"/>
        <rFont val="微軟正黑體"/>
        <family val="2"/>
        <charset val="136"/>
      </rPr>
      <t>日取</t>
    </r>
    <r>
      <rPr>
        <sz val="12"/>
        <color indexed="12"/>
        <rFont val="Calibri"/>
        <family val="2"/>
      </rPr>
      <t>)</t>
    </r>
    <phoneticPr fontId="2" type="noConversion"/>
  </si>
  <si>
    <r>
      <t xml:space="preserve">零售
</t>
    </r>
    <r>
      <rPr>
        <sz val="12"/>
        <color indexed="60"/>
        <rFont val="Calibri"/>
        <family val="2"/>
      </rPr>
      <t>(</t>
    </r>
    <r>
      <rPr>
        <sz val="12"/>
        <color indexed="60"/>
        <rFont val="微軟正黑體"/>
        <family val="2"/>
        <charset val="136"/>
      </rPr>
      <t>總取</t>
    </r>
    <r>
      <rPr>
        <sz val="12"/>
        <color indexed="60"/>
        <rFont val="Calibri"/>
        <family val="2"/>
      </rPr>
      <t>)</t>
    </r>
    <phoneticPr fontId="2" type="noConversion"/>
  </si>
  <si>
    <t>合計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</si>
  <si>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3" type="noConversion"/>
  </si>
  <si>
    <t xml:space="preserve"> </t>
    <phoneticPr fontId="63" type="noConversion"/>
  </si>
  <si>
    <t>(二)</t>
    <phoneticPr fontId="64" type="noConversion"/>
  </si>
  <si>
    <t>(四)</t>
    <phoneticPr fontId="64" type="noConversion"/>
  </si>
  <si>
    <t xml:space="preserve">      </t>
    <phoneticPr fontId="63" type="noConversion"/>
  </si>
  <si>
    <t>目標業績</t>
    <phoneticPr fontId="2" type="noConversion"/>
  </si>
  <si>
    <t>去年對比</t>
    <phoneticPr fontId="2" type="noConversion"/>
  </si>
  <si>
    <t>達成率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</si>
  <si>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</si>
  <si>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</si>
  <si>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</si>
  <si>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</si>
  <si>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 xml:space="preserve"> </t>
    <phoneticPr fontId="63" type="noConversion"/>
  </si>
  <si>
    <t>業績差異</t>
    <phoneticPr fontId="2" type="noConversion"/>
  </si>
  <si>
    <t>累積業績</t>
    <phoneticPr fontId="2" type="noConversion"/>
  </si>
  <si>
    <t>美睫</t>
  </si>
  <si>
    <t>GiGi</t>
  </si>
  <si>
    <t>10:30~19:30</t>
  </si>
  <si>
    <t>12:30~21:30</t>
  </si>
  <si>
    <t>C</t>
  </si>
  <si>
    <t>13:00~20:00</t>
  </si>
  <si>
    <t xml:space="preserve"> </t>
    <phoneticPr fontId="6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</si>
  <si>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3" type="noConversion"/>
  </si>
  <si>
    <t xml:space="preserve">       月份       </t>
    <phoneticPr fontId="2" type="noConversion"/>
  </si>
  <si>
    <t>一月</t>
    <phoneticPr fontId="2" type="noConversion"/>
  </si>
  <si>
    <t>二月</t>
    <phoneticPr fontId="2" type="noConversion"/>
  </si>
  <si>
    <t>三月</t>
    <phoneticPr fontId="2" type="noConversion"/>
  </si>
  <si>
    <t>四月</t>
    <phoneticPr fontId="2" type="noConversion"/>
  </si>
  <si>
    <t>五月</t>
    <phoneticPr fontId="2" type="noConversion"/>
  </si>
  <si>
    <t>六月</t>
    <phoneticPr fontId="2" type="noConversion"/>
  </si>
  <si>
    <t>七月</t>
    <phoneticPr fontId="2" type="noConversion"/>
  </si>
  <si>
    <t>八月</t>
    <phoneticPr fontId="2" type="noConversion"/>
  </si>
  <si>
    <t>九月</t>
    <phoneticPr fontId="2" type="noConversion"/>
  </si>
  <si>
    <t>十月</t>
    <phoneticPr fontId="2" type="noConversion"/>
  </si>
  <si>
    <t>十一月</t>
    <phoneticPr fontId="2" type="noConversion"/>
  </si>
  <si>
    <t>十二月</t>
    <phoneticPr fontId="2" type="noConversion"/>
  </si>
  <si>
    <t>TTL</t>
    <phoneticPr fontId="2" type="noConversion"/>
  </si>
  <si>
    <t>佔比</t>
    <phoneticPr fontId="2" type="noConversion"/>
  </si>
  <si>
    <t>業績目標</t>
    <phoneticPr fontId="2" type="noConversion"/>
  </si>
  <si>
    <t>成長率</t>
    <phoneticPr fontId="2" type="noConversion"/>
  </si>
  <si>
    <t>過年</t>
    <phoneticPr fontId="67" type="noConversion"/>
  </si>
  <si>
    <t>1/27-30</t>
    <phoneticPr fontId="67" type="noConversion"/>
  </si>
  <si>
    <t>5天</t>
    <phoneticPr fontId="67" type="noConversion"/>
  </si>
  <si>
    <t>母親節</t>
    <phoneticPr fontId="67" type="noConversion"/>
  </si>
  <si>
    <t>週年慶</t>
    <phoneticPr fontId="67" type="noConversion"/>
  </si>
  <si>
    <t>20週年活動</t>
    <phoneticPr fontId="67" type="noConversion"/>
  </si>
  <si>
    <t xml:space="preserve">kitty膠特惠 </t>
    <phoneticPr fontId="67" type="noConversion"/>
  </si>
  <si>
    <t>禮卷業績佔36萬55%</t>
    <phoneticPr fontId="67" type="noConversion"/>
  </si>
  <si>
    <t>買三萬送RF禮盒</t>
    <phoneticPr fontId="67" type="noConversion"/>
  </si>
  <si>
    <t>禮卷業績佔28萬42%</t>
    <phoneticPr fontId="67" type="noConversion"/>
  </si>
  <si>
    <t>送母親節保養組</t>
    <phoneticPr fontId="67" type="noConversion"/>
  </si>
  <si>
    <t>䕶手霜、指緣油、去光水</t>
    <phoneticPr fontId="67" type="noConversion"/>
  </si>
  <si>
    <t>禮卷業績佔30萬48%</t>
    <phoneticPr fontId="67" type="noConversion"/>
  </si>
  <si>
    <t>5萬禮卷出場*2</t>
    <phoneticPr fontId="67" type="noConversion"/>
  </si>
  <si>
    <t>nail?開幕</t>
    <phoneticPr fontId="67" type="noConversion"/>
  </si>
  <si>
    <t>以去年業績加20%</t>
    <phoneticPr fontId="67" type="noConversion"/>
  </si>
  <si>
    <t>106年1月份 新舊客戶業績計表</t>
    <phoneticPr fontId="2" type="noConversion"/>
  </si>
  <si>
    <t>現金</t>
  </si>
  <si>
    <t>信用卡</t>
  </si>
  <si>
    <t>禮券收入</t>
  </si>
  <si>
    <t>禮券折讓</t>
  </si>
  <si>
    <r>
      <t>(</t>
    </r>
    <r>
      <rPr>
        <sz val="12"/>
        <rFont val="微軟正黑體"/>
        <family val="2"/>
        <charset val="136"/>
      </rPr>
      <t>零售</t>
    </r>
    <r>
      <rPr>
        <sz val="12"/>
        <rFont val="Calibri"/>
        <family val="2"/>
      </rPr>
      <t>)</t>
    </r>
  </si>
  <si>
    <r>
      <t>2017</t>
    </r>
    <r>
      <rPr>
        <b/>
        <sz val="18"/>
        <rFont val="微軟正黑體"/>
        <family val="2"/>
        <charset val="136"/>
      </rPr>
      <t>年</t>
    </r>
    <r>
      <rPr>
        <b/>
        <sz val="18"/>
        <rFont val="Calibri"/>
        <family val="2"/>
      </rPr>
      <t xml:space="preserve"> 1</t>
    </r>
    <r>
      <rPr>
        <b/>
        <sz val="18"/>
        <rFont val="微軟正黑體"/>
        <family val="2"/>
        <charset val="136"/>
      </rPr>
      <t>月份營業報</t>
    </r>
    <phoneticPr fontId="2" type="noConversion"/>
  </si>
  <si>
    <t xml:space="preserve"> </t>
    <phoneticPr fontId="63" type="noConversion"/>
  </si>
  <si>
    <t>bonnie</t>
    <phoneticPr fontId="2" type="noConversion"/>
  </si>
  <si>
    <t>(五)</t>
    <phoneticPr fontId="64" type="noConversion"/>
  </si>
  <si>
    <t>(六)</t>
    <phoneticPr fontId="64" type="noConversion"/>
  </si>
  <si>
    <t>(一)</t>
    <phoneticPr fontId="64" type="noConversion"/>
  </si>
  <si>
    <t>(三)</t>
    <phoneticPr fontId="64" type="noConversion"/>
  </si>
  <si>
    <t>(一)</t>
    <phoneticPr fontId="63" type="noConversion"/>
  </si>
  <si>
    <r>
      <t>Nail library歌劇院店  2</t>
    </r>
    <r>
      <rPr>
        <sz val="12"/>
        <color indexed="8"/>
        <rFont val="新細明體"/>
        <family val="1"/>
        <charset val="136"/>
      </rPr>
      <t>月 班表</t>
    </r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</si>
  <si>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</si>
  <si>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</si>
  <si>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</si>
  <si>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</si>
  <si>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日</t>
    <phoneticPr fontId="2" type="noConversion"/>
  </si>
  <si>
    <t>一</t>
    <phoneticPr fontId="2" type="noConversion"/>
  </si>
  <si>
    <t>二</t>
    <phoneticPr fontId="2" type="noConversion"/>
  </si>
  <si>
    <t>開工</t>
    <phoneticPr fontId="100" type="noConversion"/>
  </si>
  <si>
    <t>A</t>
    <phoneticPr fontId="100" type="noConversion"/>
  </si>
  <si>
    <t>C</t>
    <phoneticPr fontId="100" type="noConversion"/>
  </si>
  <si>
    <t>B</t>
    <phoneticPr fontId="100" type="noConversion"/>
  </si>
  <si>
    <t>All</t>
    <phoneticPr fontId="100" type="noConversion"/>
  </si>
  <si>
    <t>珮欣</t>
    <phoneticPr fontId="2" type="noConversion"/>
  </si>
  <si>
    <t>手足</t>
    <phoneticPr fontId="100" type="noConversion"/>
  </si>
  <si>
    <t>手</t>
    <phoneticPr fontId="100" type="noConversion"/>
  </si>
  <si>
    <t>董</t>
    <phoneticPr fontId="100" type="noConversion"/>
  </si>
  <si>
    <t>週會議時間：10：30~12：30</t>
    <phoneticPr fontId="2" type="noConversion"/>
  </si>
  <si>
    <t>佩欣（工讀）A 10:30~16:30</t>
    <phoneticPr fontId="2" type="noConversion"/>
  </si>
  <si>
    <t xml:space="preserve">                        B 13:30~21:30</t>
    <phoneticPr fontId="2" type="noConversion"/>
  </si>
  <si>
    <t>2/10營業教育</t>
    <phoneticPr fontId="100" type="noConversion"/>
  </si>
  <si>
    <r>
      <t>Lulu     105/12月 未休</t>
    </r>
    <r>
      <rPr>
        <b/>
        <sz val="12"/>
        <color indexed="8"/>
        <rFont val="新細明體"/>
        <family val="1"/>
        <charset val="136"/>
      </rPr>
      <t>2天</t>
    </r>
    <r>
      <rPr>
        <sz val="12"/>
        <color indexed="10"/>
        <rFont val="新細明體"/>
        <family val="1"/>
        <charset val="136"/>
      </rPr>
      <t>假移至 106/1月休1天，106/2月休1天</t>
    </r>
    <phoneticPr fontId="2" type="noConversion"/>
  </si>
  <si>
    <t>2/17個人報告</t>
    <phoneticPr fontId="2" type="noConversion"/>
  </si>
  <si>
    <r>
      <t>Dami   105/12月 未休</t>
    </r>
    <r>
      <rPr>
        <b/>
        <sz val="12"/>
        <color indexed="8"/>
        <rFont val="新細明體"/>
        <family val="1"/>
        <charset val="136"/>
      </rPr>
      <t>1天</t>
    </r>
    <r>
      <rPr>
        <sz val="12"/>
        <color indexed="10"/>
        <rFont val="新細明體"/>
        <family val="1"/>
        <charset val="136"/>
      </rPr>
      <t>假移至 106/2月休</t>
    </r>
    <phoneticPr fontId="2" type="noConversion"/>
  </si>
  <si>
    <t>2/24  技術整合教育</t>
    <phoneticPr fontId="2" type="noConversion"/>
  </si>
  <si>
    <t>年假：1/7.1/19</t>
    <phoneticPr fontId="2" type="noConversion"/>
  </si>
  <si>
    <t>手</t>
    <phoneticPr fontId="63" type="noConversion"/>
  </si>
  <si>
    <r>
      <t>106</t>
    </r>
    <r>
      <rPr>
        <sz val="18"/>
        <rFont val="微軟正黑體"/>
        <family val="2"/>
        <charset val="136"/>
      </rPr>
      <t>年2月份業績表</t>
    </r>
    <phoneticPr fontId="2" type="noConversion"/>
  </si>
  <si>
    <r>
      <t>106</t>
    </r>
    <r>
      <rPr>
        <b/>
        <sz val="14"/>
        <rFont val="細明體"/>
        <family val="3"/>
        <charset val="136"/>
      </rPr>
      <t>年</t>
    </r>
    <r>
      <rPr>
        <b/>
        <sz val="14"/>
        <rFont val="Arial"/>
        <family val="2"/>
      </rPr>
      <t>2</t>
    </r>
    <r>
      <rPr>
        <b/>
        <sz val="14"/>
        <rFont val="細明體"/>
        <family val="3"/>
        <charset val="136"/>
      </rPr>
      <t>月技術回收</t>
    </r>
    <phoneticPr fontId="2" type="noConversion"/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</si>
</sst>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176" formatCode="#,##0_);[Red]\(#,##0\)"/>
    <numFmt numFmtId="177" formatCode="m/d;@"/>
    <numFmt numFmtId="178" formatCode="_-* #,##0_-;\-* #,##0_-;_-* &quot;-&quot;??_-;_-@_-"/>
    <numFmt numFmtId="179" formatCode="0_);[Red]\(0\)"/>
    <numFmt numFmtId="180" formatCode="m&quot;月&quot;d&quot;日&quot;"/>
    <numFmt numFmtId="181" formatCode="0_ "/>
    <numFmt numFmtId="182" formatCode="0;[Red]0"/>
    <numFmt numFmtId="183" formatCode="[$-404]aaaa;@"/>
  </numFmts>
  <fonts count="10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12"/>
      <color indexed="10"/>
      <name val="新細明體"/>
      <family val="1"/>
      <charset val="136"/>
    </font>
    <font>
      <b/>
      <sz val="14"/>
      <name val="細明體"/>
      <family val="3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2"/>
      <color indexed="10"/>
      <name val="Calibri"/>
      <family val="2"/>
    </font>
    <font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name val="微軟正黑體"/>
      <family val="2"/>
      <charset val="136"/>
    </font>
    <font>
      <sz val="10"/>
      <name val="微軟正黑體"/>
      <family val="2"/>
      <charset val="136"/>
    </font>
    <font>
      <b/>
      <sz val="14"/>
      <color indexed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8"/>
      <name val="Calibri"/>
      <family val="2"/>
    </font>
    <font>
      <b/>
      <sz val="18"/>
      <name val="微軟正黑體"/>
      <family val="2"/>
      <charset val="136"/>
    </font>
    <font>
      <sz val="14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4"/>
      <color indexed="18"/>
      <name val="微軟正黑體"/>
      <family val="2"/>
      <charset val="136"/>
    </font>
    <font>
      <sz val="18"/>
      <name val="微軟正黑體"/>
      <family val="2"/>
      <charset val="136"/>
    </font>
    <font>
      <sz val="12"/>
      <color indexed="3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4"/>
      <color indexed="60"/>
      <name val="微軟正黑體"/>
      <family val="2"/>
      <charset val="136"/>
    </font>
    <font>
      <sz val="12"/>
      <color indexed="60"/>
      <name val="微軟正黑體"/>
      <family val="2"/>
      <charset val="136"/>
    </font>
    <font>
      <sz val="20"/>
      <name val="Calibri"/>
      <family val="2"/>
    </font>
    <font>
      <sz val="18"/>
      <name val="Calibri"/>
      <family val="2"/>
    </font>
    <font>
      <sz val="12"/>
      <color indexed="30"/>
      <name val="Calibri"/>
      <family val="2"/>
    </font>
    <font>
      <sz val="12"/>
      <color indexed="12"/>
      <name val="Calibri"/>
      <family val="2"/>
    </font>
    <font>
      <b/>
      <sz val="12"/>
      <color indexed="12"/>
      <name val="Calibri"/>
      <family val="2"/>
    </font>
    <font>
      <sz val="14"/>
      <color indexed="60"/>
      <name val="Calibri"/>
      <family val="2"/>
    </font>
    <font>
      <sz val="12"/>
      <color indexed="6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sz val="20"/>
      <name val="細明體"/>
      <family val="3"/>
      <charset val="136"/>
    </font>
    <font>
      <sz val="12"/>
      <name val="Arial Unicode MS"/>
      <family val="2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細明體"/>
      <family val="3"/>
      <charset val="136"/>
    </font>
    <font>
      <sz val="10"/>
      <name val="細明體"/>
      <family val="3"/>
      <charset val="136"/>
    </font>
    <font>
      <sz val="9"/>
      <name val="新細明體"/>
      <family val="1"/>
      <charset val="136"/>
    </font>
    <font>
      <sz val="10"/>
      <name val="華康勘亭流(P)"/>
      <family val="4"/>
      <charset val="136"/>
    </font>
    <font>
      <sz val="10"/>
      <color indexed="12"/>
      <name val="華康勘亭流(P)"/>
      <family val="4"/>
      <charset val="136"/>
    </font>
    <font>
      <b/>
      <sz val="10"/>
      <color indexed="10"/>
      <name val="華康勘亭流(P)"/>
      <family val="4"/>
      <charset val="136"/>
    </font>
    <font>
      <sz val="12"/>
      <color theme="1"/>
      <name val="新細明體"/>
      <family val="1"/>
      <charset val="136"/>
      <scheme val="minor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4" tint="-0.499984740745262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ajor"/>
    </font>
    <font>
      <sz val="10"/>
      <color rgb="FFFF0000"/>
      <name val="新細明體"/>
      <family val="1"/>
      <charset val="136"/>
      <scheme val="minor"/>
    </font>
    <font>
      <sz val="9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0"/>
      <color theme="1"/>
      <name val="Miriam"/>
      <family val="2"/>
      <charset val="177"/>
    </font>
    <font>
      <sz val="10"/>
      <color rgb="FFFF0000"/>
      <name val="細明體"/>
      <family val="3"/>
      <charset val="136"/>
    </font>
    <font>
      <b/>
      <sz val="8"/>
      <color rgb="FFFF0000"/>
      <name val="新細明體"/>
      <family val="1"/>
      <charset val="136"/>
    </font>
    <font>
      <sz val="8"/>
      <color theme="1"/>
      <name val="細明體"/>
      <family val="3"/>
      <charset val="136"/>
    </font>
    <font>
      <sz val="8"/>
      <color theme="1"/>
      <name val="Miriam"/>
      <family val="2"/>
      <charset val="177"/>
    </font>
    <font>
      <sz val="8"/>
      <color theme="1"/>
      <name val="新細明體"/>
      <family val="1"/>
      <charset val="136"/>
    </font>
    <font>
      <sz val="8"/>
      <color rgb="FFFF0000"/>
      <name val="新細明體"/>
      <family val="1"/>
      <charset val="136"/>
      <scheme val="minor"/>
    </font>
    <font>
      <sz val="8"/>
      <color rgb="FFFF0000"/>
      <name val="細明體"/>
      <family val="3"/>
      <charset val="136"/>
    </font>
    <font>
      <sz val="10"/>
      <name val="新細明體"/>
      <family val="1"/>
      <charset val="136"/>
      <scheme val="minor"/>
    </font>
    <font>
      <sz val="10"/>
      <name val="新細明體"/>
      <family val="1"/>
      <charset val="136"/>
      <scheme val="major"/>
    </font>
    <font>
      <sz val="12"/>
      <name val="新細明體"/>
      <family val="1"/>
      <charset val="136"/>
      <scheme val="minor"/>
    </font>
    <font>
      <sz val="9"/>
      <color rgb="FFFF0000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1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1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14"/>
      </right>
      <top/>
      <bottom style="thin">
        <color indexed="64"/>
      </bottom>
      <diagonal/>
    </border>
    <border>
      <left style="thin">
        <color indexed="64"/>
      </left>
      <right style="double">
        <color indexed="14"/>
      </right>
      <top/>
      <bottom/>
      <diagonal/>
    </border>
    <border>
      <left style="double">
        <color indexed="53"/>
      </left>
      <right style="thin">
        <color indexed="64"/>
      </right>
      <top style="double">
        <color indexed="53"/>
      </top>
      <bottom/>
      <diagonal/>
    </border>
    <border>
      <left style="thin">
        <color indexed="64"/>
      </left>
      <right style="thin">
        <color indexed="64"/>
      </right>
      <top style="double">
        <color indexed="53"/>
      </top>
      <bottom/>
      <diagonal/>
    </border>
    <border>
      <left style="double">
        <color indexed="14"/>
      </left>
      <right style="thin">
        <color indexed="64"/>
      </right>
      <top style="double">
        <color indexed="53"/>
      </top>
      <bottom/>
      <diagonal/>
    </border>
    <border>
      <left style="thin">
        <color indexed="64"/>
      </left>
      <right style="double">
        <color indexed="14"/>
      </right>
      <top style="double">
        <color indexed="53"/>
      </top>
      <bottom/>
      <diagonal/>
    </border>
    <border>
      <left style="double">
        <color indexed="53"/>
      </left>
      <right style="thin">
        <color indexed="64"/>
      </right>
      <top/>
      <bottom style="double">
        <color indexed="53"/>
      </bottom>
      <diagonal/>
    </border>
    <border>
      <left style="thin">
        <color indexed="64"/>
      </left>
      <right style="thin">
        <color indexed="64"/>
      </right>
      <top/>
      <bottom style="double">
        <color indexed="53"/>
      </bottom>
      <diagonal/>
    </border>
    <border>
      <left style="double">
        <color indexed="14"/>
      </left>
      <right style="thin">
        <color indexed="64"/>
      </right>
      <top/>
      <bottom style="double">
        <color indexed="1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double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/>
      <diagonal/>
    </border>
    <border>
      <left style="thin">
        <color indexed="64"/>
      </left>
      <right style="double">
        <color indexed="1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medium">
        <color indexed="64"/>
      </bottom>
      <diagonal/>
    </border>
  </borders>
  <cellStyleXfs count="6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" fillId="0" borderId="0"/>
    <xf numFmtId="0" fontId="3" fillId="0" borderId="0"/>
    <xf numFmtId="0" fontId="3" fillId="0" borderId="0"/>
    <xf numFmtId="0" fontId="9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" fillId="0" borderId="0"/>
    <xf numFmtId="0" fontId="3" fillId="0" borderId="0"/>
    <xf numFmtId="43" fontId="7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0" fontId="25" fillId="17" borderId="2" applyNumberFormat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7" borderId="2" applyNumberFormat="0" applyAlignment="0" applyProtection="0">
      <alignment vertical="center"/>
    </xf>
    <xf numFmtId="0" fontId="29" fillId="17" borderId="8" applyNumberFormat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96">
    <xf numFmtId="0" fontId="0" fillId="0" borderId="0" xfId="0">
      <alignment vertical="center"/>
    </xf>
    <xf numFmtId="0" fontId="8" fillId="0" borderId="10" xfId="33" applyFont="1" applyBorder="1" applyAlignment="1">
      <alignment horizontal="center" vertical="center"/>
    </xf>
    <xf numFmtId="0" fontId="8" fillId="0" borderId="11" xfId="33" applyFont="1" applyBorder="1" applyAlignment="1">
      <alignment horizontal="center" vertical="center"/>
    </xf>
    <xf numFmtId="0" fontId="8" fillId="0" borderId="12" xfId="33" applyFont="1" applyBorder="1" applyAlignment="1">
      <alignment horizontal="center" vertical="center"/>
    </xf>
    <xf numFmtId="0" fontId="33" fillId="0" borderId="0" xfId="33" applyFont="1" applyBorder="1" applyProtection="1"/>
    <xf numFmtId="0" fontId="33" fillId="0" borderId="0" xfId="33" applyFont="1" applyBorder="1"/>
    <xf numFmtId="0" fontId="33" fillId="0" borderId="0" xfId="33" applyFont="1"/>
    <xf numFmtId="0" fontId="32" fillId="0" borderId="0" xfId="33" applyFont="1" applyAlignment="1">
      <alignment horizontal="center" vertical="center"/>
    </xf>
    <xf numFmtId="0" fontId="33" fillId="0" borderId="0" xfId="33" applyFont="1" applyProtection="1"/>
    <xf numFmtId="0" fontId="33" fillId="0" borderId="0" xfId="33" applyFont="1" applyFill="1" applyBorder="1"/>
    <xf numFmtId="180" fontId="33" fillId="0" borderId="0" xfId="33" applyNumberFormat="1" applyFont="1" applyBorder="1"/>
    <xf numFmtId="0" fontId="32" fillId="0" borderId="0" xfId="33" applyFont="1" applyBorder="1" applyAlignment="1">
      <alignment horizontal="center"/>
    </xf>
    <xf numFmtId="0" fontId="32" fillId="0" borderId="13" xfId="33" applyFont="1" applyBorder="1"/>
    <xf numFmtId="0" fontId="32" fillId="0" borderId="14" xfId="33" applyFont="1" applyBorder="1"/>
    <xf numFmtId="0" fontId="32" fillId="0" borderId="15" xfId="33" applyFont="1" applyBorder="1"/>
    <xf numFmtId="0" fontId="32" fillId="0" borderId="16" xfId="33" applyFont="1" applyBorder="1"/>
    <xf numFmtId="0" fontId="32" fillId="0" borderId="17" xfId="33" applyFont="1" applyBorder="1"/>
    <xf numFmtId="0" fontId="32" fillId="0" borderId="18" xfId="33" applyFont="1" applyBorder="1"/>
    <xf numFmtId="0" fontId="32" fillId="0" borderId="19" xfId="33" applyFont="1" applyBorder="1"/>
    <xf numFmtId="0" fontId="32" fillId="0" borderId="20" xfId="33" applyFont="1" applyBorder="1"/>
    <xf numFmtId="0" fontId="32" fillId="0" borderId="21" xfId="33" applyFont="1" applyBorder="1"/>
    <xf numFmtId="0" fontId="32" fillId="0" borderId="22" xfId="33" applyFont="1" applyBorder="1"/>
    <xf numFmtId="0" fontId="32" fillId="0" borderId="23" xfId="33" applyFont="1" applyBorder="1"/>
    <xf numFmtId="0" fontId="32" fillId="0" borderId="24" xfId="33" applyFont="1" applyBorder="1"/>
    <xf numFmtId="0" fontId="32" fillId="0" borderId="22" xfId="33" applyFont="1" applyFill="1" applyBorder="1"/>
    <xf numFmtId="0" fontId="32" fillId="0" borderId="23" xfId="33" applyFont="1" applyFill="1" applyBorder="1"/>
    <xf numFmtId="0" fontId="32" fillId="0" borderId="24" xfId="33" applyFont="1" applyFill="1" applyBorder="1"/>
    <xf numFmtId="0" fontId="32" fillId="0" borderId="21" xfId="33" applyFont="1" applyFill="1" applyBorder="1"/>
    <xf numFmtId="0" fontId="3" fillId="0" borderId="25" xfId="33" applyFont="1" applyBorder="1" applyAlignment="1">
      <alignment horizontal="centerContinuous"/>
    </xf>
    <xf numFmtId="0" fontId="33" fillId="0" borderId="26" xfId="33" applyFont="1" applyBorder="1" applyAlignment="1">
      <alignment horizontal="centerContinuous"/>
    </xf>
    <xf numFmtId="0" fontId="3" fillId="0" borderId="27" xfId="33" applyFont="1" applyBorder="1" applyAlignment="1">
      <alignment horizontal="centerContinuous"/>
    </xf>
    <xf numFmtId="0" fontId="8" fillId="0" borderId="28" xfId="33" applyFont="1" applyBorder="1" applyAlignment="1">
      <alignment horizontal="center" vertical="center"/>
    </xf>
    <xf numFmtId="0" fontId="34" fillId="0" borderId="0" xfId="33" applyFont="1" applyBorder="1" applyAlignment="1" applyProtection="1">
      <alignment horizontal="centerContinuous"/>
    </xf>
    <xf numFmtId="0" fontId="33" fillId="0" borderId="0" xfId="33" applyFont="1" applyBorder="1" applyAlignment="1" applyProtection="1">
      <alignment horizontal="centerContinuous"/>
    </xf>
    <xf numFmtId="0" fontId="33" fillId="0" borderId="0" xfId="33" applyFont="1" applyBorder="1" applyAlignment="1">
      <alignment horizontal="centerContinuous"/>
    </xf>
    <xf numFmtId="0" fontId="33" fillId="0" borderId="0" xfId="33" applyFont="1" applyAlignment="1">
      <alignment horizontal="centerContinuous"/>
    </xf>
    <xf numFmtId="0" fontId="32" fillId="0" borderId="16" xfId="33" applyFont="1" applyFill="1" applyBorder="1"/>
    <xf numFmtId="0" fontId="32" fillId="0" borderId="18" xfId="33" applyFont="1" applyFill="1" applyBorder="1"/>
    <xf numFmtId="0" fontId="32" fillId="0" borderId="27" xfId="33" applyFont="1" applyFill="1" applyBorder="1"/>
    <xf numFmtId="0" fontId="32" fillId="0" borderId="29" xfId="33" applyFont="1" applyBorder="1" applyAlignment="1">
      <alignment horizontal="center"/>
    </xf>
    <xf numFmtId="0" fontId="32" fillId="0" borderId="30" xfId="33" applyFont="1" applyBorder="1" applyAlignment="1">
      <alignment horizontal="center"/>
    </xf>
    <xf numFmtId="0" fontId="32" fillId="0" borderId="31" xfId="33" applyFont="1" applyBorder="1" applyAlignment="1">
      <alignment horizontal="center"/>
    </xf>
    <xf numFmtId="0" fontId="38" fillId="0" borderId="0" xfId="0" applyFont="1" applyAlignment="1"/>
    <xf numFmtId="0" fontId="43" fillId="0" borderId="0" xfId="0" applyFont="1" applyAlignment="1">
      <alignment horizontal="center"/>
    </xf>
    <xf numFmtId="0" fontId="38" fillId="24" borderId="32" xfId="0" applyFont="1" applyFill="1" applyBorder="1" applyAlignment="1"/>
    <xf numFmtId="0" fontId="38" fillId="24" borderId="33" xfId="0" applyFont="1" applyFill="1" applyBorder="1" applyAlignment="1"/>
    <xf numFmtId="0" fontId="38" fillId="25" borderId="33" xfId="0" applyFont="1" applyFill="1" applyBorder="1" applyAlignment="1"/>
    <xf numFmtId="0" fontId="38" fillId="25" borderId="34" xfId="0" applyFont="1" applyFill="1" applyBorder="1" applyAlignment="1"/>
    <xf numFmtId="0" fontId="38" fillId="24" borderId="35" xfId="0" applyFont="1" applyFill="1" applyBorder="1" applyAlignment="1"/>
    <xf numFmtId="0" fontId="38" fillId="24" borderId="36" xfId="0" applyFont="1" applyFill="1" applyBorder="1" applyAlignment="1"/>
    <xf numFmtId="0" fontId="38" fillId="25" borderId="36" xfId="0" applyFont="1" applyFill="1" applyBorder="1" applyAlignment="1"/>
    <xf numFmtId="0" fontId="38" fillId="25" borderId="37" xfId="0" applyFont="1" applyFill="1" applyBorder="1" applyAlignment="1"/>
    <xf numFmtId="0" fontId="38" fillId="0" borderId="13" xfId="0" applyFont="1" applyFill="1" applyBorder="1" applyAlignment="1"/>
    <xf numFmtId="0" fontId="38" fillId="0" borderId="14" xfId="0" applyFont="1" applyFill="1" applyBorder="1" applyAlignment="1"/>
    <xf numFmtId="0" fontId="38" fillId="0" borderId="15" xfId="0" applyFont="1" applyFill="1" applyBorder="1" applyAlignment="1"/>
    <xf numFmtId="0" fontId="38" fillId="0" borderId="19" xfId="0" applyFont="1" applyFill="1" applyBorder="1" applyAlignment="1"/>
    <xf numFmtId="0" fontId="38" fillId="0" borderId="21" xfId="0" applyFont="1" applyFill="1" applyBorder="1" applyAlignment="1"/>
    <xf numFmtId="0" fontId="38" fillId="0" borderId="22" xfId="0" applyFont="1" applyFill="1" applyBorder="1" applyAlignment="1"/>
    <xf numFmtId="0" fontId="38" fillId="0" borderId="23" xfId="0" applyFont="1" applyFill="1" applyBorder="1" applyAlignment="1"/>
    <xf numFmtId="0" fontId="38" fillId="0" borderId="24" xfId="0" applyFont="1" applyFill="1" applyBorder="1" applyAlignment="1"/>
    <xf numFmtId="0" fontId="38" fillId="0" borderId="38" xfId="0" applyFont="1" applyFill="1" applyBorder="1" applyAlignment="1"/>
    <xf numFmtId="0" fontId="38" fillId="0" borderId="39" xfId="0" applyFont="1" applyFill="1" applyBorder="1" applyAlignment="1"/>
    <xf numFmtId="0" fontId="38" fillId="0" borderId="40" xfId="0" applyFont="1" applyFill="1" applyBorder="1" applyAlignment="1"/>
    <xf numFmtId="0" fontId="38" fillId="0" borderId="41" xfId="0" applyFont="1" applyFill="1" applyBorder="1" applyAlignment="1"/>
    <xf numFmtId="0" fontId="37" fillId="26" borderId="42" xfId="0" applyFont="1" applyFill="1" applyBorder="1" applyAlignment="1"/>
    <xf numFmtId="0" fontId="38" fillId="26" borderId="10" xfId="0" applyFont="1" applyFill="1" applyBorder="1" applyAlignment="1"/>
    <xf numFmtId="0" fontId="38" fillId="26" borderId="11" xfId="0" applyFont="1" applyFill="1" applyBorder="1" applyAlignment="1"/>
    <xf numFmtId="0" fontId="38" fillId="26" borderId="12" xfId="0" applyFont="1" applyFill="1" applyBorder="1" applyAlignment="1"/>
    <xf numFmtId="0" fontId="38" fillId="26" borderId="43" xfId="0" applyFont="1" applyFill="1" applyBorder="1" applyAlignment="1"/>
    <xf numFmtId="0" fontId="42" fillId="0" borderId="0" xfId="0" applyFont="1" applyBorder="1" applyAlignment="1">
      <alignment horizontal="centerContinuous"/>
    </xf>
    <xf numFmtId="0" fontId="44" fillId="0" borderId="0" xfId="0" applyFont="1" applyBorder="1" applyAlignment="1">
      <alignment horizontal="centerContinuous"/>
    </xf>
    <xf numFmtId="0" fontId="45" fillId="27" borderId="44" xfId="0" applyFont="1" applyFill="1" applyBorder="1" applyAlignment="1">
      <alignment horizontal="centerContinuous"/>
    </xf>
    <xf numFmtId="0" fontId="45" fillId="27" borderId="45" xfId="0" applyFont="1" applyFill="1" applyBorder="1" applyAlignment="1">
      <alignment horizontal="centerContinuous"/>
    </xf>
    <xf numFmtId="0" fontId="45" fillId="27" borderId="46" xfId="0" applyFont="1" applyFill="1" applyBorder="1" applyAlignment="1">
      <alignment horizontal="centerContinuous"/>
    </xf>
    <xf numFmtId="177" fontId="18" fillId="0" borderId="13" xfId="3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8" borderId="22" xfId="0" applyFill="1" applyBorder="1" applyAlignment="1">
      <alignment horizontal="center" vertical="center"/>
    </xf>
    <xf numFmtId="178" fontId="58" fillId="0" borderId="22" xfId="35" applyNumberFormat="1" applyFont="1" applyBorder="1" applyAlignment="1"/>
    <xf numFmtId="178" fontId="19" fillId="0" borderId="47" xfId="35" applyNumberFormat="1" applyFont="1" applyBorder="1" applyAlignment="1">
      <alignment vertical="center"/>
    </xf>
    <xf numFmtId="178" fontId="19" fillId="0" borderId="22" xfId="35" applyNumberFormat="1" applyFont="1" applyBorder="1" applyAlignment="1">
      <alignment vertical="center"/>
    </xf>
    <xf numFmtId="178" fontId="59" fillId="0" borderId="14" xfId="35" applyNumberFormat="1" applyFont="1" applyBorder="1" applyAlignment="1">
      <alignment vertical="center"/>
    </xf>
    <xf numFmtId="178" fontId="19" fillId="0" borderId="14" xfId="35" applyNumberFormat="1" applyFont="1" applyBorder="1" applyAlignment="1">
      <alignment horizontal="center" vertical="center"/>
    </xf>
    <xf numFmtId="176" fontId="18" fillId="0" borderId="14" xfId="22" applyNumberFormat="1" applyFont="1" applyBorder="1" applyAlignment="1">
      <alignment horizontal="center" vertical="center"/>
    </xf>
    <xf numFmtId="178" fontId="58" fillId="0" borderId="21" xfId="35" applyNumberFormat="1" applyFont="1" applyBorder="1" applyAlignment="1"/>
    <xf numFmtId="178" fontId="58" fillId="0" borderId="14" xfId="35" applyNumberFormat="1" applyFont="1" applyBorder="1" applyAlignment="1"/>
    <xf numFmtId="179" fontId="53" fillId="0" borderId="14" xfId="35" applyNumberFormat="1" applyFont="1" applyBorder="1" applyAlignment="1">
      <alignment horizontal="center" vertical="center"/>
    </xf>
    <xf numFmtId="0" fontId="41" fillId="0" borderId="48" xfId="26" applyFont="1" applyBorder="1" applyAlignment="1">
      <alignment horizontal="centerContinuous"/>
    </xf>
    <xf numFmtId="0" fontId="41" fillId="0" borderId="49" xfId="26" applyFont="1" applyBorder="1" applyAlignment="1">
      <alignment horizontal="centerContinuous"/>
    </xf>
    <xf numFmtId="0" fontId="41" fillId="0" borderId="49" xfId="26" applyFont="1" applyBorder="1" applyAlignment="1"/>
    <xf numFmtId="0" fontId="71" fillId="0" borderId="0" xfId="26">
      <alignment vertical="center"/>
    </xf>
    <xf numFmtId="0" fontId="35" fillId="0" borderId="44" xfId="26" applyFont="1" applyBorder="1" applyAlignment="1">
      <alignment horizontal="center" vertical="center" wrapText="1"/>
    </xf>
    <xf numFmtId="0" fontId="15" fillId="29" borderId="45" xfId="26" applyFont="1" applyFill="1" applyBorder="1" applyAlignment="1">
      <alignment horizontal="centerContinuous" vertical="center"/>
    </xf>
    <xf numFmtId="0" fontId="35" fillId="26" borderId="44" xfId="26" applyFont="1" applyFill="1" applyBorder="1" applyAlignment="1">
      <alignment horizontal="centerContinuous" vertical="center" wrapText="1"/>
    </xf>
    <xf numFmtId="0" fontId="15" fillId="26" borderId="45" xfId="26" applyFont="1" applyFill="1" applyBorder="1" applyAlignment="1">
      <alignment horizontal="centerContinuous" vertical="center" wrapText="1"/>
    </xf>
    <xf numFmtId="0" fontId="15" fillId="26" borderId="46" xfId="26" applyFont="1" applyFill="1" applyBorder="1" applyAlignment="1">
      <alignment horizontal="centerContinuous" vertical="center" wrapText="1"/>
    </xf>
    <xf numFmtId="0" fontId="35" fillId="25" borderId="44" xfId="26" applyFont="1" applyFill="1" applyBorder="1" applyAlignment="1">
      <alignment horizontal="centerContinuous" vertical="center" wrapText="1"/>
    </xf>
    <xf numFmtId="0" fontId="15" fillId="25" borderId="45" xfId="26" applyFont="1" applyFill="1" applyBorder="1" applyAlignment="1">
      <alignment horizontal="centerContinuous" vertical="center" wrapText="1"/>
    </xf>
    <xf numFmtId="0" fontId="35" fillId="30" borderId="50" xfId="26" applyFont="1" applyFill="1" applyBorder="1" applyAlignment="1">
      <alignment horizontal="centerContinuous" vertical="center" wrapText="1"/>
    </xf>
    <xf numFmtId="0" fontId="15" fillId="30" borderId="51" xfId="26" applyFont="1" applyFill="1" applyBorder="1" applyAlignment="1">
      <alignment horizontal="centerContinuous" vertical="center" wrapText="1"/>
    </xf>
    <xf numFmtId="0" fontId="15" fillId="30" borderId="52" xfId="26" applyFont="1" applyFill="1" applyBorder="1" applyAlignment="1">
      <alignment horizontal="centerContinuous" vertical="center" wrapText="1"/>
    </xf>
    <xf numFmtId="0" fontId="35" fillId="31" borderId="50" xfId="26" applyFont="1" applyFill="1" applyBorder="1" applyAlignment="1">
      <alignment horizontal="centerContinuous" vertical="center" wrapText="1"/>
    </xf>
    <xf numFmtId="0" fontId="15" fillId="31" borderId="51" xfId="26" applyFont="1" applyFill="1" applyBorder="1" applyAlignment="1">
      <alignment horizontal="centerContinuous" vertical="center" wrapText="1"/>
    </xf>
    <xf numFmtId="0" fontId="15" fillId="31" borderId="52" xfId="26" applyFont="1" applyFill="1" applyBorder="1" applyAlignment="1">
      <alignment horizontal="centerContinuous" vertical="center" wrapText="1"/>
    </xf>
    <xf numFmtId="0" fontId="35" fillId="28" borderId="44" xfId="26" applyFont="1" applyFill="1" applyBorder="1" applyAlignment="1">
      <alignment horizontal="center" vertical="center" wrapText="1"/>
    </xf>
    <xf numFmtId="0" fontId="37" fillId="25" borderId="53" xfId="26" applyFont="1" applyFill="1" applyBorder="1" applyAlignment="1">
      <alignment horizontal="center" vertical="center" wrapText="1"/>
    </xf>
    <xf numFmtId="0" fontId="35" fillId="24" borderId="54" xfId="26" applyFont="1" applyFill="1" applyBorder="1" applyAlignment="1">
      <alignment horizontal="centerContinuous" vertical="center" wrapText="1"/>
    </xf>
    <xf numFmtId="0" fontId="15" fillId="24" borderId="54" xfId="26" applyFont="1" applyFill="1" applyBorder="1" applyAlignment="1">
      <alignment horizontal="centerContinuous" vertical="center" wrapText="1"/>
    </xf>
    <xf numFmtId="49" fontId="4" fillId="0" borderId="55" xfId="26" applyNumberFormat="1" applyFont="1" applyBorder="1" applyAlignment="1">
      <alignment horizontal="center" vertical="center" wrapText="1"/>
    </xf>
    <xf numFmtId="0" fontId="4" fillId="29" borderId="56" xfId="26" applyFont="1" applyFill="1" applyBorder="1" applyAlignment="1">
      <alignment horizontal="center" vertical="center" wrapText="1"/>
    </xf>
    <xf numFmtId="0" fontId="4" fillId="26" borderId="56" xfId="26" applyFont="1" applyFill="1" applyBorder="1" applyAlignment="1">
      <alignment horizontal="center" vertical="center" wrapText="1"/>
    </xf>
    <xf numFmtId="0" fontId="4" fillId="26" borderId="57" xfId="26" applyFont="1" applyFill="1" applyBorder="1" applyAlignment="1">
      <alignment horizontal="center" vertical="center" wrapText="1"/>
    </xf>
    <xf numFmtId="0" fontId="4" fillId="26" borderId="58" xfId="26" applyFont="1" applyFill="1" applyBorder="1" applyAlignment="1">
      <alignment horizontal="center" vertical="center" wrapText="1"/>
    </xf>
    <xf numFmtId="0" fontId="4" fillId="26" borderId="59" xfId="26" applyFont="1" applyFill="1" applyBorder="1" applyAlignment="1">
      <alignment horizontal="center" vertical="center" wrapText="1"/>
    </xf>
    <xf numFmtId="0" fontId="18" fillId="25" borderId="56" xfId="26" applyFont="1" applyFill="1" applyBorder="1" applyAlignment="1">
      <alignment horizontal="center" vertical="center" wrapText="1"/>
    </xf>
    <xf numFmtId="0" fontId="18" fillId="25" borderId="57" xfId="26" applyFont="1" applyFill="1" applyBorder="1" applyAlignment="1">
      <alignment horizontal="center" vertical="center" wrapText="1"/>
    </xf>
    <xf numFmtId="0" fontId="18" fillId="25" borderId="58" xfId="26" applyFont="1" applyFill="1" applyBorder="1" applyAlignment="1">
      <alignment horizontal="center" vertical="center" wrapText="1"/>
    </xf>
    <xf numFmtId="0" fontId="39" fillId="25" borderId="60" xfId="26" applyFont="1" applyFill="1" applyBorder="1" applyAlignment="1">
      <alignment horizontal="center" vertical="center" wrapText="1"/>
    </xf>
    <xf numFmtId="0" fontId="4" fillId="30" borderId="56" xfId="26" applyFont="1" applyFill="1" applyBorder="1" applyAlignment="1">
      <alignment horizontal="center" vertical="center" wrapText="1"/>
    </xf>
    <xf numFmtId="0" fontId="4" fillId="30" borderId="58" xfId="26" applyFont="1" applyFill="1" applyBorder="1" applyAlignment="1">
      <alignment horizontal="center" vertical="center" wrapText="1"/>
    </xf>
    <xf numFmtId="0" fontId="4" fillId="30" borderId="61" xfId="26" applyFont="1" applyFill="1" applyBorder="1" applyAlignment="1">
      <alignment horizontal="center" vertical="center" wrapText="1"/>
    </xf>
    <xf numFmtId="0" fontId="4" fillId="30" borderId="62" xfId="26" applyFont="1" applyFill="1" applyBorder="1" applyAlignment="1">
      <alignment horizontal="center" vertical="center" wrapText="1"/>
    </xf>
    <xf numFmtId="0" fontId="4" fillId="31" borderId="56" xfId="26" applyFont="1" applyFill="1" applyBorder="1" applyAlignment="1">
      <alignment horizontal="center" vertical="center" wrapText="1"/>
    </xf>
    <xf numFmtId="0" fontId="4" fillId="31" borderId="58" xfId="26" applyFont="1" applyFill="1" applyBorder="1" applyAlignment="1">
      <alignment horizontal="center" vertical="center" wrapText="1"/>
    </xf>
    <xf numFmtId="0" fontId="4" fillId="31" borderId="61" xfId="26" applyFont="1" applyFill="1" applyBorder="1" applyAlignment="1">
      <alignment horizontal="center" vertical="center" wrapText="1"/>
    </xf>
    <xf numFmtId="0" fontId="4" fillId="31" borderId="62" xfId="26" applyFont="1" applyFill="1" applyBorder="1" applyAlignment="1">
      <alignment horizontal="center" vertical="center" wrapText="1"/>
    </xf>
    <xf numFmtId="0" fontId="18" fillId="28" borderId="44" xfId="26" applyFont="1" applyFill="1" applyBorder="1" applyAlignment="1">
      <alignment horizontal="center" vertical="center" wrapText="1"/>
    </xf>
    <xf numFmtId="0" fontId="39" fillId="25" borderId="53" xfId="26" applyFont="1" applyFill="1" applyBorder="1" applyAlignment="1">
      <alignment horizontal="center" vertical="center" wrapText="1"/>
    </xf>
    <xf numFmtId="0" fontId="18" fillId="24" borderId="53" xfId="26" applyFont="1" applyFill="1" applyBorder="1" applyAlignment="1">
      <alignment horizontal="center" vertical="center" wrapText="1"/>
    </xf>
    <xf numFmtId="0" fontId="4" fillId="24" borderId="53" xfId="26" applyFont="1" applyFill="1" applyBorder="1" applyAlignment="1">
      <alignment horizontal="center" vertical="center" wrapText="1"/>
    </xf>
    <xf numFmtId="0" fontId="18" fillId="0" borderId="63" xfId="26" applyNumberFormat="1" applyFont="1" applyBorder="1" applyAlignment="1">
      <alignment horizontal="center" vertical="top" wrapText="1"/>
    </xf>
    <xf numFmtId="0" fontId="16" fillId="0" borderId="63" xfId="26" applyFont="1" applyBorder="1" applyAlignment="1">
      <alignment horizontal="center"/>
    </xf>
    <xf numFmtId="0" fontId="16" fillId="0" borderId="64" xfId="26" applyFont="1" applyBorder="1" applyAlignment="1">
      <alignment horizontal="center"/>
    </xf>
    <xf numFmtId="0" fontId="16" fillId="0" borderId="65" xfId="26" applyFont="1" applyBorder="1" applyAlignment="1">
      <alignment horizontal="center"/>
    </xf>
    <xf numFmtId="0" fontId="16" fillId="0" borderId="20" xfId="26" applyFont="1" applyBorder="1" applyAlignment="1">
      <alignment horizontal="center"/>
    </xf>
    <xf numFmtId="0" fontId="16" fillId="0" borderId="66" xfId="26" applyFont="1" applyBorder="1" applyAlignment="1">
      <alignment horizontal="center"/>
    </xf>
    <xf numFmtId="0" fontId="16" fillId="0" borderId="67" xfId="26" applyFont="1" applyBorder="1" applyAlignment="1">
      <alignment horizontal="center"/>
    </xf>
    <xf numFmtId="0" fontId="16" fillId="0" borderId="68" xfId="26" applyFont="1" applyBorder="1" applyAlignment="1">
      <alignment horizontal="center"/>
    </xf>
    <xf numFmtId="0" fontId="21" fillId="25" borderId="69" xfId="26" applyFont="1" applyFill="1" applyBorder="1" applyAlignment="1">
      <alignment horizontal="center"/>
    </xf>
    <xf numFmtId="0" fontId="17" fillId="0" borderId="69" xfId="26" applyFont="1" applyFill="1" applyBorder="1" applyAlignment="1">
      <alignment horizontal="center" vertical="top" wrapText="1"/>
    </xf>
    <xf numFmtId="0" fontId="21" fillId="27" borderId="69" xfId="26" applyFont="1" applyFill="1" applyBorder="1" applyAlignment="1">
      <alignment horizontal="center" vertical="top" wrapText="1"/>
    </xf>
    <xf numFmtId="0" fontId="21" fillId="27" borderId="19" xfId="26" applyFont="1" applyFill="1" applyBorder="1" applyAlignment="1">
      <alignment horizontal="center"/>
    </xf>
    <xf numFmtId="0" fontId="18" fillId="0" borderId="69" xfId="26" applyNumberFormat="1" applyFont="1" applyBorder="1" applyAlignment="1">
      <alignment horizontal="center" vertical="top" wrapText="1"/>
    </xf>
    <xf numFmtId="0" fontId="18" fillId="0" borderId="70" xfId="26" applyNumberFormat="1" applyFont="1" applyBorder="1" applyAlignment="1">
      <alignment horizontal="center" vertical="top" wrapText="1"/>
    </xf>
    <xf numFmtId="0" fontId="18" fillId="0" borderId="71" xfId="26" applyNumberFormat="1" applyFont="1" applyBorder="1" applyAlignment="1">
      <alignment horizontal="center" vertical="top" wrapText="1"/>
    </xf>
    <xf numFmtId="0" fontId="16" fillId="0" borderId="70" xfId="26" applyFont="1" applyBorder="1" applyAlignment="1">
      <alignment horizontal="center"/>
    </xf>
    <xf numFmtId="0" fontId="18" fillId="0" borderId="71" xfId="26" applyFont="1" applyBorder="1" applyAlignment="1">
      <alignment horizontal="center" vertical="top" wrapText="1"/>
    </xf>
    <xf numFmtId="0" fontId="18" fillId="0" borderId="72" xfId="26" applyFont="1" applyBorder="1" applyAlignment="1">
      <alignment horizontal="center" vertical="top" wrapText="1"/>
    </xf>
    <xf numFmtId="0" fontId="18" fillId="0" borderId="70" xfId="26" applyFont="1" applyBorder="1" applyAlignment="1">
      <alignment horizontal="center" vertical="top" wrapText="1"/>
    </xf>
    <xf numFmtId="0" fontId="18" fillId="0" borderId="73" xfId="26" applyFont="1" applyBorder="1" applyAlignment="1">
      <alignment horizontal="center" vertical="top" wrapText="1"/>
    </xf>
    <xf numFmtId="0" fontId="18" fillId="0" borderId="74" xfId="26" applyFont="1" applyBorder="1" applyAlignment="1">
      <alignment horizontal="center" vertical="top" wrapText="1"/>
    </xf>
    <xf numFmtId="0" fontId="18" fillId="0" borderId="75" xfId="26" applyFont="1" applyBorder="1" applyAlignment="1">
      <alignment horizontal="center" vertical="top" wrapText="1"/>
    </xf>
    <xf numFmtId="0" fontId="18" fillId="0" borderId="76" xfId="26" applyFont="1" applyBorder="1" applyAlignment="1">
      <alignment horizontal="center" vertical="top" wrapText="1"/>
    </xf>
    <xf numFmtId="0" fontId="17" fillId="0" borderId="77" xfId="26" applyFont="1" applyFill="1" applyBorder="1" applyAlignment="1">
      <alignment horizontal="center" vertical="top" wrapText="1"/>
    </xf>
    <xf numFmtId="0" fontId="21" fillId="27" borderId="77" xfId="26" applyFont="1" applyFill="1" applyBorder="1" applyAlignment="1">
      <alignment horizontal="center" vertical="top" wrapText="1"/>
    </xf>
    <xf numFmtId="0" fontId="21" fillId="27" borderId="24" xfId="26" applyFont="1" applyFill="1" applyBorder="1" applyAlignment="1">
      <alignment horizontal="center"/>
    </xf>
    <xf numFmtId="0" fontId="18" fillId="0" borderId="77" xfId="26" applyNumberFormat="1" applyFont="1" applyBorder="1" applyAlignment="1">
      <alignment horizontal="center" vertical="top" wrapText="1"/>
    </xf>
    <xf numFmtId="0" fontId="16" fillId="0" borderId="71" xfId="26" applyFont="1" applyBorder="1" applyAlignment="1">
      <alignment horizontal="center"/>
    </xf>
    <xf numFmtId="0" fontId="16" fillId="0" borderId="78" xfId="26" applyFont="1" applyBorder="1" applyAlignment="1">
      <alignment horizontal="center"/>
    </xf>
    <xf numFmtId="0" fontId="18" fillId="0" borderId="79" xfId="26" applyFont="1" applyBorder="1" applyAlignment="1">
      <alignment horizontal="center" vertical="top" wrapText="1"/>
    </xf>
    <xf numFmtId="0" fontId="18" fillId="0" borderId="78" xfId="26" applyFont="1" applyBorder="1" applyAlignment="1">
      <alignment horizontal="center" vertical="top" wrapText="1"/>
    </xf>
    <xf numFmtId="0" fontId="18" fillId="0" borderId="80" xfId="26" applyFont="1" applyBorder="1" applyAlignment="1">
      <alignment horizontal="center" vertical="top" wrapText="1"/>
    </xf>
    <xf numFmtId="0" fontId="18" fillId="0" borderId="81" xfId="26" applyFont="1" applyBorder="1" applyAlignment="1">
      <alignment horizontal="center" vertical="top" wrapText="1"/>
    </xf>
    <xf numFmtId="0" fontId="18" fillId="0" borderId="82" xfId="26" applyFont="1" applyBorder="1" applyAlignment="1">
      <alignment horizontal="center" vertical="top" wrapText="1"/>
    </xf>
    <xf numFmtId="0" fontId="18" fillId="0" borderId="83" xfId="26" applyFont="1" applyBorder="1" applyAlignment="1">
      <alignment horizontal="center" vertical="top" wrapText="1"/>
    </xf>
    <xf numFmtId="0" fontId="21" fillId="27" borderId="24" xfId="26" applyFont="1" applyFill="1" applyBorder="1" applyAlignment="1">
      <alignment horizontal="center" vertical="top" wrapText="1"/>
    </xf>
    <xf numFmtId="0" fontId="18" fillId="0" borderId="70" xfId="26" applyNumberFormat="1" applyFont="1" applyFill="1" applyBorder="1" applyAlignment="1">
      <alignment horizontal="center" vertical="top" wrapText="1"/>
    </xf>
    <xf numFmtId="0" fontId="18" fillId="0" borderId="77" xfId="26" applyNumberFormat="1" applyFont="1" applyFill="1" applyBorder="1" applyAlignment="1">
      <alignment horizontal="center" vertical="top" wrapText="1"/>
    </xf>
    <xf numFmtId="0" fontId="18" fillId="0" borderId="70" xfId="26" applyFont="1" applyBorder="1" applyAlignment="1">
      <alignment horizontal="center"/>
    </xf>
    <xf numFmtId="0" fontId="16" fillId="0" borderId="72" xfId="26" applyFont="1" applyBorder="1" applyAlignment="1">
      <alignment horizontal="center"/>
    </xf>
    <xf numFmtId="0" fontId="16" fillId="0" borderId="73" xfId="26" applyFont="1" applyBorder="1" applyAlignment="1">
      <alignment horizontal="center"/>
    </xf>
    <xf numFmtId="0" fontId="16" fillId="0" borderId="74" xfId="26" applyFont="1" applyBorder="1" applyAlignment="1">
      <alignment horizontal="center"/>
    </xf>
    <xf numFmtId="0" fontId="16" fillId="0" borderId="75" xfId="26" applyFont="1" applyBorder="1" applyAlignment="1">
      <alignment horizontal="center"/>
    </xf>
    <xf numFmtId="0" fontId="16" fillId="0" borderId="76" xfId="26" applyFont="1" applyBorder="1" applyAlignment="1">
      <alignment horizontal="center"/>
    </xf>
    <xf numFmtId="0" fontId="18" fillId="0" borderId="72" xfId="26" applyNumberFormat="1" applyFont="1" applyBorder="1" applyAlignment="1">
      <alignment horizontal="center" vertical="top" wrapText="1"/>
    </xf>
    <xf numFmtId="0" fontId="18" fillId="0" borderId="73" xfId="26" applyNumberFormat="1" applyFont="1" applyBorder="1" applyAlignment="1">
      <alignment horizontal="center" vertical="top" wrapText="1"/>
    </xf>
    <xf numFmtId="0" fontId="18" fillId="0" borderId="74" xfId="26" applyNumberFormat="1" applyFont="1" applyBorder="1" applyAlignment="1">
      <alignment horizontal="center" vertical="top" wrapText="1"/>
    </xf>
    <xf numFmtId="0" fontId="18" fillId="0" borderId="75" xfId="26" applyNumberFormat="1" applyFont="1" applyBorder="1" applyAlignment="1">
      <alignment horizontal="center" vertical="top" wrapText="1"/>
    </xf>
    <xf numFmtId="0" fontId="18" fillId="27" borderId="76" xfId="26" applyFont="1" applyFill="1" applyBorder="1" applyAlignment="1">
      <alignment horizontal="center" vertical="top" wrapText="1"/>
    </xf>
    <xf numFmtId="0" fontId="18" fillId="27" borderId="77" xfId="26" applyFont="1" applyFill="1" applyBorder="1" applyAlignment="1">
      <alignment horizontal="center" vertical="top" wrapText="1"/>
    </xf>
    <xf numFmtId="0" fontId="18" fillId="27" borderId="24" xfId="26" applyFont="1" applyFill="1" applyBorder="1" applyAlignment="1">
      <alignment horizontal="center" vertical="top" wrapText="1"/>
    </xf>
    <xf numFmtId="0" fontId="18" fillId="0" borderId="77" xfId="26" applyFont="1" applyBorder="1" applyAlignment="1">
      <alignment horizontal="center" vertical="top" wrapText="1"/>
    </xf>
    <xf numFmtId="0" fontId="18" fillId="33" borderId="70" xfId="26" applyFont="1" applyFill="1" applyBorder="1" applyAlignment="1">
      <alignment horizontal="center" vertical="top" wrapText="1"/>
    </xf>
    <xf numFmtId="0" fontId="18" fillId="33" borderId="71" xfId="26" applyFont="1" applyFill="1" applyBorder="1" applyAlignment="1">
      <alignment horizontal="center" vertical="top" wrapText="1"/>
    </xf>
    <xf numFmtId="0" fontId="18" fillId="33" borderId="72" xfId="26" applyFont="1" applyFill="1" applyBorder="1" applyAlignment="1">
      <alignment horizontal="center" vertical="top" wrapText="1"/>
    </xf>
    <xf numFmtId="0" fontId="18" fillId="33" borderId="73" xfId="26" applyFont="1" applyFill="1" applyBorder="1" applyAlignment="1">
      <alignment horizontal="center" vertical="top" wrapText="1"/>
    </xf>
    <xf numFmtId="0" fontId="18" fillId="33" borderId="74" xfId="26" applyFont="1" applyFill="1" applyBorder="1" applyAlignment="1">
      <alignment horizontal="center" vertical="top" wrapText="1"/>
    </xf>
    <xf numFmtId="0" fontId="18" fillId="33" borderId="75" xfId="26" applyFont="1" applyFill="1" applyBorder="1" applyAlignment="1">
      <alignment horizontal="center" vertical="top" wrapText="1"/>
    </xf>
    <xf numFmtId="0" fontId="18" fillId="33" borderId="76" xfId="26" applyFont="1" applyFill="1" applyBorder="1" applyAlignment="1">
      <alignment horizontal="center" vertical="top" wrapText="1"/>
    </xf>
    <xf numFmtId="0" fontId="17" fillId="33" borderId="77" xfId="26" applyFont="1" applyFill="1" applyBorder="1" applyAlignment="1">
      <alignment horizontal="center" vertical="top" wrapText="1"/>
    </xf>
    <xf numFmtId="0" fontId="18" fillId="33" borderId="77" xfId="26" applyFont="1" applyFill="1" applyBorder="1" applyAlignment="1">
      <alignment horizontal="center" vertical="top" wrapText="1"/>
    </xf>
    <xf numFmtId="0" fontId="18" fillId="33" borderId="24" xfId="26" applyFont="1" applyFill="1" applyBorder="1" applyAlignment="1">
      <alignment horizontal="center" vertical="top" wrapText="1"/>
    </xf>
    <xf numFmtId="0" fontId="16" fillId="27" borderId="56" xfId="26" applyFont="1" applyFill="1" applyBorder="1" applyAlignment="1">
      <alignment horizontal="center"/>
    </xf>
    <xf numFmtId="0" fontId="16" fillId="27" borderId="57" xfId="26" applyFont="1" applyFill="1" applyBorder="1" applyAlignment="1">
      <alignment horizontal="center"/>
    </xf>
    <xf numFmtId="0" fontId="16" fillId="27" borderId="58" xfId="26" applyFont="1" applyFill="1" applyBorder="1" applyAlignment="1">
      <alignment horizontal="center"/>
    </xf>
    <xf numFmtId="0" fontId="16" fillId="27" borderId="60" xfId="26" applyFont="1" applyFill="1" applyBorder="1" applyAlignment="1">
      <alignment horizontal="center"/>
    </xf>
    <xf numFmtId="0" fontId="16" fillId="0" borderId="0" xfId="26" applyFont="1" applyAlignment="1"/>
    <xf numFmtId="0" fontId="40" fillId="27" borderId="16" xfId="26" applyFont="1" applyFill="1" applyBorder="1" applyAlignment="1"/>
    <xf numFmtId="179" fontId="16" fillId="27" borderId="84" xfId="26" applyNumberFormat="1" applyFont="1" applyFill="1" applyBorder="1" applyAlignment="1">
      <alignment horizontal="centerContinuous"/>
    </xf>
    <xf numFmtId="0" fontId="16" fillId="27" borderId="18" xfId="26" applyFont="1" applyFill="1" applyBorder="1" applyAlignment="1">
      <alignment horizontal="centerContinuous"/>
    </xf>
    <xf numFmtId="0" fontId="40" fillId="27" borderId="38" xfId="26" applyFont="1" applyFill="1" applyBorder="1" applyAlignment="1"/>
    <xf numFmtId="179" fontId="16" fillId="27" borderId="73" xfId="26" applyNumberFormat="1" applyFont="1" applyFill="1" applyBorder="1" applyAlignment="1">
      <alignment horizontal="centerContinuous"/>
    </xf>
    <xf numFmtId="0" fontId="16" fillId="27" borderId="23" xfId="26" applyFont="1" applyFill="1" applyBorder="1" applyAlignment="1">
      <alignment horizontal="centerContinuous"/>
    </xf>
    <xf numFmtId="0" fontId="40" fillId="27" borderId="85" xfId="26" applyFont="1" applyFill="1" applyBorder="1" applyAlignment="1"/>
    <xf numFmtId="179" fontId="16" fillId="27" borderId="86" xfId="26" applyNumberFormat="1" applyFont="1" applyFill="1" applyBorder="1" applyAlignment="1">
      <alignment horizontal="centerContinuous"/>
    </xf>
    <xf numFmtId="0" fontId="16" fillId="27" borderId="87" xfId="26" applyFont="1" applyFill="1" applyBorder="1" applyAlignment="1">
      <alignment horizontal="centerContinuous"/>
    </xf>
    <xf numFmtId="0" fontId="71" fillId="0" borderId="0" xfId="26" applyAlignment="1"/>
    <xf numFmtId="0" fontId="52" fillId="0" borderId="47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176" fontId="52" fillId="0" borderId="0" xfId="0" applyNumberFormat="1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176" fontId="53" fillId="0" borderId="0" xfId="0" applyNumberFormat="1" applyFont="1" applyBorder="1" applyAlignment="1">
      <alignment horizontal="center" vertical="center"/>
    </xf>
    <xf numFmtId="176" fontId="53" fillId="0" borderId="88" xfId="0" applyNumberFormat="1" applyFont="1" applyBorder="1" applyAlignment="1">
      <alignment horizontal="center" vertical="center"/>
    </xf>
    <xf numFmtId="0" fontId="48" fillId="31" borderId="47" xfId="0" applyFont="1" applyFill="1" applyBorder="1" applyAlignment="1">
      <alignment horizontal="left" vertical="center"/>
    </xf>
    <xf numFmtId="0" fontId="54" fillId="31" borderId="0" xfId="0" applyFont="1" applyFill="1" applyBorder="1" applyAlignment="1">
      <alignment horizontal="left" vertical="center"/>
    </xf>
    <xf numFmtId="3" fontId="55" fillId="31" borderId="0" xfId="0" applyNumberFormat="1" applyFont="1" applyFill="1" applyBorder="1" applyAlignment="1">
      <alignment horizontal="left" vertical="center"/>
    </xf>
    <xf numFmtId="0" fontId="48" fillId="0" borderId="47" xfId="0" applyFont="1" applyBorder="1" applyAlignment="1">
      <alignment horizontal="left" vertical="center"/>
    </xf>
    <xf numFmtId="0" fontId="54" fillId="0" borderId="0" xfId="0" applyFont="1" applyBorder="1" applyAlignment="1">
      <alignment horizontal="left" vertical="center"/>
    </xf>
    <xf numFmtId="3" fontId="55" fillId="0" borderId="0" xfId="0" applyNumberFormat="1" applyFont="1" applyBorder="1" applyAlignment="1">
      <alignment horizontal="left" vertical="center"/>
    </xf>
    <xf numFmtId="176" fontId="49" fillId="25" borderId="89" xfId="0" applyNumberFormat="1" applyFont="1" applyFill="1" applyBorder="1" applyAlignment="1">
      <alignment horizontal="centerContinuous" vertical="center"/>
    </xf>
    <xf numFmtId="176" fontId="56" fillId="25" borderId="25" xfId="0" applyNumberFormat="1" applyFont="1" applyFill="1" applyBorder="1" applyAlignment="1">
      <alignment horizontal="centerContinuous" vertical="center"/>
    </xf>
    <xf numFmtId="176" fontId="56" fillId="25" borderId="26" xfId="0" applyNumberFormat="1" applyFont="1" applyFill="1" applyBorder="1" applyAlignment="1">
      <alignment horizontal="centerContinuous" vertical="center"/>
    </xf>
    <xf numFmtId="176" fontId="49" fillId="25" borderId="90" xfId="0" applyNumberFormat="1" applyFont="1" applyFill="1" applyBorder="1" applyAlignment="1">
      <alignment horizontal="center" vertical="center"/>
    </xf>
    <xf numFmtId="176" fontId="49" fillId="25" borderId="91" xfId="0" applyNumberFormat="1" applyFont="1" applyFill="1" applyBorder="1" applyAlignment="1">
      <alignment horizontal="center" vertical="center" wrapText="1"/>
    </xf>
    <xf numFmtId="0" fontId="47" fillId="24" borderId="91" xfId="0" applyFont="1" applyFill="1" applyBorder="1" applyAlignment="1">
      <alignment horizontal="center" vertical="center" wrapText="1"/>
    </xf>
    <xf numFmtId="0" fontId="50" fillId="0" borderId="91" xfId="0" applyFont="1" applyFill="1" applyBorder="1" applyAlignment="1">
      <alignment horizontal="center" vertical="center" wrapText="1"/>
    </xf>
    <xf numFmtId="0" fontId="48" fillId="24" borderId="91" xfId="0" applyFont="1" applyFill="1" applyBorder="1" applyAlignment="1">
      <alignment horizontal="center" vertical="center" wrapText="1"/>
    </xf>
    <xf numFmtId="0" fontId="50" fillId="0" borderId="92" xfId="0" applyFont="1" applyFill="1" applyBorder="1" applyAlignment="1">
      <alignment horizontal="center" vertical="center" wrapText="1"/>
    </xf>
    <xf numFmtId="178" fontId="58" fillId="0" borderId="22" xfId="34" applyNumberFormat="1" applyFont="1" applyBorder="1" applyAlignment="1"/>
    <xf numFmtId="178" fontId="19" fillId="0" borderId="22" xfId="34" applyNumberFormat="1" applyFont="1" applyBorder="1" applyAlignment="1">
      <alignment vertical="center"/>
    </xf>
    <xf numFmtId="178" fontId="19" fillId="0" borderId="14" xfId="34" applyNumberFormat="1" applyFont="1" applyBorder="1" applyAlignment="1">
      <alignment horizontal="center" vertical="center"/>
    </xf>
    <xf numFmtId="179" fontId="18" fillId="0" borderId="14" xfId="34" applyNumberFormat="1" applyFont="1" applyBorder="1" applyAlignment="1">
      <alignment horizontal="center" vertical="center"/>
    </xf>
    <xf numFmtId="179" fontId="54" fillId="0" borderId="14" xfId="34" applyNumberFormat="1" applyFont="1" applyBorder="1" applyAlignment="1">
      <alignment horizontal="center" vertical="center"/>
    </xf>
    <xf numFmtId="178" fontId="58" fillId="0" borderId="21" xfId="34" applyNumberFormat="1" applyFont="1" applyBorder="1" applyAlignment="1"/>
    <xf numFmtId="178" fontId="58" fillId="0" borderId="14" xfId="34" applyNumberFormat="1" applyFont="1" applyBorder="1" applyAlignment="1"/>
    <xf numFmtId="179" fontId="53" fillId="0" borderId="14" xfId="34" applyNumberFormat="1" applyFont="1" applyBorder="1" applyAlignment="1">
      <alignment horizontal="center" vertical="center"/>
    </xf>
    <xf numFmtId="178" fontId="19" fillId="0" borderId="21" xfId="34" applyNumberFormat="1" applyFont="1" applyBorder="1" applyAlignment="1">
      <alignment vertical="center"/>
    </xf>
    <xf numFmtId="178" fontId="58" fillId="0" borderId="22" xfId="34" applyNumberFormat="1" applyFont="1" applyBorder="1" applyAlignment="1">
      <alignment horizontal="center"/>
    </xf>
    <xf numFmtId="178" fontId="19" fillId="0" borderId="14" xfId="34" applyNumberFormat="1" applyFont="1" applyBorder="1" applyAlignment="1">
      <alignment horizontal="center"/>
    </xf>
    <xf numFmtId="178" fontId="58" fillId="0" borderId="73" xfId="34" applyNumberFormat="1" applyFont="1" applyBorder="1" applyAlignment="1"/>
    <xf numFmtId="178" fontId="19" fillId="0" borderId="73" xfId="34" applyNumberFormat="1" applyFont="1" applyBorder="1" applyAlignment="1">
      <alignment horizontal="center" vertical="center"/>
    </xf>
    <xf numFmtId="179" fontId="53" fillId="0" borderId="22" xfId="34" applyNumberFormat="1" applyFont="1" applyBorder="1" applyAlignment="1">
      <alignment horizontal="center" vertical="center"/>
    </xf>
    <xf numFmtId="178" fontId="19" fillId="0" borderId="14" xfId="34" applyNumberFormat="1" applyFont="1" applyBorder="1" applyAlignment="1">
      <alignment vertical="center"/>
    </xf>
    <xf numFmtId="178" fontId="60" fillId="0" borderId="14" xfId="34" applyNumberFormat="1" applyFont="1" applyBorder="1" applyAlignment="1">
      <alignment horizontal="center" vertical="center"/>
    </xf>
    <xf numFmtId="178" fontId="72" fillId="0" borderId="14" xfId="34" applyNumberFormat="1" applyFont="1" applyBorder="1" applyAlignment="1">
      <alignment horizontal="center" vertical="center"/>
    </xf>
    <xf numFmtId="178" fontId="19" fillId="0" borderId="13" xfId="34" applyNumberFormat="1" applyFont="1" applyBorder="1" applyAlignment="1">
      <alignment vertical="center"/>
    </xf>
    <xf numFmtId="0" fontId="53" fillId="0" borderId="14" xfId="0" applyFont="1" applyBorder="1" applyAlignment="1">
      <alignment horizontal="center" vertical="center"/>
    </xf>
    <xf numFmtId="0" fontId="37" fillId="0" borderId="93" xfId="0" applyFont="1" applyBorder="1" applyAlignment="1">
      <alignment horizontal="center" vertical="center"/>
    </xf>
    <xf numFmtId="176" fontId="21" fillId="27" borderId="94" xfId="0" applyNumberFormat="1" applyFont="1" applyFill="1" applyBorder="1" applyAlignment="1">
      <alignment horizontal="center" vertical="center"/>
    </xf>
    <xf numFmtId="178" fontId="21" fillId="27" borderId="93" xfId="34" applyNumberFormat="1" applyFont="1" applyFill="1" applyBorder="1" applyAlignment="1">
      <alignment vertical="center"/>
    </xf>
    <xf numFmtId="176" fontId="21" fillId="27" borderId="95" xfId="0" applyNumberFormat="1" applyFont="1" applyFill="1" applyBorder="1" applyAlignment="1">
      <alignment horizontal="center" vertical="center"/>
    </xf>
    <xf numFmtId="181" fontId="16" fillId="0" borderId="15" xfId="0" applyNumberFormat="1" applyFont="1" applyBorder="1" applyAlignment="1">
      <alignment horizontal="center"/>
    </xf>
    <xf numFmtId="0" fontId="73" fillId="33" borderId="21" xfId="33" applyFont="1" applyFill="1" applyBorder="1"/>
    <xf numFmtId="0" fontId="73" fillId="33" borderId="22" xfId="33" applyFont="1" applyFill="1" applyBorder="1"/>
    <xf numFmtId="0" fontId="73" fillId="33" borderId="23" xfId="33" applyFont="1" applyFill="1" applyBorder="1"/>
    <xf numFmtId="0" fontId="74" fillId="33" borderId="0" xfId="33" applyFont="1" applyFill="1"/>
    <xf numFmtId="0" fontId="75" fillId="0" borderId="17" xfId="27" applyFont="1" applyBorder="1" applyAlignment="1">
      <alignment horizontal="center" vertical="center"/>
    </xf>
    <xf numFmtId="0" fontId="75" fillId="33" borderId="17" xfId="27" applyFont="1" applyFill="1" applyBorder="1" applyAlignment="1">
      <alignment horizontal="center" vertical="center"/>
    </xf>
    <xf numFmtId="0" fontId="76" fillId="33" borderId="22" xfId="20" applyFont="1" applyFill="1" applyBorder="1" applyAlignment="1">
      <alignment horizontal="center" vertical="center"/>
    </xf>
    <xf numFmtId="176" fontId="18" fillId="0" borderId="96" xfId="0" applyNumberFormat="1" applyFont="1" applyBorder="1" applyAlignment="1">
      <alignment horizontal="center" vertical="center"/>
    </xf>
    <xf numFmtId="176" fontId="18" fillId="0" borderId="23" xfId="0" applyNumberFormat="1" applyFont="1" applyBorder="1" applyAlignment="1">
      <alignment horizontal="center" vertical="center"/>
    </xf>
    <xf numFmtId="0" fontId="0" fillId="28" borderId="22" xfId="0" applyFill="1" applyBorder="1" applyAlignment="1">
      <alignment horizontal="center" vertical="center"/>
    </xf>
    <xf numFmtId="0" fontId="77" fillId="0" borderId="22" xfId="0" applyFont="1" applyBorder="1" applyAlignment="1">
      <alignment horizontal="center" vertical="center"/>
    </xf>
    <xf numFmtId="3" fontId="77" fillId="0" borderId="0" xfId="0" applyNumberFormat="1" applyFont="1">
      <alignment vertical="center"/>
    </xf>
    <xf numFmtId="0" fontId="78" fillId="0" borderId="22" xfId="0" applyFont="1" applyBorder="1" applyAlignment="1">
      <alignment horizontal="center" vertical="center"/>
    </xf>
    <xf numFmtId="3" fontId="78" fillId="0" borderId="0" xfId="0" applyNumberFormat="1" applyFont="1">
      <alignment vertical="center"/>
    </xf>
    <xf numFmtId="0" fontId="79" fillId="0" borderId="22" xfId="0" applyFont="1" applyBorder="1" applyAlignment="1">
      <alignment horizontal="center" vertical="center"/>
    </xf>
    <xf numFmtId="3" fontId="79" fillId="0" borderId="0" xfId="0" applyNumberFormat="1" applyFont="1">
      <alignment vertical="center"/>
    </xf>
    <xf numFmtId="0" fontId="77" fillId="0" borderId="0" xfId="0" applyFont="1">
      <alignment vertical="center"/>
    </xf>
    <xf numFmtId="178" fontId="77" fillId="0" borderId="80" xfId="34" applyNumberFormat="1" applyFont="1" applyBorder="1" applyAlignment="1">
      <alignment horizontal="right" vertical="center"/>
    </xf>
    <xf numFmtId="9" fontId="77" fillId="0" borderId="80" xfId="39" applyFont="1" applyBorder="1">
      <alignment vertical="center"/>
    </xf>
    <xf numFmtId="0" fontId="0" fillId="0" borderId="22" xfId="0" applyFont="1" applyBorder="1" applyAlignment="1">
      <alignment horizontal="center" vertical="center"/>
    </xf>
    <xf numFmtId="3" fontId="0" fillId="0" borderId="22" xfId="0" applyNumberFormat="1" applyFont="1" applyBorder="1">
      <alignment vertical="center"/>
    </xf>
    <xf numFmtId="3" fontId="0" fillId="0" borderId="73" xfId="0" applyNumberFormat="1" applyFont="1" applyBorder="1">
      <alignment vertical="center"/>
    </xf>
    <xf numFmtId="0" fontId="0" fillId="0" borderId="73" xfId="0" applyFont="1" applyBorder="1">
      <alignment vertical="center"/>
    </xf>
    <xf numFmtId="0" fontId="0" fillId="0" borderId="22" xfId="0" applyFont="1" applyBorder="1" applyAlignment="1">
      <alignment horizontal="center" vertical="center"/>
    </xf>
    <xf numFmtId="178" fontId="71" fillId="0" borderId="22" xfId="34" applyNumberFormat="1" applyFont="1" applyBorder="1">
      <alignment vertical="center"/>
    </xf>
    <xf numFmtId="178" fontId="71" fillId="0" borderId="73" xfId="34" applyNumberFormat="1" applyFont="1" applyBorder="1">
      <alignment vertical="center"/>
    </xf>
    <xf numFmtId="9" fontId="71" fillId="0" borderId="22" xfId="39" applyFont="1" applyBorder="1">
      <alignment vertical="center"/>
    </xf>
    <xf numFmtId="9" fontId="71" fillId="0" borderId="73" xfId="39" applyFont="1" applyBorder="1">
      <alignment vertical="center"/>
    </xf>
    <xf numFmtId="178" fontId="58" fillId="0" borderId="21" xfId="34" applyNumberFormat="1" applyFont="1" applyFill="1" applyBorder="1" applyAlignment="1"/>
    <xf numFmtId="178" fontId="19" fillId="0" borderId="14" xfId="34" applyNumberFormat="1" applyFont="1" applyFill="1" applyBorder="1" applyAlignment="1">
      <alignment horizontal="center" vertical="center"/>
    </xf>
    <xf numFmtId="177" fontId="65" fillId="0" borderId="73" xfId="32" applyNumberFormat="1" applyFont="1" applyFill="1" applyBorder="1" applyAlignment="1">
      <alignment horizontal="center"/>
    </xf>
    <xf numFmtId="179" fontId="58" fillId="0" borderId="22" xfId="0" applyNumberFormat="1" applyFont="1" applyBorder="1" applyAlignment="1">
      <alignment horizontal="center"/>
    </xf>
    <xf numFmtId="178" fontId="19" fillId="25" borderId="13" xfId="34" applyNumberFormat="1" applyFont="1" applyFill="1" applyBorder="1" applyAlignment="1">
      <alignment horizontal="center" vertical="center"/>
    </xf>
    <xf numFmtId="178" fontId="19" fillId="0" borderId="23" xfId="34" applyNumberFormat="1" applyFont="1" applyFill="1" applyBorder="1" applyAlignment="1"/>
    <xf numFmtId="178" fontId="58" fillId="27" borderId="23" xfId="34" applyNumberFormat="1" applyFont="1" applyFill="1" applyBorder="1" applyAlignment="1"/>
    <xf numFmtId="178" fontId="19" fillId="27" borderId="93" xfId="34" applyNumberFormat="1" applyFont="1" applyFill="1" applyBorder="1" applyAlignment="1">
      <alignment horizontal="center" vertical="center"/>
    </xf>
    <xf numFmtId="178" fontId="21" fillId="27" borderId="95" xfId="34" applyNumberFormat="1" applyFont="1" applyFill="1" applyBorder="1" applyAlignment="1">
      <alignment vertical="center"/>
    </xf>
    <xf numFmtId="0" fontId="71" fillId="0" borderId="0" xfId="23" applyFont="1" applyAlignment="1">
      <alignment vertical="center"/>
    </xf>
    <xf numFmtId="0" fontId="80" fillId="0" borderId="17" xfId="23" applyFont="1" applyBorder="1" applyAlignment="1">
      <alignment horizontal="center" vertical="center"/>
    </xf>
    <xf numFmtId="0" fontId="80" fillId="0" borderId="26" xfId="23" applyFont="1" applyBorder="1" applyAlignment="1">
      <alignment horizontal="center" vertical="center"/>
    </xf>
    <xf numFmtId="0" fontId="81" fillId="0" borderId="27" xfId="23" applyFont="1" applyBorder="1" applyAlignment="1">
      <alignment horizontal="center" vertical="center"/>
    </xf>
    <xf numFmtId="0" fontId="8" fillId="0" borderId="22" xfId="23" applyFont="1" applyFill="1" applyBorder="1" applyAlignment="1">
      <alignment horizontal="center" vertical="center"/>
    </xf>
    <xf numFmtId="0" fontId="80" fillId="0" borderId="22" xfId="23" applyFont="1" applyBorder="1" applyAlignment="1">
      <alignment horizontal="center" vertical="center"/>
    </xf>
    <xf numFmtId="0" fontId="80" fillId="0" borderId="97" xfId="23" applyFont="1" applyBorder="1" applyAlignment="1">
      <alignment horizontal="center" vertical="center"/>
    </xf>
    <xf numFmtId="0" fontId="80" fillId="0" borderId="77" xfId="23" applyFont="1" applyBorder="1" applyAlignment="1">
      <alignment vertical="center"/>
    </xf>
    <xf numFmtId="0" fontId="82" fillId="33" borderId="22" xfId="23" applyFont="1" applyFill="1" applyBorder="1" applyAlignment="1">
      <alignment horizontal="center" vertical="center"/>
    </xf>
    <xf numFmtId="0" fontId="82" fillId="33" borderId="22" xfId="29" applyFont="1" applyFill="1" applyBorder="1" applyAlignment="1">
      <alignment horizontal="center" vertical="center"/>
    </xf>
    <xf numFmtId="0" fontId="75" fillId="0" borderId="21" xfId="23" applyFont="1" applyFill="1" applyBorder="1" applyAlignment="1">
      <alignment vertical="center"/>
    </xf>
    <xf numFmtId="0" fontId="71" fillId="0" borderId="21" xfId="23" applyFont="1" applyBorder="1" applyAlignment="1">
      <alignment vertical="center"/>
    </xf>
    <xf numFmtId="0" fontId="83" fillId="33" borderId="98" xfId="23" applyFont="1" applyFill="1" applyBorder="1" applyAlignment="1">
      <alignment horizontal="center" vertical="center"/>
    </xf>
    <xf numFmtId="0" fontId="84" fillId="0" borderId="98" xfId="23" applyFont="1" applyFill="1" applyBorder="1" applyAlignment="1">
      <alignment horizontal="center" vertical="center" wrapText="1"/>
    </xf>
    <xf numFmtId="0" fontId="85" fillId="0" borderId="98" xfId="23" applyFont="1" applyFill="1" applyBorder="1" applyAlignment="1">
      <alignment vertical="center"/>
    </xf>
    <xf numFmtId="0" fontId="80" fillId="0" borderId="98" xfId="23" applyFont="1" applyBorder="1" applyAlignment="1">
      <alignment horizontal="center" vertical="center"/>
    </xf>
    <xf numFmtId="0" fontId="80" fillId="0" borderId="99" xfId="23" applyFont="1" applyBorder="1" applyAlignment="1">
      <alignment horizontal="center" vertical="center"/>
    </xf>
    <xf numFmtId="0" fontId="80" fillId="0" borderId="100" xfId="23" applyFont="1" applyBorder="1" applyAlignment="1">
      <alignment vertical="center"/>
    </xf>
    <xf numFmtId="0" fontId="71" fillId="0" borderId="0" xfId="23" applyFont="1" applyFill="1" applyAlignment="1">
      <alignment vertical="center"/>
    </xf>
    <xf numFmtId="0" fontId="71" fillId="33" borderId="0" xfId="23" applyFont="1" applyFill="1" applyAlignment="1">
      <alignment vertical="center"/>
    </xf>
    <xf numFmtId="0" fontId="71" fillId="0" borderId="0" xfId="24" applyFont="1" applyAlignment="1">
      <alignment vertical="center"/>
    </xf>
    <xf numFmtId="0" fontId="71" fillId="33" borderId="0" xfId="24" applyFont="1" applyFill="1" applyAlignment="1">
      <alignment vertical="center"/>
    </xf>
    <xf numFmtId="0" fontId="71" fillId="33" borderId="0" xfId="23" applyFont="1" applyFill="1" applyAlignment="1">
      <alignment horizontal="center" vertical="center"/>
    </xf>
    <xf numFmtId="0" fontId="71" fillId="0" borderId="0" xfId="23" applyFont="1" applyAlignment="1">
      <alignment horizontal="center" vertical="center"/>
    </xf>
    <xf numFmtId="0" fontId="86" fillId="0" borderId="0" xfId="23" applyFont="1" applyAlignment="1">
      <alignment horizontal="center" vertical="center"/>
    </xf>
    <xf numFmtId="0" fontId="87" fillId="0" borderId="0" xfId="23" applyFont="1" applyAlignment="1">
      <alignment horizontal="center" vertical="center"/>
    </xf>
    <xf numFmtId="0" fontId="8" fillId="0" borderId="48" xfId="33" applyFont="1" applyBorder="1" applyAlignment="1">
      <alignment horizontal="center" vertical="center"/>
    </xf>
    <xf numFmtId="0" fontId="32" fillId="0" borderId="73" xfId="33" applyFont="1" applyBorder="1"/>
    <xf numFmtId="0" fontId="32" fillId="0" borderId="73" xfId="33" applyFont="1" applyFill="1" applyBorder="1"/>
    <xf numFmtId="0" fontId="73" fillId="33" borderId="73" xfId="33" applyFont="1" applyFill="1" applyBorder="1"/>
    <xf numFmtId="0" fontId="32" fillId="0" borderId="45" xfId="33" applyFont="1" applyBorder="1" applyAlignment="1">
      <alignment horizontal="center"/>
    </xf>
    <xf numFmtId="0" fontId="73" fillId="33" borderId="22" xfId="33" applyFont="1" applyFill="1" applyBorder="1"/>
    <xf numFmtId="0" fontId="73" fillId="33" borderId="23" xfId="33" applyFont="1" applyFill="1" applyBorder="1"/>
    <xf numFmtId="182" fontId="16" fillId="27" borderId="17" xfId="26" applyNumberFormat="1" applyFont="1" applyFill="1" applyBorder="1" applyAlignment="1">
      <alignment horizontal="centerContinuous"/>
    </xf>
    <xf numFmtId="182" fontId="16" fillId="27" borderId="22" xfId="26" applyNumberFormat="1" applyFont="1" applyFill="1" applyBorder="1" applyAlignment="1">
      <alignment horizontal="centerContinuous"/>
    </xf>
    <xf numFmtId="182" fontId="16" fillId="27" borderId="98" xfId="26" applyNumberFormat="1" applyFont="1" applyFill="1" applyBorder="1" applyAlignment="1">
      <alignment horizontal="centerContinuous"/>
    </xf>
    <xf numFmtId="0" fontId="75" fillId="0" borderId="16" xfId="23" applyFont="1" applyBorder="1" applyAlignment="1">
      <alignment vertical="center"/>
    </xf>
    <xf numFmtId="0" fontId="75" fillId="0" borderId="21" xfId="23" applyFont="1" applyBorder="1" applyAlignment="1">
      <alignment vertical="center"/>
    </xf>
    <xf numFmtId="181" fontId="80" fillId="0" borderId="97" xfId="23" applyNumberFormat="1" applyFont="1" applyBorder="1" applyAlignment="1">
      <alignment horizontal="center" vertical="center"/>
    </xf>
    <xf numFmtId="0" fontId="71" fillId="0" borderId="13" xfId="23" applyFont="1" applyFill="1" applyBorder="1" applyAlignment="1">
      <alignment vertical="center"/>
    </xf>
    <xf numFmtId="0" fontId="80" fillId="0" borderId="14" xfId="23" applyFont="1" applyBorder="1" applyAlignment="1">
      <alignment horizontal="center" vertical="center"/>
    </xf>
    <xf numFmtId="0" fontId="80" fillId="0" borderId="101" xfId="23" applyFont="1" applyBorder="1" applyAlignment="1">
      <alignment horizontal="center" vertical="center"/>
    </xf>
    <xf numFmtId="0" fontId="80" fillId="0" borderId="69" xfId="23" applyFont="1" applyBorder="1" applyAlignment="1">
      <alignment vertical="center"/>
    </xf>
    <xf numFmtId="0" fontId="76" fillId="0" borderId="85" xfId="23" applyFont="1" applyBorder="1" applyAlignment="1">
      <alignment vertical="center"/>
    </xf>
    <xf numFmtId="0" fontId="76" fillId="0" borderId="98" xfId="23" applyFont="1" applyFill="1" applyBorder="1" applyAlignment="1">
      <alignment horizontal="center" vertical="center"/>
    </xf>
    <xf numFmtId="0" fontId="76" fillId="33" borderId="98" xfId="23" applyFont="1" applyFill="1" applyBorder="1" applyAlignment="1">
      <alignment horizontal="center" vertical="center"/>
    </xf>
    <xf numFmtId="0" fontId="83" fillId="0" borderId="98" xfId="23" applyFont="1" applyFill="1" applyBorder="1" applyAlignment="1">
      <alignment horizontal="center" vertical="center"/>
    </xf>
    <xf numFmtId="0" fontId="83" fillId="0" borderId="11" xfId="23" applyFont="1" applyFill="1" applyBorder="1" applyAlignment="1">
      <alignment horizontal="center" vertical="center"/>
    </xf>
    <xf numFmtId="0" fontId="85" fillId="0" borderId="0" xfId="23" applyFont="1" applyAlignment="1">
      <alignment vertical="center"/>
    </xf>
    <xf numFmtId="177" fontId="18" fillId="0" borderId="53" xfId="32" applyNumberFormat="1" applyFont="1" applyFill="1" applyBorder="1" applyAlignment="1">
      <alignment horizontal="center"/>
    </xf>
    <xf numFmtId="179" fontId="18" fillId="0" borderId="138" xfId="34" applyNumberFormat="1" applyFont="1" applyBorder="1" applyAlignment="1">
      <alignment horizontal="center" vertical="center"/>
    </xf>
    <xf numFmtId="0" fontId="66" fillId="0" borderId="21" xfId="33" applyFont="1" applyBorder="1"/>
    <xf numFmtId="0" fontId="7" fillId="0" borderId="0" xfId="33" applyFont="1"/>
    <xf numFmtId="0" fontId="18" fillId="0" borderId="46" xfId="26" applyFont="1" applyFill="1" applyBorder="1" applyAlignment="1">
      <alignment horizontal="center" vertical="top" wrapText="1"/>
    </xf>
    <xf numFmtId="0" fontId="16" fillId="27" borderId="29" xfId="26" applyFont="1" applyFill="1" applyBorder="1" applyAlignment="1">
      <alignment horizontal="center"/>
    </xf>
    <xf numFmtId="0" fontId="16" fillId="27" borderId="30" xfId="26" applyFont="1" applyFill="1" applyBorder="1" applyAlignment="1">
      <alignment horizontal="center"/>
    </xf>
    <xf numFmtId="0" fontId="16" fillId="27" borderId="59" xfId="26" applyFont="1" applyFill="1" applyBorder="1" applyAlignment="1">
      <alignment horizontal="center"/>
    </xf>
    <xf numFmtId="0" fontId="8" fillId="0" borderId="39" xfId="23" applyFont="1" applyFill="1" applyBorder="1" applyAlignment="1">
      <alignment horizontal="center" vertical="center"/>
    </xf>
    <xf numFmtId="0" fontId="8" fillId="33" borderId="39" xfId="23" applyFont="1" applyFill="1" applyBorder="1" applyAlignment="1">
      <alignment horizontal="center" vertical="center"/>
    </xf>
    <xf numFmtId="0" fontId="71" fillId="0" borderId="21" xfId="23" applyFont="1" applyFill="1" applyBorder="1" applyAlignment="1">
      <alignment vertical="center"/>
    </xf>
    <xf numFmtId="0" fontId="8" fillId="0" borderId="102" xfId="23" applyFont="1" applyFill="1" applyBorder="1" applyAlignment="1">
      <alignment horizontal="center" vertical="center"/>
    </xf>
    <xf numFmtId="0" fontId="71" fillId="33" borderId="22" xfId="23" applyFont="1" applyFill="1" applyBorder="1" applyAlignment="1">
      <alignment vertical="center"/>
    </xf>
    <xf numFmtId="0" fontId="76" fillId="33" borderId="22" xfId="23" applyFont="1" applyFill="1" applyBorder="1" applyAlignment="1">
      <alignment horizontal="center" vertical="center"/>
    </xf>
    <xf numFmtId="0" fontId="88" fillId="33" borderId="22" xfId="23" applyFont="1" applyFill="1" applyBorder="1" applyAlignment="1">
      <alignment horizontal="center" vertical="center"/>
    </xf>
    <xf numFmtId="0" fontId="89" fillId="33" borderId="22" xfId="23" applyFont="1" applyFill="1" applyBorder="1" applyAlignment="1">
      <alignment horizontal="center" vertical="center"/>
    </xf>
    <xf numFmtId="0" fontId="90" fillId="33" borderId="22" xfId="23" applyFont="1" applyFill="1" applyBorder="1" applyAlignment="1">
      <alignment horizontal="center" vertical="center"/>
    </xf>
    <xf numFmtId="0" fontId="91" fillId="33" borderId="22" xfId="23" applyFont="1" applyFill="1" applyBorder="1" applyAlignment="1">
      <alignment horizontal="center" vertical="center"/>
    </xf>
    <xf numFmtId="0" fontId="92" fillId="33" borderId="22" xfId="23" applyFont="1" applyFill="1" applyBorder="1" applyAlignment="1">
      <alignment horizontal="center" vertical="center"/>
    </xf>
    <xf numFmtId="0" fontId="81" fillId="33" borderId="22" xfId="23" applyFont="1" applyFill="1" applyBorder="1" applyAlignment="1">
      <alignment vertical="center"/>
    </xf>
    <xf numFmtId="0" fontId="93" fillId="33" borderId="22" xfId="23" applyFont="1" applyFill="1" applyBorder="1" applyAlignment="1">
      <alignment horizontal="center" vertical="center"/>
    </xf>
    <xf numFmtId="0" fontId="94" fillId="0" borderId="22" xfId="23" applyFont="1" applyFill="1" applyBorder="1" applyAlignment="1">
      <alignment horizontal="center" vertical="center"/>
    </xf>
    <xf numFmtId="0" fontId="81" fillId="33" borderId="22" xfId="23" applyFont="1" applyFill="1" applyBorder="1" applyAlignment="1">
      <alignment horizontal="center" vertical="center"/>
    </xf>
    <xf numFmtId="0" fontId="95" fillId="33" borderId="22" xfId="23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0" fontId="35" fillId="29" borderId="44" xfId="26" applyFont="1" applyFill="1" applyBorder="1" applyAlignment="1">
      <alignment horizontal="left" vertical="center"/>
    </xf>
    <xf numFmtId="0" fontId="4" fillId="29" borderId="103" xfId="26" applyFont="1" applyFill="1" applyBorder="1" applyAlignment="1">
      <alignment horizontal="center" vertical="center" wrapText="1"/>
    </xf>
    <xf numFmtId="0" fontId="18" fillId="0" borderId="104" xfId="26" applyNumberFormat="1" applyFont="1" applyBorder="1" applyAlignment="1">
      <alignment horizontal="center" vertical="top" wrapText="1"/>
    </xf>
    <xf numFmtId="0" fontId="18" fillId="0" borderId="105" xfId="26" applyNumberFormat="1" applyFont="1" applyBorder="1" applyAlignment="1">
      <alignment horizontal="center" vertical="top" wrapText="1"/>
    </xf>
    <xf numFmtId="0" fontId="18" fillId="0" borderId="105" xfId="26" applyNumberFormat="1" applyFont="1" applyFill="1" applyBorder="1" applyAlignment="1">
      <alignment horizontal="center" vertical="top" wrapText="1"/>
    </xf>
    <xf numFmtId="0" fontId="18" fillId="0" borderId="105" xfId="26" applyFont="1" applyBorder="1" applyAlignment="1">
      <alignment horizontal="center" vertical="top" wrapText="1"/>
    </xf>
    <xf numFmtId="0" fontId="18" fillId="33" borderId="105" xfId="26" applyFont="1" applyFill="1" applyBorder="1" applyAlignment="1">
      <alignment horizontal="center" vertical="top" wrapText="1"/>
    </xf>
    <xf numFmtId="0" fontId="16" fillId="27" borderId="44" xfId="26" applyFont="1" applyFill="1" applyBorder="1" applyAlignment="1">
      <alignment horizontal="center"/>
    </xf>
    <xf numFmtId="178" fontId="58" fillId="0" borderId="138" xfId="34" applyNumberFormat="1" applyFont="1" applyBorder="1" applyAlignment="1"/>
    <xf numFmtId="0" fontId="80" fillId="0" borderId="24" xfId="23" applyFont="1" applyBorder="1" applyAlignment="1">
      <alignment horizontal="center" vertical="center"/>
    </xf>
    <xf numFmtId="180" fontId="71" fillId="0" borderId="0" xfId="23" applyNumberFormat="1" applyFont="1" applyAlignment="1">
      <alignment vertical="center"/>
    </xf>
    <xf numFmtId="183" fontId="71" fillId="0" borderId="0" xfId="23" applyNumberFormat="1" applyFont="1" applyAlignment="1">
      <alignment vertical="center"/>
    </xf>
    <xf numFmtId="183" fontId="71" fillId="0" borderId="0" xfId="23" applyNumberFormat="1" applyFont="1" applyFill="1" applyAlignment="1">
      <alignment vertical="center"/>
    </xf>
    <xf numFmtId="0" fontId="96" fillId="33" borderId="98" xfId="23" applyFont="1" applyFill="1" applyBorder="1" applyAlignment="1">
      <alignment horizontal="center" vertical="center"/>
    </xf>
    <xf numFmtId="0" fontId="80" fillId="0" borderId="106" xfId="23" applyFont="1" applyBorder="1" applyAlignment="1">
      <alignment horizontal="center" vertical="center"/>
    </xf>
    <xf numFmtId="0" fontId="80" fillId="0" borderId="19" xfId="23" applyFont="1" applyBorder="1" applyAlignment="1">
      <alignment horizontal="center" vertical="center"/>
    </xf>
    <xf numFmtId="0" fontId="80" fillId="0" borderId="107" xfId="23" applyFont="1" applyBorder="1" applyAlignment="1">
      <alignment horizontal="center" vertical="center"/>
    </xf>
    <xf numFmtId="0" fontId="85" fillId="33" borderId="0" xfId="23" applyFont="1" applyFill="1" applyAlignment="1">
      <alignment vertical="center"/>
    </xf>
    <xf numFmtId="0" fontId="68" fillId="25" borderId="85" xfId="0" applyFont="1" applyFill="1" applyBorder="1" applyAlignment="1">
      <alignment horizontal="center" vertical="center"/>
    </xf>
    <xf numFmtId="176" fontId="96" fillId="25" borderId="98" xfId="0" applyNumberFormat="1" applyFont="1" applyFill="1" applyBorder="1" applyAlignment="1">
      <alignment vertical="center"/>
    </xf>
    <xf numFmtId="178" fontId="96" fillId="25" borderId="109" xfId="0" applyNumberFormat="1" applyFont="1" applyFill="1" applyBorder="1" applyAlignment="1">
      <alignment vertical="center"/>
    </xf>
    <xf numFmtId="0" fontId="68" fillId="0" borderId="13" xfId="0" applyFont="1" applyFill="1" applyBorder="1" applyAlignment="1">
      <alignment horizontal="center" vertical="center"/>
    </xf>
    <xf numFmtId="176" fontId="96" fillId="0" borderId="14" xfId="0" applyNumberFormat="1" applyFont="1" applyFill="1" applyBorder="1" applyAlignment="1">
      <alignment vertical="center"/>
    </xf>
    <xf numFmtId="9" fontId="69" fillId="32" borderId="110" xfId="39" applyFont="1" applyFill="1" applyBorder="1" applyAlignment="1">
      <alignment vertical="center"/>
    </xf>
    <xf numFmtId="9" fontId="69" fillId="32" borderId="111" xfId="39" applyFont="1" applyFill="1" applyBorder="1" applyAlignment="1">
      <alignment vertical="center"/>
    </xf>
    <xf numFmtId="0" fontId="68" fillId="27" borderId="112" xfId="0" applyFont="1" applyFill="1" applyBorder="1" applyAlignment="1">
      <alignment horizontal="center" vertical="center"/>
    </xf>
    <xf numFmtId="178" fontId="68" fillId="27" borderId="113" xfId="0" applyNumberFormat="1" applyFont="1" applyFill="1" applyBorder="1" applyAlignment="1">
      <alignment vertical="center"/>
    </xf>
    <xf numFmtId="178" fontId="68" fillId="27" borderId="114" xfId="0" applyNumberFormat="1" applyFont="1" applyFill="1" applyBorder="1" applyAlignment="1">
      <alignment vertical="center"/>
    </xf>
    <xf numFmtId="9" fontId="69" fillId="32" borderId="115" xfId="39" applyFont="1" applyFill="1" applyBorder="1" applyAlignment="1">
      <alignment vertical="center"/>
    </xf>
    <xf numFmtId="0" fontId="70" fillId="0" borderId="116" xfId="0" applyFont="1" applyBorder="1" applyAlignment="1">
      <alignment horizontal="center" vertical="center"/>
    </xf>
    <xf numFmtId="9" fontId="70" fillId="0" borderId="117" xfId="39" applyFont="1" applyBorder="1" applyAlignment="1">
      <alignment horizontal="center" vertical="center"/>
    </xf>
    <xf numFmtId="9" fontId="70" fillId="0" borderId="117" xfId="39" applyFont="1" applyFill="1" applyBorder="1" applyAlignment="1">
      <alignment horizontal="center" vertical="center"/>
    </xf>
    <xf numFmtId="9" fontId="70" fillId="0" borderId="118" xfId="39" applyFont="1" applyBorder="1" applyAlignment="1">
      <alignment horizontal="center" vertical="center"/>
    </xf>
    <xf numFmtId="0" fontId="68" fillId="0" borderId="90" xfId="0" applyFont="1" applyFill="1" applyBorder="1" applyAlignment="1">
      <alignment horizontal="center" vertical="center"/>
    </xf>
    <xf numFmtId="176" fontId="96" fillId="0" borderId="119" xfId="0" applyNumberFormat="1" applyFont="1" applyBorder="1">
      <alignment vertical="center"/>
    </xf>
    <xf numFmtId="176" fontId="96" fillId="0" borderId="91" xfId="0" applyNumberFormat="1" applyFont="1" applyBorder="1">
      <alignment vertical="center"/>
    </xf>
    <xf numFmtId="176" fontId="96" fillId="0" borderId="91" xfId="0" applyNumberFormat="1" applyFont="1" applyFill="1" applyBorder="1" applyAlignment="1">
      <alignment vertical="center"/>
    </xf>
    <xf numFmtId="176" fontId="96" fillId="0" borderId="120" xfId="0" applyNumberFormat="1" applyFont="1" applyFill="1" applyBorder="1" applyAlignment="1">
      <alignment vertical="center"/>
    </xf>
    <xf numFmtId="178" fontId="76" fillId="0" borderId="22" xfId="34" applyNumberFormat="1" applyFont="1" applyBorder="1">
      <alignment vertical="center"/>
    </xf>
    <xf numFmtId="178" fontId="96" fillId="0" borderId="108" xfId="34" applyNumberFormat="1" applyFont="1" applyBorder="1">
      <alignment vertical="center"/>
    </xf>
    <xf numFmtId="178" fontId="0" fillId="0" borderId="0" xfId="0" applyNumberFormat="1">
      <alignment vertical="center"/>
    </xf>
    <xf numFmtId="178" fontId="71" fillId="0" borderId="0" xfId="34" applyNumberFormat="1" applyFont="1">
      <alignment vertical="center"/>
    </xf>
    <xf numFmtId="178" fontId="71" fillId="0" borderId="0" xfId="34" applyNumberFormat="1" applyFont="1" applyBorder="1">
      <alignment vertical="center"/>
    </xf>
    <xf numFmtId="178" fontId="71" fillId="0" borderId="0" xfId="34" applyNumberFormat="1" applyFont="1" applyBorder="1">
      <alignment vertical="center"/>
    </xf>
    <xf numFmtId="0" fontId="75" fillId="0" borderId="0" xfId="0" applyFont="1">
      <alignment vertical="center"/>
    </xf>
    <xf numFmtId="178" fontId="75" fillId="0" borderId="0" xfId="34" applyNumberFormat="1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5" fillId="0" borderId="0" xfId="0" applyFont="1" applyAlignment="1">
      <alignment horizontal="left" vertical="center"/>
    </xf>
    <xf numFmtId="0" fontId="80" fillId="0" borderId="0" xfId="0" applyFont="1">
      <alignment vertical="center"/>
    </xf>
    <xf numFmtId="178" fontId="80" fillId="0" borderId="0" xfId="34" applyNumberFormat="1" applyFont="1" applyBorder="1" applyAlignment="1">
      <alignment horizontal="left" vertical="center"/>
    </xf>
    <xf numFmtId="0" fontId="80" fillId="0" borderId="0" xfId="0" applyFont="1" applyAlignment="1">
      <alignment horizontal="left" vertical="center"/>
    </xf>
    <xf numFmtId="178" fontId="19" fillId="0" borderId="21" xfId="34" applyNumberFormat="1" applyFont="1" applyBorder="1" applyAlignment="1"/>
    <xf numFmtId="0" fontId="97" fillId="33" borderId="22" xfId="29" applyFont="1" applyFill="1" applyBorder="1" applyAlignment="1">
      <alignment horizontal="center" vertical="center"/>
    </xf>
    <xf numFmtId="0" fontId="97" fillId="33" borderId="22" xfId="23" applyFont="1" applyFill="1" applyBorder="1" applyAlignment="1">
      <alignment horizontal="center" vertical="center"/>
    </xf>
    <xf numFmtId="0" fontId="98" fillId="33" borderId="22" xfId="23" applyFont="1" applyFill="1" applyBorder="1" applyAlignment="1">
      <alignment horizontal="center" vertical="center"/>
    </xf>
    <xf numFmtId="0" fontId="0" fillId="0" borderId="0" xfId="23" applyFont="1" applyAlignment="1">
      <alignment vertical="center"/>
    </xf>
    <xf numFmtId="178" fontId="19" fillId="0" borderId="73" xfId="34" applyNumberFormat="1" applyFont="1" applyBorder="1" applyAlignment="1">
      <alignment vertical="center"/>
    </xf>
    <xf numFmtId="178" fontId="19" fillId="0" borderId="108" xfId="34" applyNumberFormat="1" applyFont="1" applyBorder="1" applyAlignment="1">
      <alignment vertical="center"/>
    </xf>
    <xf numFmtId="43" fontId="30" fillId="33" borderId="22" xfId="34" applyFont="1" applyFill="1" applyBorder="1" applyAlignment="1">
      <alignment vertical="center"/>
    </xf>
    <xf numFmtId="178" fontId="19" fillId="0" borderId="22" xfId="34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/>
    </xf>
    <xf numFmtId="0" fontId="51" fillId="0" borderId="51" xfId="0" applyFont="1" applyBorder="1" applyAlignment="1">
      <alignment horizontal="center"/>
    </xf>
    <xf numFmtId="0" fontId="51" fillId="0" borderId="52" xfId="0" applyFont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52" fillId="0" borderId="88" xfId="0" applyFont="1" applyBorder="1" applyAlignment="1">
      <alignment horizontal="center"/>
    </xf>
    <xf numFmtId="0" fontId="49" fillId="0" borderId="121" xfId="0" applyFont="1" applyBorder="1" applyAlignment="1">
      <alignment horizontal="center" vertical="center"/>
    </xf>
    <xf numFmtId="0" fontId="56" fillId="0" borderId="122" xfId="0" applyFont="1" applyBorder="1" applyAlignment="1">
      <alignment horizontal="center" vertical="center"/>
    </xf>
    <xf numFmtId="49" fontId="49" fillId="0" borderId="123" xfId="0" applyNumberFormat="1" applyFont="1" applyBorder="1" applyAlignment="1">
      <alignment horizontal="center" vertical="center"/>
    </xf>
    <xf numFmtId="49" fontId="16" fillId="0" borderId="124" xfId="0" applyNumberFormat="1" applyFont="1" applyBorder="1" applyAlignment="1">
      <alignment horizontal="center" vertical="center"/>
    </xf>
    <xf numFmtId="0" fontId="50" fillId="25" borderId="121" xfId="0" applyFont="1" applyFill="1" applyBorder="1" applyAlignment="1">
      <alignment horizontal="center" vertical="center"/>
    </xf>
    <xf numFmtId="0" fontId="57" fillId="25" borderId="122" xfId="0" applyFont="1" applyFill="1" applyBorder="1" applyAlignment="1">
      <alignment horizontal="center" vertical="center"/>
    </xf>
    <xf numFmtId="176" fontId="50" fillId="0" borderId="125" xfId="0" applyNumberFormat="1" applyFont="1" applyBorder="1" applyAlignment="1">
      <alignment horizontal="center" vertical="center"/>
    </xf>
    <xf numFmtId="176" fontId="57" fillId="0" borderId="36" xfId="0" applyNumberFormat="1" applyFont="1" applyBorder="1" applyAlignment="1">
      <alignment horizontal="center" vertical="center"/>
    </xf>
    <xf numFmtId="176" fontId="48" fillId="25" borderId="126" xfId="0" applyNumberFormat="1" applyFont="1" applyFill="1" applyBorder="1" applyAlignment="1">
      <alignment horizontal="center" vertical="center"/>
    </xf>
    <xf numFmtId="176" fontId="54" fillId="25" borderId="35" xfId="0" applyNumberFormat="1" applyFont="1" applyFill="1" applyBorder="1" applyAlignment="1">
      <alignment horizontal="center" vertical="center"/>
    </xf>
    <xf numFmtId="176" fontId="50" fillId="0" borderId="127" xfId="0" applyNumberFormat="1" applyFont="1" applyBorder="1" applyAlignment="1">
      <alignment horizontal="center" vertical="center"/>
    </xf>
    <xf numFmtId="176" fontId="57" fillId="0" borderId="37" xfId="0" applyNumberFormat="1" applyFont="1" applyBorder="1" applyAlignment="1">
      <alignment horizontal="center" vertical="center"/>
    </xf>
    <xf numFmtId="0" fontId="33" fillId="0" borderId="89" xfId="33" applyFont="1" applyBorder="1" applyAlignment="1">
      <alignment horizontal="center"/>
    </xf>
    <xf numFmtId="0" fontId="33" fillId="0" borderId="25" xfId="33" applyFont="1" applyBorder="1" applyAlignment="1">
      <alignment horizontal="center"/>
    </xf>
    <xf numFmtId="0" fontId="33" fillId="0" borderId="26" xfId="33" applyFont="1" applyBorder="1" applyAlignment="1">
      <alignment horizontal="center"/>
    </xf>
    <xf numFmtId="0" fontId="7" fillId="0" borderId="89" xfId="33" applyFont="1" applyBorder="1" applyAlignment="1" applyProtection="1">
      <alignment horizontal="center"/>
    </xf>
    <xf numFmtId="0" fontId="33" fillId="0" borderId="26" xfId="33" applyFont="1" applyBorder="1" applyAlignment="1" applyProtection="1">
      <alignment horizontal="center"/>
    </xf>
    <xf numFmtId="0" fontId="8" fillId="0" borderId="42" xfId="33" applyFont="1" applyBorder="1" applyAlignment="1" applyProtection="1">
      <alignment horizontal="center" vertical="center"/>
    </xf>
    <xf numFmtId="0" fontId="32" fillId="0" borderId="128" xfId="33" applyFont="1" applyBorder="1" applyAlignment="1" applyProtection="1">
      <alignment horizontal="center" vertical="center"/>
    </xf>
    <xf numFmtId="0" fontId="8" fillId="0" borderId="44" xfId="33" applyFont="1" applyBorder="1" applyAlignment="1" applyProtection="1">
      <alignment horizontal="center"/>
    </xf>
    <xf numFmtId="0" fontId="8" fillId="0" borderId="46" xfId="33" applyFont="1" applyBorder="1" applyAlignment="1" applyProtection="1">
      <alignment horizontal="center"/>
    </xf>
    <xf numFmtId="0" fontId="62" fillId="0" borderId="89" xfId="33" applyFont="1" applyBorder="1" applyAlignment="1">
      <alignment horizontal="center"/>
    </xf>
    <xf numFmtId="0" fontId="62" fillId="0" borderId="25" xfId="33" applyFont="1" applyBorder="1" applyAlignment="1">
      <alignment horizontal="center"/>
    </xf>
    <xf numFmtId="0" fontId="62" fillId="0" borderId="26" xfId="33" applyFont="1" applyBorder="1" applyAlignment="1">
      <alignment horizontal="center"/>
    </xf>
    <xf numFmtId="0" fontId="43" fillId="0" borderId="129" xfId="0" applyFont="1" applyBorder="1" applyAlignment="1">
      <alignment horizontal="left" vertical="center" wrapText="1"/>
    </xf>
    <xf numFmtId="0" fontId="43" fillId="0" borderId="130" xfId="0" applyFont="1" applyBorder="1" applyAlignment="1">
      <alignment horizontal="left" vertical="center"/>
    </xf>
    <xf numFmtId="178" fontId="79" fillId="0" borderId="73" xfId="0" applyNumberFormat="1" applyFont="1" applyBorder="1" applyAlignment="1">
      <alignment horizontal="right" vertical="center"/>
    </xf>
    <xf numFmtId="178" fontId="79" fillId="0" borderId="131" xfId="0" applyNumberFormat="1" applyFont="1" applyBorder="1" applyAlignment="1">
      <alignment horizontal="right" vertical="center"/>
    </xf>
    <xf numFmtId="178" fontId="79" fillId="0" borderId="24" xfId="0" applyNumberFormat="1" applyFont="1" applyBorder="1" applyAlignment="1">
      <alignment horizontal="right" vertical="center"/>
    </xf>
    <xf numFmtId="0" fontId="77" fillId="0" borderId="73" xfId="0" applyNumberFormat="1" applyFont="1" applyBorder="1" applyAlignment="1">
      <alignment horizontal="center" vertical="center"/>
    </xf>
    <xf numFmtId="0" fontId="77" fillId="0" borderId="131" xfId="0" applyFont="1" applyBorder="1" applyAlignment="1">
      <alignment horizontal="center" vertical="center"/>
    </xf>
    <xf numFmtId="0" fontId="77" fillId="0" borderId="24" xfId="0" applyFont="1" applyBorder="1" applyAlignment="1">
      <alignment horizontal="center" vertical="center"/>
    </xf>
    <xf numFmtId="0" fontId="77" fillId="0" borderId="73" xfId="0" applyFont="1" applyBorder="1" applyAlignment="1">
      <alignment horizontal="center" vertical="center"/>
    </xf>
    <xf numFmtId="3" fontId="77" fillId="0" borderId="73" xfId="0" applyNumberFormat="1" applyFont="1" applyBorder="1" applyAlignment="1">
      <alignment horizontal="right" vertical="center"/>
    </xf>
    <xf numFmtId="0" fontId="77" fillId="0" borderId="131" xfId="0" applyFont="1" applyBorder="1" applyAlignment="1">
      <alignment horizontal="right" vertical="center"/>
    </xf>
    <xf numFmtId="0" fontId="77" fillId="0" borderId="24" xfId="0" applyFont="1" applyBorder="1" applyAlignment="1">
      <alignment horizontal="right" vertical="center"/>
    </xf>
    <xf numFmtId="3" fontId="78" fillId="0" borderId="73" xfId="0" applyNumberFormat="1" applyFont="1" applyBorder="1" applyAlignment="1">
      <alignment horizontal="right" vertical="center"/>
    </xf>
    <xf numFmtId="0" fontId="78" fillId="0" borderId="131" xfId="0" applyFont="1" applyBorder="1" applyAlignment="1">
      <alignment horizontal="right" vertical="center"/>
    </xf>
    <xf numFmtId="0" fontId="78" fillId="0" borderId="24" xfId="0" applyFont="1" applyBorder="1" applyAlignment="1">
      <alignment horizontal="right" vertical="center"/>
    </xf>
    <xf numFmtId="9" fontId="77" fillId="0" borderId="73" xfId="39" applyFont="1" applyBorder="1" applyAlignment="1">
      <alignment horizontal="right" vertical="center"/>
    </xf>
    <xf numFmtId="9" fontId="77" fillId="0" borderId="131" xfId="39" applyFont="1" applyBorder="1" applyAlignment="1">
      <alignment horizontal="right" vertical="center"/>
    </xf>
    <xf numFmtId="9" fontId="77" fillId="0" borderId="24" xfId="39" applyFont="1" applyBorder="1" applyAlignment="1">
      <alignment horizontal="right" vertical="center"/>
    </xf>
    <xf numFmtId="0" fontId="0" fillId="35" borderId="73" xfId="0" applyFill="1" applyBorder="1" applyAlignment="1">
      <alignment horizontal="center" vertical="center"/>
    </xf>
    <xf numFmtId="0" fontId="0" fillId="35" borderId="131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6" borderId="73" xfId="0" applyFill="1" applyBorder="1" applyAlignment="1">
      <alignment horizontal="center" vertical="center"/>
    </xf>
    <xf numFmtId="0" fontId="0" fillId="36" borderId="131" xfId="0" applyFill="1" applyBorder="1" applyAlignment="1">
      <alignment horizontal="center" vertical="center"/>
    </xf>
    <xf numFmtId="0" fontId="0" fillId="36" borderId="24" xfId="0" applyFill="1" applyBorder="1" applyAlignment="1">
      <alignment horizontal="center" vertical="center"/>
    </xf>
    <xf numFmtId="0" fontId="0" fillId="37" borderId="73" xfId="0" applyFill="1" applyBorder="1" applyAlignment="1">
      <alignment horizontal="center" vertical="center"/>
    </xf>
    <xf numFmtId="0" fontId="0" fillId="37" borderId="131" xfId="0" applyFill="1" applyBorder="1" applyAlignment="1">
      <alignment horizontal="center" vertical="center"/>
    </xf>
    <xf numFmtId="0" fontId="0" fillId="37" borderId="24" xfId="0" applyFill="1" applyBorder="1" applyAlignment="1">
      <alignment horizontal="center" vertical="center"/>
    </xf>
    <xf numFmtId="0" fontId="0" fillId="34" borderId="73" xfId="0" applyFill="1" applyBorder="1" applyAlignment="1">
      <alignment horizontal="center" vertical="center"/>
    </xf>
    <xf numFmtId="0" fontId="0" fillId="34" borderId="131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0" borderId="0" xfId="23" applyFont="1" applyBorder="1" applyAlignment="1">
      <alignment horizontal="center" vertical="center"/>
    </xf>
    <xf numFmtId="0" fontId="71" fillId="0" borderId="0" xfId="23" applyFont="1" applyBorder="1" applyAlignment="1">
      <alignment horizontal="center" vertical="center"/>
    </xf>
    <xf numFmtId="0" fontId="99" fillId="33" borderId="39" xfId="29" applyFont="1" applyFill="1" applyBorder="1" applyAlignment="1">
      <alignment horizontal="center" vertical="center"/>
    </xf>
    <xf numFmtId="0" fontId="99" fillId="33" borderId="108" xfId="29" applyFont="1" applyFill="1" applyBorder="1" applyAlignment="1">
      <alignment horizontal="center" vertical="center"/>
    </xf>
    <xf numFmtId="0" fontId="99" fillId="33" borderId="14" xfId="29" applyFont="1" applyFill="1" applyBorder="1" applyAlignment="1">
      <alignment horizontal="center" vertical="center"/>
    </xf>
    <xf numFmtId="17" fontId="68" fillId="0" borderId="17" xfId="0" applyNumberFormat="1" applyFont="1" applyBorder="1" applyAlignment="1">
      <alignment horizontal="center" vertical="center"/>
    </xf>
    <xf numFmtId="0" fontId="68" fillId="0" borderId="22" xfId="0" applyFont="1" applyBorder="1" applyAlignment="1">
      <alignment horizontal="center" vertical="center"/>
    </xf>
    <xf numFmtId="17" fontId="68" fillId="0" borderId="134" xfId="0" applyNumberFormat="1" applyFont="1" applyBorder="1" applyAlignment="1">
      <alignment horizontal="center" vertical="center"/>
    </xf>
    <xf numFmtId="0" fontId="68" fillId="0" borderId="135" xfId="0" applyFont="1" applyBorder="1" applyAlignment="1">
      <alignment horizontal="center" vertical="center"/>
    </xf>
    <xf numFmtId="17" fontId="68" fillId="0" borderId="136" xfId="0" applyNumberFormat="1" applyFont="1" applyBorder="1" applyAlignment="1">
      <alignment horizontal="center" vertical="center" wrapText="1"/>
    </xf>
    <xf numFmtId="0" fontId="68" fillId="0" borderId="111" xfId="0" applyFont="1" applyBorder="1" applyAlignment="1">
      <alignment horizontal="center" vertical="center" wrapText="1"/>
    </xf>
    <xf numFmtId="0" fontId="68" fillId="0" borderId="137" xfId="0" applyFont="1" applyBorder="1" applyAlignment="1">
      <alignment vertical="center" wrapText="1"/>
    </xf>
    <xf numFmtId="0" fontId="68" fillId="0" borderId="132" xfId="0" applyFont="1" applyBorder="1" applyAlignment="1">
      <alignment horizontal="left" vertical="center" wrapText="1"/>
    </xf>
    <xf numFmtId="0" fontId="68" fillId="0" borderId="133" xfId="0" applyFont="1" applyBorder="1" applyAlignment="1">
      <alignment horizontal="left" vertical="center" wrapText="1"/>
    </xf>
  </cellXfs>
  <cellStyles count="60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一般" xfId="0" builtinId="0"/>
    <cellStyle name="一般 10" xfId="19"/>
    <cellStyle name="一般 11" xfId="20"/>
    <cellStyle name="一般 13" xfId="21"/>
    <cellStyle name="一般 2" xfId="22"/>
    <cellStyle name="一般 2 2" xfId="23"/>
    <cellStyle name="一般 2 4" xfId="24"/>
    <cellStyle name="一般 3" xfId="25"/>
    <cellStyle name="一般 4" xfId="26"/>
    <cellStyle name="一般 5" xfId="27"/>
    <cellStyle name="一般 6" xfId="28"/>
    <cellStyle name="一般 7" xfId="29"/>
    <cellStyle name="一般 8" xfId="30"/>
    <cellStyle name="一般 9" xfId="31"/>
    <cellStyle name="一般_10005芳療處業績表" xfId="32"/>
    <cellStyle name="一般_104 12敦南門市毎日業績表" xfId="33"/>
    <cellStyle name="千分位" xfId="34" builtinId="3"/>
    <cellStyle name="千分位 2" xfId="35"/>
    <cellStyle name="中等" xfId="36"/>
    <cellStyle name="合計" xfId="37"/>
    <cellStyle name="好" xfId="38"/>
    <cellStyle name="百分比" xfId="39" builtinId="5"/>
    <cellStyle name="計算方式" xfId="40"/>
    <cellStyle name="連結的儲存格" xfId="41"/>
    <cellStyle name="備註" xfId="42"/>
    <cellStyle name="說明文字" xfId="43"/>
    <cellStyle name="輔色1" xfId="44"/>
    <cellStyle name="輔色2" xfId="45"/>
    <cellStyle name="輔色3" xfId="46"/>
    <cellStyle name="輔色4" xfId="47"/>
    <cellStyle name="輔色5" xfId="48"/>
    <cellStyle name="輔色6" xfId="49"/>
    <cellStyle name="標題" xfId="50"/>
    <cellStyle name="標題 1" xfId="51"/>
    <cellStyle name="標題 2" xfId="52"/>
    <cellStyle name="標題 3" xfId="53"/>
    <cellStyle name="標題 4" xfId="54"/>
    <cellStyle name="輸入" xfId="55"/>
    <cellStyle name="輸出" xfId="56"/>
    <cellStyle name="檢查儲存格" xfId="57"/>
    <cellStyle name="壞" xfId="58"/>
    <cellStyle name="警告文字" xfId="5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3.6257351353882666E-2"/>
          <c:y val="5.5336075176157927E-2"/>
          <c:w val="0.87251561645157205"/>
          <c:h val="0.80632566685259865"/>
        </c:manualLayout>
      </c:layout>
      <c:barChart>
        <c:barDir val="col"/>
        <c:grouping val="clustered"/>
        <c:ser>
          <c:idx val="0"/>
          <c:order val="0"/>
          <c:tx>
            <c:strRef>
              <c:f>年度業績圖表!$A$4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年度業績圖表!$B$2:$M$2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年度業績圖表!$B$4:$M$4</c:f>
              <c:numCache>
                <c:formatCode>#,##0</c:formatCode>
                <c:ptCount val="12"/>
              </c:numCache>
            </c:numRef>
          </c:val>
        </c:ser>
        <c:ser>
          <c:idx val="1"/>
          <c:order val="1"/>
          <c:tx>
            <c:strRef>
              <c:f>年度業績圖表!$A$3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年度業績圖表!$B$2:$M$2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年度業績圖表!$B$3:$M$3</c:f>
              <c:numCache>
                <c:formatCode>#,##0</c:formatCode>
                <c:ptCount val="12"/>
                <c:pt idx="0">
                  <c:v>600244</c:v>
                </c:pt>
                <c:pt idx="1">
                  <c:v>400326</c:v>
                </c:pt>
                <c:pt idx="2">
                  <c:v>502823</c:v>
                </c:pt>
                <c:pt idx="3">
                  <c:v>648202</c:v>
                </c:pt>
                <c:pt idx="4">
                  <c:v>656423</c:v>
                </c:pt>
                <c:pt idx="5">
                  <c:v>401334</c:v>
                </c:pt>
                <c:pt idx="6">
                  <c:v>630132</c:v>
                </c:pt>
                <c:pt idx="7">
                  <c:v>500274</c:v>
                </c:pt>
                <c:pt idx="8">
                  <c:v>451089</c:v>
                </c:pt>
                <c:pt idx="9">
                  <c:v>400464</c:v>
                </c:pt>
                <c:pt idx="10">
                  <c:v>600656</c:v>
                </c:pt>
                <c:pt idx="11" formatCode="General">
                  <c:v>430237</c:v>
                </c:pt>
              </c:numCache>
            </c:numRef>
          </c:val>
        </c:ser>
        <c:axId val="68631552"/>
        <c:axId val="68633344"/>
      </c:barChart>
      <c:catAx>
        <c:axId val="68631552"/>
        <c:scaling>
          <c:orientation val="minMax"/>
        </c:scaling>
        <c:axPos val="b"/>
        <c:numFmt formatCode="General" sourceLinked="1"/>
        <c:tickLblPos val="nextTo"/>
        <c:crossAx val="68633344"/>
        <c:crosses val="autoZero"/>
        <c:auto val="1"/>
        <c:lblAlgn val="ctr"/>
        <c:lblOffset val="100"/>
      </c:catAx>
      <c:valAx>
        <c:axId val="68633344"/>
        <c:scaling>
          <c:orientation val="minMax"/>
        </c:scaling>
        <c:axPos val="l"/>
        <c:majorGridlines/>
        <c:numFmt formatCode="#,##0" sourceLinked="1"/>
        <c:tickLblPos val="nextTo"/>
        <c:crossAx val="68631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730107981468769"/>
          <c:y val="0.40796993152059957"/>
          <c:w val="5.2281438813437123E-2"/>
          <c:h val="0.16905452328373749"/>
        </c:manualLayout>
      </c:layout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18</xdr:row>
      <xdr:rowOff>83820</xdr:rowOff>
    </xdr:from>
    <xdr:to>
      <xdr:col>13</xdr:col>
      <xdr:colOff>7620</xdr:colOff>
      <xdr:row>31</xdr:row>
      <xdr:rowOff>99060</xdr:rowOff>
    </xdr:to>
    <xdr:graphicFrame macro="">
      <xdr:nvGraphicFramePr>
        <xdr:cNvPr id="2625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4"/>
  <sheetViews>
    <sheetView tabSelected="1" topLeftCell="A4" zoomScale="81" zoomScaleNormal="81" workbookViewId="0">
      <selection activeCell="J32" sqref="J32"/>
    </sheetView>
  </sheetViews>
  <sheetFormatPr defaultRowHeight="16.2"/>
  <cols>
    <col min="3" max="6" width="13.77734375" customWidth="1"/>
    <col min="7" max="7" width="9.6640625" customWidth="1"/>
    <col min="8" max="8" width="9.33203125" customWidth="1"/>
    <col min="10" max="10" width="9.33203125" customWidth="1"/>
    <col min="11" max="11" width="9.33203125" bestFit="1" customWidth="1"/>
    <col min="13" max="13" width="10.5546875" customWidth="1"/>
  </cols>
  <sheetData>
    <row r="1" spans="1:17" ht="28.2">
      <c r="A1" s="422" t="s">
        <v>79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4"/>
    </row>
    <row r="2" spans="1:17" ht="23.4">
      <c r="A2" s="425" t="s">
        <v>193</v>
      </c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7"/>
    </row>
    <row r="3" spans="1:17" ht="23.4">
      <c r="A3" s="206"/>
      <c r="B3" s="207"/>
      <c r="C3" s="207"/>
      <c r="D3" s="208"/>
      <c r="E3" s="209"/>
      <c r="F3" s="209"/>
      <c r="G3" s="209"/>
      <c r="H3" s="209"/>
      <c r="I3" s="209"/>
      <c r="J3" s="209"/>
      <c r="K3" s="209"/>
      <c r="L3" s="209"/>
      <c r="M3" s="209"/>
      <c r="N3" s="210"/>
      <c r="O3" s="211"/>
    </row>
    <row r="4" spans="1:17">
      <c r="A4" s="212" t="s">
        <v>0</v>
      </c>
      <c r="B4" s="213"/>
      <c r="C4" s="214">
        <v>600000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10"/>
      <c r="O4" s="211"/>
    </row>
    <row r="5" spans="1:17" ht="16.8" thickBot="1">
      <c r="A5" s="215" t="s">
        <v>80</v>
      </c>
      <c r="B5" s="216"/>
      <c r="C5" s="217">
        <f>600000/23</f>
        <v>26086.956521739132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10"/>
      <c r="O5" s="211"/>
      <c r="Q5" t="s">
        <v>97</v>
      </c>
    </row>
    <row r="6" spans="1:17" ht="18.600000000000001">
      <c r="A6" s="428" t="s">
        <v>81</v>
      </c>
      <c r="B6" s="430" t="s">
        <v>82</v>
      </c>
      <c r="C6" s="432" t="s">
        <v>83</v>
      </c>
      <c r="D6" s="434" t="s">
        <v>109</v>
      </c>
      <c r="E6" s="436" t="s">
        <v>84</v>
      </c>
      <c r="F6" s="438" t="s">
        <v>110</v>
      </c>
      <c r="G6" s="218" t="s">
        <v>85</v>
      </c>
      <c r="H6" s="219"/>
      <c r="I6" s="219"/>
      <c r="J6" s="219"/>
      <c r="K6" s="219"/>
      <c r="L6" s="219"/>
      <c r="M6" s="219"/>
      <c r="N6" s="219"/>
      <c r="O6" s="220"/>
    </row>
    <row r="7" spans="1:17" ht="31.8" thickBot="1">
      <c r="A7" s="429"/>
      <c r="B7" s="431"/>
      <c r="C7" s="433"/>
      <c r="D7" s="435"/>
      <c r="E7" s="437"/>
      <c r="F7" s="439"/>
      <c r="G7" s="221" t="s">
        <v>86</v>
      </c>
      <c r="H7" s="222" t="s">
        <v>87</v>
      </c>
      <c r="I7" s="222" t="s">
        <v>88</v>
      </c>
      <c r="J7" s="222" t="s">
        <v>89</v>
      </c>
      <c r="K7" s="222" t="s">
        <v>90</v>
      </c>
      <c r="L7" s="223" t="s">
        <v>91</v>
      </c>
      <c r="M7" s="224" t="s">
        <v>92</v>
      </c>
      <c r="N7" s="225" t="s">
        <v>93</v>
      </c>
      <c r="O7" s="226" t="s">
        <v>94</v>
      </c>
    </row>
    <row r="8" spans="1:17" ht="16.5" customHeight="1" thickTop="1">
      <c r="A8" s="74">
        <v>42768</v>
      </c>
      <c r="B8" s="281" t="s">
        <v>99</v>
      </c>
      <c r="C8" s="283">
        <f>C5</f>
        <v>26086.956521739132</v>
      </c>
      <c r="D8" s="282">
        <f>F8-C8</f>
        <v>18593.043478260868</v>
      </c>
      <c r="E8" s="227">
        <f>SUM(G8:H8,J8:K8)</f>
        <v>44680</v>
      </c>
      <c r="F8" s="284">
        <f>E8</f>
        <v>44680</v>
      </c>
      <c r="G8" s="78">
        <f>1000+2860+820</f>
        <v>4680</v>
      </c>
      <c r="H8" s="79">
        <f>30000+10000</f>
        <v>40000</v>
      </c>
      <c r="I8" s="80"/>
      <c r="J8" s="81"/>
      <c r="K8" s="81"/>
      <c r="L8" s="82">
        <v>1</v>
      </c>
      <c r="M8" s="230">
        <f>L8</f>
        <v>1</v>
      </c>
      <c r="N8" s="231"/>
      <c r="O8" s="258">
        <f>N8</f>
        <v>0</v>
      </c>
    </row>
    <row r="9" spans="1:17" ht="16.5" customHeight="1">
      <c r="A9" s="74">
        <v>42769</v>
      </c>
      <c r="B9" s="281" t="s">
        <v>161</v>
      </c>
      <c r="C9" s="283">
        <f>C8+$C$5</f>
        <v>52173.913043478264</v>
      </c>
      <c r="D9" s="282">
        <f t="shared" ref="D9:D30" si="0">F9-C9</f>
        <v>-5331.9130434782637</v>
      </c>
      <c r="E9" s="227">
        <f t="shared" ref="E9:E30" si="1">SUM(G9:H9,J9:K9)</f>
        <v>2162</v>
      </c>
      <c r="F9" s="285">
        <f t="shared" ref="F9:F30" si="2">F8+E9</f>
        <v>46842</v>
      </c>
      <c r="G9" s="83">
        <f>952+1210</f>
        <v>2162</v>
      </c>
      <c r="H9" s="77"/>
      <c r="I9" s="84"/>
      <c r="J9" s="81"/>
      <c r="K9" s="81"/>
      <c r="L9" s="85">
        <v>2</v>
      </c>
      <c r="M9" s="230">
        <f>M8+L9</f>
        <v>3</v>
      </c>
      <c r="N9" s="230"/>
      <c r="O9" s="259">
        <f>O8+N9</f>
        <v>0</v>
      </c>
    </row>
    <row r="10" spans="1:17" ht="16.5" customHeight="1">
      <c r="A10" s="74">
        <v>42770</v>
      </c>
      <c r="B10" s="281" t="s">
        <v>162</v>
      </c>
      <c r="C10" s="283">
        <f t="shared" ref="C10:C30" si="3">C9+$C$5</f>
        <v>78260.869565217392</v>
      </c>
      <c r="D10" s="282">
        <f t="shared" si="0"/>
        <v>3564.1304347826081</v>
      </c>
      <c r="E10" s="227">
        <f t="shared" si="1"/>
        <v>34983</v>
      </c>
      <c r="F10" s="285">
        <f t="shared" si="2"/>
        <v>81825</v>
      </c>
      <c r="G10" s="235">
        <f>1160+1660+1645+660+5540</f>
        <v>10665</v>
      </c>
      <c r="H10" s="227"/>
      <c r="I10" s="227"/>
      <c r="J10" s="236"/>
      <c r="K10" s="237">
        <f>9131+15187</f>
        <v>24318</v>
      </c>
      <c r="L10" s="234"/>
      <c r="M10" s="230">
        <f t="shared" ref="M10:M28" si="4">M9+L10</f>
        <v>3</v>
      </c>
      <c r="N10" s="230"/>
      <c r="O10" s="259">
        <f t="shared" ref="O10:O28" si="5">O9+N10</f>
        <v>0</v>
      </c>
    </row>
    <row r="11" spans="1:17" ht="16.5" customHeight="1">
      <c r="A11" s="74">
        <v>42772</v>
      </c>
      <c r="B11" s="281" t="s">
        <v>163</v>
      </c>
      <c r="C11" s="283">
        <f t="shared" si="3"/>
        <v>104347.82608695653</v>
      </c>
      <c r="D11" s="282">
        <f t="shared" si="0"/>
        <v>15031.173913043473</v>
      </c>
      <c r="E11" s="227">
        <f t="shared" si="1"/>
        <v>37554</v>
      </c>
      <c r="F11" s="285">
        <f t="shared" si="2"/>
        <v>119379</v>
      </c>
      <c r="G11" s="232">
        <f>715+10000+10000</f>
        <v>20715</v>
      </c>
      <c r="H11" s="227">
        <f>1080+1750+2320+3200+3000</f>
        <v>11350</v>
      </c>
      <c r="I11" s="238"/>
      <c r="J11" s="239"/>
      <c r="K11" s="239">
        <v>5489</v>
      </c>
      <c r="L11" s="240">
        <v>2</v>
      </c>
      <c r="M11" s="230">
        <f t="shared" si="4"/>
        <v>5</v>
      </c>
      <c r="N11" s="230">
        <v>4</v>
      </c>
      <c r="O11" s="259">
        <f t="shared" si="5"/>
        <v>4</v>
      </c>
    </row>
    <row r="12" spans="1:17" ht="16.5" customHeight="1">
      <c r="A12" s="74">
        <v>42773</v>
      </c>
      <c r="B12" s="281" t="s">
        <v>98</v>
      </c>
      <c r="C12" s="283">
        <f t="shared" si="3"/>
        <v>130434.78260869566</v>
      </c>
      <c r="D12" s="282">
        <f t="shared" si="0"/>
        <v>14134.217391304337</v>
      </c>
      <c r="E12" s="227">
        <f t="shared" si="1"/>
        <v>25190</v>
      </c>
      <c r="F12" s="285">
        <f t="shared" si="2"/>
        <v>144569</v>
      </c>
      <c r="G12" s="232">
        <f>3025+525</f>
        <v>3550</v>
      </c>
      <c r="H12" s="241">
        <f>20000+1640</f>
        <v>21640</v>
      </c>
      <c r="I12" s="241"/>
      <c r="J12" s="229"/>
      <c r="K12" s="229"/>
      <c r="L12" s="234"/>
      <c r="M12" s="230">
        <f t="shared" si="4"/>
        <v>5</v>
      </c>
      <c r="N12" s="230"/>
      <c r="O12" s="259">
        <f t="shared" si="5"/>
        <v>4</v>
      </c>
    </row>
    <row r="13" spans="1:17" ht="16.5" customHeight="1">
      <c r="A13" s="74">
        <v>42774</v>
      </c>
      <c r="B13" s="281" t="s">
        <v>164</v>
      </c>
      <c r="C13" s="283">
        <f t="shared" si="3"/>
        <v>156521.73913043478</v>
      </c>
      <c r="D13" s="282">
        <f t="shared" si="0"/>
        <v>-8910.7391304347839</v>
      </c>
      <c r="E13" s="227">
        <f t="shared" si="1"/>
        <v>3042</v>
      </c>
      <c r="F13" s="285">
        <f t="shared" si="2"/>
        <v>147611</v>
      </c>
      <c r="G13" s="232">
        <v>3042</v>
      </c>
      <c r="H13" s="241"/>
      <c r="I13" s="241"/>
      <c r="J13" s="229"/>
      <c r="K13" s="229"/>
      <c r="L13" s="234">
        <v>1</v>
      </c>
      <c r="M13" s="230">
        <f t="shared" si="4"/>
        <v>6</v>
      </c>
      <c r="N13" s="230"/>
      <c r="O13" s="259">
        <f t="shared" si="5"/>
        <v>4</v>
      </c>
    </row>
    <row r="14" spans="1:17" ht="16.5" customHeight="1">
      <c r="A14" s="74">
        <v>42775</v>
      </c>
      <c r="B14" s="281" t="s">
        <v>99</v>
      </c>
      <c r="C14" s="283">
        <f t="shared" si="3"/>
        <v>182608.69565217392</v>
      </c>
      <c r="D14" s="282">
        <f t="shared" si="0"/>
        <v>-29367.695652173919</v>
      </c>
      <c r="E14" s="227">
        <f t="shared" si="1"/>
        <v>5630</v>
      </c>
      <c r="F14" s="285">
        <f t="shared" si="2"/>
        <v>153241</v>
      </c>
      <c r="G14" s="232">
        <v>900</v>
      </c>
      <c r="H14" s="241">
        <v>4730</v>
      </c>
      <c r="I14" s="241"/>
      <c r="J14" s="229"/>
      <c r="K14" s="229"/>
      <c r="L14" s="234"/>
      <c r="M14" s="230">
        <f t="shared" si="4"/>
        <v>6</v>
      </c>
      <c r="N14" s="230">
        <v>2</v>
      </c>
      <c r="O14" s="259">
        <f t="shared" si="5"/>
        <v>6</v>
      </c>
    </row>
    <row r="15" spans="1:17" ht="16.5" customHeight="1">
      <c r="A15" s="74">
        <v>42776</v>
      </c>
      <c r="B15" s="281" t="s">
        <v>161</v>
      </c>
      <c r="C15" s="283">
        <f t="shared" si="3"/>
        <v>208695.65217391305</v>
      </c>
      <c r="D15" s="282">
        <f t="shared" si="0"/>
        <v>-41217.652173913055</v>
      </c>
      <c r="E15" s="227">
        <f t="shared" si="1"/>
        <v>14237</v>
      </c>
      <c r="F15" s="285">
        <f t="shared" si="2"/>
        <v>167478</v>
      </c>
      <c r="G15" s="232">
        <f>1160</f>
        <v>1160</v>
      </c>
      <c r="H15" s="241"/>
      <c r="I15" s="241"/>
      <c r="J15" s="229">
        <v>5689</v>
      </c>
      <c r="K15" s="229">
        <v>7388</v>
      </c>
      <c r="L15" s="234"/>
      <c r="M15" s="230">
        <f t="shared" si="4"/>
        <v>6</v>
      </c>
      <c r="N15" s="230"/>
      <c r="O15" s="259">
        <f t="shared" si="5"/>
        <v>6</v>
      </c>
    </row>
    <row r="16" spans="1:17" ht="16.5" customHeight="1">
      <c r="A16" s="74">
        <v>42777</v>
      </c>
      <c r="B16" s="281" t="s">
        <v>162</v>
      </c>
      <c r="C16" s="283">
        <f t="shared" si="3"/>
        <v>234782.60869565219</v>
      </c>
      <c r="D16" s="282">
        <f t="shared" si="0"/>
        <v>-55264.60869565219</v>
      </c>
      <c r="E16" s="227">
        <f t="shared" si="1"/>
        <v>12040</v>
      </c>
      <c r="F16" s="285">
        <f t="shared" si="2"/>
        <v>179518</v>
      </c>
      <c r="G16" s="232">
        <f>10000+520+520+1000</f>
        <v>12040</v>
      </c>
      <c r="H16" s="227"/>
      <c r="I16" s="233">
        <f>980</f>
        <v>980</v>
      </c>
      <c r="J16" s="243"/>
      <c r="K16" s="229"/>
      <c r="L16" s="234"/>
      <c r="M16" s="230">
        <f t="shared" si="4"/>
        <v>6</v>
      </c>
      <c r="N16" s="230">
        <v>4</v>
      </c>
      <c r="O16" s="259">
        <f t="shared" si="5"/>
        <v>10</v>
      </c>
    </row>
    <row r="17" spans="1:23" ht="16.5" customHeight="1">
      <c r="A17" s="74">
        <v>42779</v>
      </c>
      <c r="B17" s="281" t="s">
        <v>163</v>
      </c>
      <c r="C17" s="283">
        <f t="shared" si="3"/>
        <v>260869.56521739133</v>
      </c>
      <c r="D17" s="282">
        <f t="shared" si="0"/>
        <v>-51543.565217391326</v>
      </c>
      <c r="E17" s="227">
        <f t="shared" si="1"/>
        <v>29808</v>
      </c>
      <c r="F17" s="285">
        <f t="shared" si="2"/>
        <v>209326</v>
      </c>
      <c r="G17" s="232">
        <f>2375+5937+828+3200</f>
        <v>12340</v>
      </c>
      <c r="H17" s="241">
        <f>1040+2400+10000</f>
        <v>13440</v>
      </c>
      <c r="I17" s="241"/>
      <c r="J17" s="229">
        <v>4028</v>
      </c>
      <c r="K17" s="229"/>
      <c r="L17" s="234">
        <v>4</v>
      </c>
      <c r="M17" s="230">
        <f t="shared" si="4"/>
        <v>10</v>
      </c>
      <c r="N17" s="230">
        <v>2</v>
      </c>
      <c r="O17" s="259">
        <f t="shared" si="5"/>
        <v>12</v>
      </c>
    </row>
    <row r="18" spans="1:23" ht="16.5" customHeight="1">
      <c r="A18" s="74">
        <v>42780</v>
      </c>
      <c r="B18" s="281" t="s">
        <v>98</v>
      </c>
      <c r="C18" s="283">
        <f t="shared" si="3"/>
        <v>286956.52173913043</v>
      </c>
      <c r="D18" s="282">
        <f t="shared" si="0"/>
        <v>-41288.521739130432</v>
      </c>
      <c r="E18" s="227">
        <f t="shared" si="1"/>
        <v>36342</v>
      </c>
      <c r="F18" s="285">
        <f t="shared" si="2"/>
        <v>245668</v>
      </c>
      <c r="G18" s="244">
        <f>2496+1500</f>
        <v>3996</v>
      </c>
      <c r="H18" s="241">
        <f>1246+1100</f>
        <v>2346</v>
      </c>
      <c r="I18" s="241"/>
      <c r="J18" s="242">
        <v>30000</v>
      </c>
      <c r="K18" s="229"/>
      <c r="L18" s="234">
        <f>1+1</f>
        <v>2</v>
      </c>
      <c r="M18" s="230">
        <f t="shared" si="4"/>
        <v>12</v>
      </c>
      <c r="N18" s="230">
        <v>2</v>
      </c>
      <c r="O18" s="259">
        <f t="shared" si="5"/>
        <v>14</v>
      </c>
    </row>
    <row r="19" spans="1:23" ht="16.5" customHeight="1">
      <c r="A19" s="74">
        <v>42781</v>
      </c>
      <c r="B19" s="281" t="s">
        <v>164</v>
      </c>
      <c r="C19" s="283">
        <f t="shared" si="3"/>
        <v>313043.47826086957</v>
      </c>
      <c r="D19" s="282">
        <f t="shared" si="0"/>
        <v>-58063.478260869568</v>
      </c>
      <c r="E19" s="227">
        <f t="shared" si="1"/>
        <v>9312</v>
      </c>
      <c r="F19" s="285">
        <f t="shared" si="2"/>
        <v>254980</v>
      </c>
      <c r="G19" s="232"/>
      <c r="H19" s="241">
        <f>899</f>
        <v>899</v>
      </c>
      <c r="I19" s="241"/>
      <c r="J19" s="280"/>
      <c r="K19" s="229">
        <v>8413</v>
      </c>
      <c r="L19" s="234">
        <v>1</v>
      </c>
      <c r="M19" s="230">
        <f t="shared" si="4"/>
        <v>13</v>
      </c>
      <c r="N19" s="230"/>
      <c r="O19" s="259">
        <f t="shared" si="5"/>
        <v>14</v>
      </c>
    </row>
    <row r="20" spans="1:23" ht="16.5" customHeight="1">
      <c r="A20" s="74">
        <v>42782</v>
      </c>
      <c r="B20" s="281" t="s">
        <v>99</v>
      </c>
      <c r="C20" s="283">
        <f t="shared" si="3"/>
        <v>339130.4347826087</v>
      </c>
      <c r="D20" s="282">
        <f t="shared" si="0"/>
        <v>-74339.434782608703</v>
      </c>
      <c r="E20" s="227">
        <f t="shared" si="1"/>
        <v>9811</v>
      </c>
      <c r="F20" s="285">
        <f t="shared" si="2"/>
        <v>264791</v>
      </c>
      <c r="G20" s="232">
        <f>544+460+475+1060+1280+1280</f>
        <v>5099</v>
      </c>
      <c r="H20" s="241"/>
      <c r="I20" s="241"/>
      <c r="J20" s="229"/>
      <c r="K20" s="229">
        <v>4712</v>
      </c>
      <c r="L20" s="234">
        <v>5</v>
      </c>
      <c r="M20" s="230">
        <f t="shared" si="4"/>
        <v>18</v>
      </c>
      <c r="N20" s="230">
        <v>1</v>
      </c>
      <c r="O20" s="259">
        <f t="shared" si="5"/>
        <v>15</v>
      </c>
      <c r="T20" t="s">
        <v>117</v>
      </c>
    </row>
    <row r="21" spans="1:23" ht="16.5" customHeight="1">
      <c r="A21" s="74">
        <v>42783</v>
      </c>
      <c r="B21" s="281" t="s">
        <v>161</v>
      </c>
      <c r="C21" s="283">
        <f t="shared" si="3"/>
        <v>365217.39130434784</v>
      </c>
      <c r="D21" s="282">
        <f t="shared" si="0"/>
        <v>-94979.391304347839</v>
      </c>
      <c r="E21" s="227">
        <f t="shared" si="1"/>
        <v>5447</v>
      </c>
      <c r="F21" s="285">
        <f t="shared" si="2"/>
        <v>270238</v>
      </c>
      <c r="G21" s="232">
        <f>2430+980+2037</f>
        <v>5447</v>
      </c>
      <c r="H21" s="241"/>
      <c r="I21" s="419"/>
      <c r="J21" s="242"/>
      <c r="K21" s="229"/>
      <c r="L21" s="234">
        <v>1</v>
      </c>
      <c r="M21" s="230">
        <f t="shared" si="4"/>
        <v>19</v>
      </c>
      <c r="N21" s="230">
        <v>2</v>
      </c>
      <c r="O21" s="259">
        <f t="shared" si="5"/>
        <v>17</v>
      </c>
    </row>
    <row r="22" spans="1:23" ht="16.5" customHeight="1">
      <c r="A22" s="74">
        <v>42784</v>
      </c>
      <c r="B22" s="281" t="s">
        <v>162</v>
      </c>
      <c r="C22" s="283">
        <f t="shared" si="3"/>
        <v>391304.34782608697</v>
      </c>
      <c r="D22" s="282">
        <f t="shared" si="0"/>
        <v>-112626.34782608697</v>
      </c>
      <c r="E22" s="227">
        <f t="shared" si="1"/>
        <v>8440</v>
      </c>
      <c r="F22" s="285">
        <f t="shared" si="2"/>
        <v>278678</v>
      </c>
      <c r="G22" s="279">
        <f>1740+840+1840+4020</f>
        <v>8440</v>
      </c>
      <c r="H22" s="418"/>
      <c r="I22" s="420"/>
      <c r="J22" s="421"/>
      <c r="K22" s="229"/>
      <c r="L22" s="234">
        <v>1</v>
      </c>
      <c r="M22" s="230">
        <f t="shared" si="4"/>
        <v>20</v>
      </c>
      <c r="N22" s="230">
        <v>2</v>
      </c>
      <c r="O22" s="259">
        <f t="shared" si="5"/>
        <v>19</v>
      </c>
      <c r="S22" t="s">
        <v>108</v>
      </c>
      <c r="T22" t="s">
        <v>100</v>
      </c>
    </row>
    <row r="23" spans="1:23" ht="16.5" customHeight="1">
      <c r="A23" s="74">
        <v>42786</v>
      </c>
      <c r="B23" s="281" t="s">
        <v>163</v>
      </c>
      <c r="C23" s="283">
        <f t="shared" si="3"/>
        <v>417391.30434782611</v>
      </c>
      <c r="D23" s="282">
        <f t="shared" si="0"/>
        <v>-119907.30434782611</v>
      </c>
      <c r="E23" s="227">
        <f t="shared" si="1"/>
        <v>18806</v>
      </c>
      <c r="F23" s="285">
        <f t="shared" si="2"/>
        <v>297484</v>
      </c>
      <c r="G23" s="232">
        <f>1044+2084+4610+1500</f>
        <v>9238</v>
      </c>
      <c r="H23" s="228">
        <v>1050</v>
      </c>
      <c r="I23" s="241"/>
      <c r="J23" s="242"/>
      <c r="K23" s="229">
        <v>8518</v>
      </c>
      <c r="L23" s="245">
        <v>4</v>
      </c>
      <c r="M23" s="230">
        <f t="shared" si="4"/>
        <v>24</v>
      </c>
      <c r="N23" s="230">
        <v>1</v>
      </c>
      <c r="O23" s="259">
        <f t="shared" si="5"/>
        <v>20</v>
      </c>
    </row>
    <row r="24" spans="1:23" ht="16.5" customHeight="1">
      <c r="A24" s="74">
        <v>42787</v>
      </c>
      <c r="B24" s="281" t="s">
        <v>98</v>
      </c>
      <c r="C24" s="283">
        <f t="shared" si="3"/>
        <v>443478.26086956525</v>
      </c>
      <c r="D24" s="282">
        <f t="shared" si="0"/>
        <v>-85757.260869565245</v>
      </c>
      <c r="E24" s="227">
        <f t="shared" si="1"/>
        <v>60237</v>
      </c>
      <c r="F24" s="285">
        <f t="shared" si="2"/>
        <v>357721</v>
      </c>
      <c r="G24" s="413">
        <f>1610+3532+8090+5228+21052+4280</f>
        <v>43792</v>
      </c>
      <c r="H24" s="228"/>
      <c r="I24" s="241"/>
      <c r="J24" s="242">
        <f>1696+8533</f>
        <v>10229</v>
      </c>
      <c r="K24" s="229">
        <v>6216</v>
      </c>
      <c r="L24" s="245">
        <v>8</v>
      </c>
      <c r="M24" s="230">
        <f t="shared" si="4"/>
        <v>32</v>
      </c>
      <c r="N24" s="230"/>
      <c r="O24" s="259">
        <f t="shared" si="5"/>
        <v>20</v>
      </c>
    </row>
    <row r="25" spans="1:23" ht="16.5" customHeight="1">
      <c r="A25" s="74">
        <v>42788</v>
      </c>
      <c r="B25" s="281" t="s">
        <v>164</v>
      </c>
      <c r="C25" s="283">
        <f t="shared" si="3"/>
        <v>469565.21739130438</v>
      </c>
      <c r="D25" s="282">
        <f t="shared" si="0"/>
        <v>-109308.21739130438</v>
      </c>
      <c r="E25" s="227">
        <f t="shared" si="1"/>
        <v>2536</v>
      </c>
      <c r="F25" s="285">
        <f t="shared" si="2"/>
        <v>360257</v>
      </c>
      <c r="G25" s="232">
        <f>544+1992</f>
        <v>2536</v>
      </c>
      <c r="H25" s="228"/>
      <c r="I25" s="241"/>
      <c r="J25" s="242"/>
      <c r="K25" s="229"/>
      <c r="L25" s="245">
        <v>2</v>
      </c>
      <c r="M25" s="230">
        <f t="shared" si="4"/>
        <v>34</v>
      </c>
      <c r="N25" s="230"/>
      <c r="O25" s="259">
        <f t="shared" si="5"/>
        <v>20</v>
      </c>
      <c r="W25" t="s">
        <v>159</v>
      </c>
    </row>
    <row r="26" spans="1:23" ht="16.5" customHeight="1">
      <c r="A26" s="74">
        <v>42789</v>
      </c>
      <c r="B26" s="281" t="s">
        <v>99</v>
      </c>
      <c r="C26" s="283">
        <f t="shared" si="3"/>
        <v>495652.17391304352</v>
      </c>
      <c r="D26" s="282">
        <f t="shared" si="0"/>
        <v>-122815.17391304352</v>
      </c>
      <c r="E26" s="227">
        <f t="shared" si="1"/>
        <v>12580</v>
      </c>
      <c r="F26" s="285">
        <f t="shared" si="2"/>
        <v>372837</v>
      </c>
      <c r="G26" s="232">
        <f>680+1428+892+568+270</f>
        <v>3838</v>
      </c>
      <c r="H26" s="228">
        <f>1700+1920</f>
        <v>3620</v>
      </c>
      <c r="I26" s="241"/>
      <c r="J26" s="242">
        <v>5122</v>
      </c>
      <c r="K26" s="229"/>
      <c r="L26" s="245">
        <v>1</v>
      </c>
      <c r="M26" s="230">
        <f t="shared" si="4"/>
        <v>35</v>
      </c>
      <c r="N26" s="230">
        <v>1</v>
      </c>
      <c r="O26" s="259">
        <f t="shared" si="5"/>
        <v>21</v>
      </c>
    </row>
    <row r="27" spans="1:23" ht="16.5" customHeight="1">
      <c r="A27" s="74">
        <v>42790</v>
      </c>
      <c r="B27" s="281" t="s">
        <v>161</v>
      </c>
      <c r="C27" s="283">
        <f t="shared" si="3"/>
        <v>521739.13043478265</v>
      </c>
      <c r="D27" s="282">
        <f t="shared" si="0"/>
        <v>-141764.13043478265</v>
      </c>
      <c r="E27" s="227">
        <f t="shared" si="1"/>
        <v>7138</v>
      </c>
      <c r="F27" s="285">
        <f t="shared" si="2"/>
        <v>379975</v>
      </c>
      <c r="G27" s="232">
        <v>250</v>
      </c>
      <c r="H27" s="228">
        <v>580</v>
      </c>
      <c r="I27" s="241"/>
      <c r="J27" s="242">
        <f>5844+464</f>
        <v>6308</v>
      </c>
      <c r="K27" s="229"/>
      <c r="L27" s="245"/>
      <c r="M27" s="230">
        <f t="shared" si="4"/>
        <v>35</v>
      </c>
      <c r="N27" s="230"/>
      <c r="O27" s="259">
        <f t="shared" si="5"/>
        <v>21</v>
      </c>
    </row>
    <row r="28" spans="1:23" ht="16.5" customHeight="1">
      <c r="A28" s="74">
        <v>42791</v>
      </c>
      <c r="B28" s="281" t="s">
        <v>162</v>
      </c>
      <c r="C28" s="283">
        <f t="shared" si="3"/>
        <v>547826.08695652173</v>
      </c>
      <c r="D28" s="282">
        <f t="shared" si="0"/>
        <v>-132349.08695652173</v>
      </c>
      <c r="E28" s="227">
        <f t="shared" si="1"/>
        <v>35502</v>
      </c>
      <c r="F28" s="285">
        <f t="shared" si="2"/>
        <v>415477</v>
      </c>
      <c r="G28" s="232">
        <f>8303+1290+808</f>
        <v>10401</v>
      </c>
      <c r="H28" s="228">
        <v>10000</v>
      </c>
      <c r="I28" s="241"/>
      <c r="J28" s="242">
        <v>8112</v>
      </c>
      <c r="K28" s="229">
        <v>6989</v>
      </c>
      <c r="L28" s="245">
        <v>3</v>
      </c>
      <c r="M28" s="230">
        <f t="shared" si="4"/>
        <v>38</v>
      </c>
      <c r="N28" s="230">
        <v>2</v>
      </c>
      <c r="O28" s="259">
        <f t="shared" si="5"/>
        <v>23</v>
      </c>
    </row>
    <row r="29" spans="1:23" ht="16.5" customHeight="1">
      <c r="A29" s="74">
        <v>42793</v>
      </c>
      <c r="B29" s="281" t="s">
        <v>165</v>
      </c>
      <c r="C29" s="283">
        <f t="shared" si="3"/>
        <v>573913.04347826086</v>
      </c>
      <c r="D29" s="282">
        <f t="shared" si="0"/>
        <v>-146872.04347826086</v>
      </c>
      <c r="E29" s="227">
        <f t="shared" si="1"/>
        <v>11564</v>
      </c>
      <c r="F29" s="285">
        <f t="shared" si="2"/>
        <v>427041</v>
      </c>
      <c r="G29" s="232">
        <f>4064</f>
        <v>4064</v>
      </c>
      <c r="H29" s="228"/>
      <c r="I29" s="241">
        <f>2420</f>
        <v>2420</v>
      </c>
      <c r="J29" s="242">
        <v>7500</v>
      </c>
      <c r="K29" s="229"/>
      <c r="L29" s="245">
        <v>2</v>
      </c>
      <c r="M29" s="230"/>
      <c r="N29" s="230">
        <v>1</v>
      </c>
      <c r="O29" s="259"/>
    </row>
    <row r="30" spans="1:23" ht="16.5" customHeight="1" thickBot="1">
      <c r="A30" s="74">
        <v>42794</v>
      </c>
      <c r="B30" s="281" t="s">
        <v>98</v>
      </c>
      <c r="C30" s="283">
        <f t="shared" si="3"/>
        <v>600000</v>
      </c>
      <c r="D30" s="282">
        <f t="shared" si="0"/>
        <v>-98400</v>
      </c>
      <c r="E30" s="227">
        <f t="shared" si="1"/>
        <v>74559</v>
      </c>
      <c r="F30" s="285">
        <f t="shared" si="2"/>
        <v>501600</v>
      </c>
      <c r="G30" s="232">
        <f>810</f>
        <v>810</v>
      </c>
      <c r="H30" s="228">
        <v>4494</v>
      </c>
      <c r="I30" s="241"/>
      <c r="J30" s="243">
        <f>1000+8255+10000+20000+20000+10000</f>
        <v>69255</v>
      </c>
      <c r="K30" s="229"/>
      <c r="L30" s="245">
        <v>3</v>
      </c>
      <c r="M30" s="230">
        <f>M28+L30</f>
        <v>41</v>
      </c>
      <c r="N30" s="230"/>
      <c r="O30" s="259">
        <f>O28+N30</f>
        <v>23</v>
      </c>
    </row>
    <row r="31" spans="1:23" ht="19.2" thickTop="1" thickBot="1">
      <c r="A31" s="246" t="s">
        <v>95</v>
      </c>
      <c r="B31" s="246"/>
      <c r="C31" s="286"/>
      <c r="D31" s="247"/>
      <c r="E31" s="370">
        <f>SUM(E8:E30)</f>
        <v>501600</v>
      </c>
      <c r="F31" s="287"/>
      <c r="G31" s="248">
        <f t="shared" ref="G31:L31" si="6">SUM(G8:G30)</f>
        <v>169165</v>
      </c>
      <c r="H31" s="248">
        <f t="shared" si="6"/>
        <v>114149</v>
      </c>
      <c r="I31" s="248">
        <f t="shared" si="6"/>
        <v>3400</v>
      </c>
      <c r="J31" s="248">
        <f t="shared" si="6"/>
        <v>146243</v>
      </c>
      <c r="K31" s="248">
        <f t="shared" si="6"/>
        <v>72043</v>
      </c>
      <c r="L31" s="248">
        <f t="shared" si="6"/>
        <v>43</v>
      </c>
      <c r="M31" s="338"/>
      <c r="N31" s="247">
        <f>SUM(N8:N30)</f>
        <v>24</v>
      </c>
      <c r="O31" s="249"/>
    </row>
    <row r="32" spans="1:23">
      <c r="E32" t="s">
        <v>96</v>
      </c>
      <c r="W32">
        <v>0</v>
      </c>
    </row>
    <row r="34" spans="11:11">
      <c r="K34" t="s">
        <v>118</v>
      </c>
    </row>
  </sheetData>
  <mergeCells count="8">
    <mergeCell ref="A1:O1"/>
    <mergeCell ref="A2:O2"/>
    <mergeCell ref="A6:A7"/>
    <mergeCell ref="B6:B7"/>
    <mergeCell ref="C6:C7"/>
    <mergeCell ref="D6:D7"/>
    <mergeCell ref="E6:E7"/>
    <mergeCell ref="F6:F7"/>
  </mergeCells>
  <phoneticPr fontId="6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32"/>
  <sheetViews>
    <sheetView zoomScale="85" zoomScaleNormal="85" workbookViewId="0">
      <pane xSplit="1" topLeftCell="B1" activePane="topRight" state="frozen"/>
      <selection activeCell="I26" sqref="I26"/>
      <selection pane="topRight" activeCell="D28" sqref="D28"/>
    </sheetView>
  </sheetViews>
  <sheetFormatPr defaultRowHeight="16.2"/>
  <cols>
    <col min="2" max="3" width="10.5546875" customWidth="1"/>
    <col min="14" max="15" width="9.88671875" customWidth="1"/>
    <col min="18" max="19" width="9.88671875" customWidth="1"/>
    <col min="21" max="21" width="11.109375" customWidth="1"/>
  </cols>
  <sheetData>
    <row r="2" spans="1:25" ht="24" thickBot="1">
      <c r="A2" s="86" t="s">
        <v>158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  <c r="W2" s="89"/>
      <c r="X2" s="89"/>
      <c r="Y2" s="89"/>
    </row>
    <row r="3" spans="1:25" ht="36.6" thickBot="1">
      <c r="A3" s="90" t="s">
        <v>1</v>
      </c>
      <c r="B3" s="362" t="s">
        <v>55</v>
      </c>
      <c r="C3" s="91"/>
      <c r="D3" s="92" t="s">
        <v>56</v>
      </c>
      <c r="E3" s="93"/>
      <c r="F3" s="93"/>
      <c r="G3" s="94"/>
      <c r="H3" s="95" t="s">
        <v>57</v>
      </c>
      <c r="I3" s="96"/>
      <c r="J3" s="96"/>
      <c r="K3" s="96"/>
      <c r="L3" s="97" t="s">
        <v>58</v>
      </c>
      <c r="M3" s="98"/>
      <c r="N3" s="98"/>
      <c r="O3" s="99"/>
      <c r="P3" s="100" t="s">
        <v>59</v>
      </c>
      <c r="Q3" s="101"/>
      <c r="R3" s="101"/>
      <c r="S3" s="102"/>
      <c r="T3" s="103" t="s">
        <v>60</v>
      </c>
      <c r="U3" s="104" t="s">
        <v>61</v>
      </c>
      <c r="V3" s="105" t="s">
        <v>62</v>
      </c>
      <c r="W3" s="106"/>
      <c r="X3" s="106"/>
      <c r="Y3" s="106"/>
    </row>
    <row r="4" spans="1:25" ht="18.600000000000001" customHeight="1" thickBot="1">
      <c r="A4" s="107" t="s">
        <v>3</v>
      </c>
      <c r="B4" s="108" t="s">
        <v>63</v>
      </c>
      <c r="C4" s="363" t="s">
        <v>64</v>
      </c>
      <c r="D4" s="109" t="s">
        <v>26</v>
      </c>
      <c r="E4" s="110" t="s">
        <v>27</v>
      </c>
      <c r="F4" s="111" t="s">
        <v>65</v>
      </c>
      <c r="G4" s="112" t="s">
        <v>66</v>
      </c>
      <c r="H4" s="113" t="s">
        <v>67</v>
      </c>
      <c r="I4" s="114" t="s">
        <v>68</v>
      </c>
      <c r="J4" s="115" t="s">
        <v>69</v>
      </c>
      <c r="K4" s="116" t="s">
        <v>70</v>
      </c>
      <c r="L4" s="117" t="s">
        <v>153</v>
      </c>
      <c r="M4" s="118" t="s">
        <v>154</v>
      </c>
      <c r="N4" s="119" t="s">
        <v>155</v>
      </c>
      <c r="O4" s="120" t="s">
        <v>156</v>
      </c>
      <c r="P4" s="121" t="s">
        <v>153</v>
      </c>
      <c r="Q4" s="122" t="s">
        <v>154</v>
      </c>
      <c r="R4" s="123" t="s">
        <v>155</v>
      </c>
      <c r="S4" s="124" t="s">
        <v>156</v>
      </c>
      <c r="T4" s="125" t="s">
        <v>157</v>
      </c>
      <c r="U4" s="126" t="s">
        <v>2</v>
      </c>
      <c r="V4" s="127" t="s">
        <v>71</v>
      </c>
      <c r="W4" s="128" t="s">
        <v>72</v>
      </c>
      <c r="X4" s="128" t="s">
        <v>73</v>
      </c>
      <c r="Y4" s="128" t="s">
        <v>74</v>
      </c>
    </row>
    <row r="5" spans="1:25">
      <c r="A5" s="74">
        <v>42768</v>
      </c>
      <c r="B5" s="129"/>
      <c r="C5" s="364"/>
      <c r="D5" s="130">
        <v>820</v>
      </c>
      <c r="E5" s="131"/>
      <c r="F5" s="132"/>
      <c r="G5" s="250">
        <f t="shared" ref="G5:G28" si="0">D5+(E5/0.95)+(F5/0.9)+(H5/0.9)+(I5/0.85)+(J5/0.8)-SUM(D5:F5,H5:J5)</f>
        <v>0</v>
      </c>
      <c r="H5" s="130"/>
      <c r="I5" s="131"/>
      <c r="J5" s="132"/>
      <c r="K5" s="133"/>
      <c r="L5" s="130"/>
      <c r="M5" s="132"/>
      <c r="N5" s="134"/>
      <c r="O5" s="135"/>
      <c r="P5" s="130">
        <f>1000+2860</f>
        <v>3860</v>
      </c>
      <c r="Q5" s="132"/>
      <c r="R5" s="134">
        <f>2080+4360+2400+6960</f>
        <v>15800</v>
      </c>
      <c r="S5" s="135">
        <f>624+727+720+1184</f>
        <v>3255</v>
      </c>
      <c r="T5" s="136">
        <f>10000+30000</f>
        <v>40000</v>
      </c>
      <c r="U5" s="137">
        <f>D5+E5+F5+H5+I5+J5+L5+M5+P5+Q5+T5+K5</f>
        <v>44680</v>
      </c>
      <c r="V5" s="138"/>
      <c r="W5" s="139"/>
      <c r="X5" s="140"/>
      <c r="Y5" s="141"/>
    </row>
    <row r="6" spans="1:25">
      <c r="A6" s="74">
        <v>42769</v>
      </c>
      <c r="B6" s="142"/>
      <c r="C6" s="365"/>
      <c r="D6" s="144">
        <f>952+1210</f>
        <v>2162</v>
      </c>
      <c r="E6" s="145"/>
      <c r="F6" s="146"/>
      <c r="G6" s="250">
        <f t="shared" si="0"/>
        <v>0</v>
      </c>
      <c r="H6" s="147"/>
      <c r="I6" s="145"/>
      <c r="J6" s="146"/>
      <c r="K6" s="148"/>
      <c r="L6" s="147"/>
      <c r="M6" s="146"/>
      <c r="N6" s="149">
        <v>360</v>
      </c>
      <c r="O6" s="150">
        <v>108</v>
      </c>
      <c r="P6" s="147"/>
      <c r="Q6" s="146"/>
      <c r="R6" s="149">
        <f>4460+1000+2780+3180</f>
        <v>11420</v>
      </c>
      <c r="S6" s="150">
        <f>166+743+556+954</f>
        <v>2419</v>
      </c>
      <c r="T6" s="151"/>
      <c r="U6" s="137">
        <f t="shared" ref="U6:U27" si="1">D6+E6+F6+H6+I6+J6+L6+M6+P6+Q6+T6+K6</f>
        <v>2162</v>
      </c>
      <c r="V6" s="152"/>
      <c r="W6" s="153"/>
      <c r="X6" s="154"/>
      <c r="Y6" s="155"/>
    </row>
    <row r="7" spans="1:25">
      <c r="A7" s="74">
        <v>42770</v>
      </c>
      <c r="B7" s="142"/>
      <c r="C7" s="365"/>
      <c r="D7" s="144">
        <v>5540</v>
      </c>
      <c r="E7" s="145"/>
      <c r="F7" s="146"/>
      <c r="G7" s="250">
        <f t="shared" si="0"/>
        <v>6079.5</v>
      </c>
      <c r="H7" s="147"/>
      <c r="I7" s="145"/>
      <c r="J7" s="146">
        <f>9131+15187</f>
        <v>24318</v>
      </c>
      <c r="K7" s="148"/>
      <c r="L7" s="147">
        <f>1645+660+1660</f>
        <v>3965</v>
      </c>
      <c r="M7" s="146"/>
      <c r="N7" s="149">
        <f>360+700</f>
        <v>1060</v>
      </c>
      <c r="O7" s="150">
        <f>72+140</f>
        <v>212</v>
      </c>
      <c r="P7" s="147">
        <v>1160</v>
      </c>
      <c r="Q7" s="146"/>
      <c r="R7" s="149">
        <f>4660+1080+2860+1480+2020+1000+1200</f>
        <v>14300</v>
      </c>
      <c r="S7" s="150">
        <f>1398+216+868+636+300</f>
        <v>3418</v>
      </c>
      <c r="T7" s="151"/>
      <c r="U7" s="137">
        <f t="shared" si="1"/>
        <v>34983</v>
      </c>
      <c r="V7" s="152"/>
      <c r="W7" s="153"/>
      <c r="X7" s="154"/>
      <c r="Y7" s="155"/>
    </row>
    <row r="8" spans="1:25">
      <c r="A8" s="74">
        <v>42772</v>
      </c>
      <c r="B8" s="142"/>
      <c r="C8" s="365">
        <v>11913</v>
      </c>
      <c r="D8" s="144">
        <f>715</f>
        <v>715</v>
      </c>
      <c r="E8" s="156"/>
      <c r="F8" s="157"/>
      <c r="G8" s="250">
        <f t="shared" si="0"/>
        <v>1372.25</v>
      </c>
      <c r="H8" s="147"/>
      <c r="I8" s="158"/>
      <c r="J8" s="159">
        <f>5489</f>
        <v>5489</v>
      </c>
      <c r="K8" s="160"/>
      <c r="L8" s="161"/>
      <c r="M8" s="159">
        <f>1750+2320+3200+3000</f>
        <v>10270</v>
      </c>
      <c r="N8" s="162"/>
      <c r="O8" s="163"/>
      <c r="P8" s="161"/>
      <c r="Q8" s="159">
        <v>1080</v>
      </c>
      <c r="R8" s="162">
        <f>3960+2580</f>
        <v>6540</v>
      </c>
      <c r="S8" s="163">
        <f>660+430</f>
        <v>1090</v>
      </c>
      <c r="T8" s="151">
        <f>10000+10000</f>
        <v>20000</v>
      </c>
      <c r="U8" s="137">
        <f t="shared" si="1"/>
        <v>37554</v>
      </c>
      <c r="V8" s="152"/>
      <c r="W8" s="153"/>
      <c r="X8" s="154"/>
      <c r="Y8" s="155"/>
    </row>
    <row r="9" spans="1:25">
      <c r="A9" s="74">
        <v>42773</v>
      </c>
      <c r="B9" s="142"/>
      <c r="C9" s="365"/>
      <c r="D9" s="147">
        <v>3025</v>
      </c>
      <c r="E9" s="145"/>
      <c r="F9" s="146"/>
      <c r="G9" s="250">
        <f t="shared" si="0"/>
        <v>0</v>
      </c>
      <c r="H9" s="147"/>
      <c r="I9" s="145"/>
      <c r="J9" s="146"/>
      <c r="K9" s="148"/>
      <c r="L9" s="147"/>
      <c r="M9" s="146">
        <f>1640</f>
        <v>1640</v>
      </c>
      <c r="N9" s="149"/>
      <c r="O9" s="150"/>
      <c r="P9" s="147"/>
      <c r="Q9" s="146"/>
      <c r="R9" s="149">
        <f>1580+3280+2280</f>
        <v>7140</v>
      </c>
      <c r="S9" s="150">
        <f>294+984+526</f>
        <v>1804</v>
      </c>
      <c r="T9" s="151">
        <v>20000</v>
      </c>
      <c r="U9" s="137">
        <f t="shared" si="1"/>
        <v>24665</v>
      </c>
      <c r="V9" s="152"/>
      <c r="W9" s="153"/>
      <c r="X9" s="164"/>
      <c r="Y9" s="155"/>
    </row>
    <row r="10" spans="1:25">
      <c r="A10" s="74">
        <v>42774</v>
      </c>
      <c r="B10" s="165"/>
      <c r="C10" s="366"/>
      <c r="D10" s="147">
        <v>3042</v>
      </c>
      <c r="E10" s="145"/>
      <c r="F10" s="146"/>
      <c r="G10" s="250">
        <f t="shared" si="0"/>
        <v>0</v>
      </c>
      <c r="H10" s="147"/>
      <c r="I10" s="145"/>
      <c r="J10" s="146"/>
      <c r="K10" s="148"/>
      <c r="L10" s="147"/>
      <c r="M10" s="146"/>
      <c r="N10" s="149"/>
      <c r="O10" s="150"/>
      <c r="P10" s="147"/>
      <c r="Q10" s="146"/>
      <c r="R10" s="149">
        <f>3360+2580+1800+1700</f>
        <v>9440</v>
      </c>
      <c r="S10" s="150">
        <f>1008+516+300+283</f>
        <v>2107</v>
      </c>
      <c r="T10" s="151"/>
      <c r="U10" s="137">
        <f t="shared" si="1"/>
        <v>3042</v>
      </c>
      <c r="V10" s="152"/>
      <c r="W10" s="153"/>
      <c r="X10" s="164"/>
      <c r="Y10" s="166"/>
    </row>
    <row r="11" spans="1:25">
      <c r="A11" s="74">
        <v>42775</v>
      </c>
      <c r="B11" s="142"/>
      <c r="C11" s="365"/>
      <c r="D11" s="167"/>
      <c r="E11" s="156"/>
      <c r="F11" s="168"/>
      <c r="G11" s="250">
        <f t="shared" si="0"/>
        <v>0</v>
      </c>
      <c r="H11" s="144"/>
      <c r="I11" s="156"/>
      <c r="J11" s="168"/>
      <c r="K11" s="169"/>
      <c r="L11" s="144">
        <v>900</v>
      </c>
      <c r="M11" s="168">
        <v>4730</v>
      </c>
      <c r="N11" s="170"/>
      <c r="O11" s="171"/>
      <c r="P11" s="144"/>
      <c r="Q11" s="168"/>
      <c r="R11" s="170">
        <v>5380</v>
      </c>
      <c r="S11" s="171">
        <v>1614</v>
      </c>
      <c r="T11" s="172"/>
      <c r="U11" s="137">
        <f t="shared" si="1"/>
        <v>5630</v>
      </c>
      <c r="V11" s="152"/>
      <c r="W11" s="153"/>
      <c r="X11" s="154"/>
      <c r="Y11" s="155"/>
    </row>
    <row r="12" spans="1:25">
      <c r="A12" s="74">
        <v>42776</v>
      </c>
      <c r="B12" s="142"/>
      <c r="C12" s="365"/>
      <c r="D12" s="147">
        <v>5689</v>
      </c>
      <c r="E12" s="145"/>
      <c r="F12" s="146">
        <v>1160</v>
      </c>
      <c r="G12" s="250">
        <f t="shared" si="0"/>
        <v>1975.8888888888887</v>
      </c>
      <c r="H12" s="142"/>
      <c r="I12" s="143"/>
      <c r="J12" s="173">
        <v>7388</v>
      </c>
      <c r="K12" s="174"/>
      <c r="L12" s="142"/>
      <c r="M12" s="173"/>
      <c r="N12" s="175"/>
      <c r="O12" s="176"/>
      <c r="P12" s="142"/>
      <c r="Q12" s="173"/>
      <c r="R12" s="175">
        <f>1200+5360+5720</f>
        <v>12280</v>
      </c>
      <c r="S12" s="176">
        <f>276+1233+1716</f>
        <v>3225</v>
      </c>
      <c r="T12" s="151"/>
      <c r="U12" s="137">
        <f t="shared" si="1"/>
        <v>14237</v>
      </c>
      <c r="V12" s="152"/>
      <c r="W12" s="153"/>
      <c r="X12" s="164"/>
      <c r="Y12" s="155"/>
    </row>
    <row r="13" spans="1:25">
      <c r="A13" s="74">
        <v>42777</v>
      </c>
      <c r="B13" s="147"/>
      <c r="C13" s="367"/>
      <c r="D13" s="147"/>
      <c r="E13" s="145"/>
      <c r="F13" s="146"/>
      <c r="G13" s="250">
        <f t="shared" si="0"/>
        <v>0</v>
      </c>
      <c r="H13" s="147"/>
      <c r="I13" s="145"/>
      <c r="J13" s="146"/>
      <c r="K13" s="148"/>
      <c r="L13" s="147">
        <f>1000+520+520</f>
        <v>2040</v>
      </c>
      <c r="M13" s="146"/>
      <c r="N13" s="149">
        <v>980</v>
      </c>
      <c r="O13" s="150">
        <v>164</v>
      </c>
      <c r="P13" s="147"/>
      <c r="Q13" s="146"/>
      <c r="R13" s="149">
        <f>1780+5080+8060</f>
        <v>14920</v>
      </c>
      <c r="S13" s="150">
        <f>847+480+2418</f>
        <v>3745</v>
      </c>
      <c r="T13" s="177">
        <v>10000</v>
      </c>
      <c r="U13" s="137">
        <f t="shared" si="1"/>
        <v>12040</v>
      </c>
      <c r="V13" s="152"/>
      <c r="W13" s="178"/>
      <c r="X13" s="179"/>
      <c r="Y13" s="180"/>
    </row>
    <row r="14" spans="1:25">
      <c r="A14" s="74">
        <v>42779</v>
      </c>
      <c r="B14" s="147">
        <f>1301</f>
        <v>1301</v>
      </c>
      <c r="C14" s="367"/>
      <c r="D14" s="147">
        <f>2375+5937+4028</f>
        <v>12340</v>
      </c>
      <c r="E14" s="145"/>
      <c r="F14" s="146">
        <v>828</v>
      </c>
      <c r="G14" s="250">
        <f t="shared" si="0"/>
        <v>92</v>
      </c>
      <c r="H14" s="147"/>
      <c r="I14" s="145"/>
      <c r="J14" s="146"/>
      <c r="K14" s="148"/>
      <c r="L14" s="147">
        <v>3200</v>
      </c>
      <c r="M14" s="146">
        <f>1040+2400</f>
        <v>3440</v>
      </c>
      <c r="N14" s="149">
        <v>800</v>
      </c>
      <c r="O14" s="150">
        <v>133</v>
      </c>
      <c r="P14" s="147"/>
      <c r="Q14" s="146"/>
      <c r="R14" s="149">
        <f>5360+2860+2860+1000</f>
        <v>12080</v>
      </c>
      <c r="S14" s="150">
        <f>1232+477+477+166</f>
        <v>2352</v>
      </c>
      <c r="T14" s="177">
        <v>10000</v>
      </c>
      <c r="U14" s="137">
        <f t="shared" si="1"/>
        <v>29808</v>
      </c>
      <c r="V14" s="152">
        <v>3200</v>
      </c>
      <c r="W14" s="178"/>
      <c r="X14" s="179"/>
      <c r="Y14" s="180"/>
    </row>
    <row r="15" spans="1:25">
      <c r="A15" s="74">
        <v>42780</v>
      </c>
      <c r="B15" s="147"/>
      <c r="C15" s="367"/>
      <c r="D15" s="147">
        <v>30000</v>
      </c>
      <c r="E15" s="145"/>
      <c r="F15" s="146"/>
      <c r="G15" s="250">
        <f t="shared" si="0"/>
        <v>624</v>
      </c>
      <c r="H15" s="147"/>
      <c r="I15" s="145"/>
      <c r="J15" s="146">
        <v>2496</v>
      </c>
      <c r="K15" s="148"/>
      <c r="L15" s="147">
        <v>1500</v>
      </c>
      <c r="M15" s="146">
        <v>1100</v>
      </c>
      <c r="N15" s="149">
        <v>6030</v>
      </c>
      <c r="O15" s="150">
        <v>1809</v>
      </c>
      <c r="P15" s="147"/>
      <c r="Q15" s="146">
        <v>1246</v>
      </c>
      <c r="R15" s="149">
        <v>3560</v>
      </c>
      <c r="S15" s="150">
        <v>712</v>
      </c>
      <c r="T15" s="177"/>
      <c r="U15" s="137">
        <f>D15+E15+F15+H15+I15+J15+L15+M15+P15+Q15+T15+K15</f>
        <v>36342</v>
      </c>
      <c r="V15" s="152"/>
      <c r="W15" s="178"/>
      <c r="X15" s="179"/>
      <c r="Y15" s="180"/>
    </row>
    <row r="16" spans="1:25">
      <c r="A16" s="74">
        <v>42781</v>
      </c>
      <c r="B16" s="147"/>
      <c r="C16" s="367"/>
      <c r="D16" s="147"/>
      <c r="E16" s="145"/>
      <c r="F16" s="146"/>
      <c r="G16" s="250">
        <f t="shared" si="0"/>
        <v>2103.25</v>
      </c>
      <c r="H16" s="147"/>
      <c r="I16" s="145"/>
      <c r="J16" s="146">
        <v>8413</v>
      </c>
      <c r="K16" s="148"/>
      <c r="L16" s="147"/>
      <c r="M16" s="146"/>
      <c r="N16" s="149"/>
      <c r="O16" s="150"/>
      <c r="P16" s="147"/>
      <c r="Q16" s="146">
        <v>899</v>
      </c>
      <c r="R16" s="149">
        <f>2780+5560</f>
        <v>8340</v>
      </c>
      <c r="S16" s="150">
        <f>463+1112</f>
        <v>1575</v>
      </c>
      <c r="T16" s="177"/>
      <c r="U16" s="137">
        <f t="shared" si="1"/>
        <v>9312</v>
      </c>
      <c r="V16" s="152"/>
      <c r="W16" s="178"/>
      <c r="X16" s="179"/>
      <c r="Y16" s="180"/>
    </row>
    <row r="17" spans="1:25">
      <c r="A17" s="74">
        <v>42782</v>
      </c>
      <c r="B17" s="147"/>
      <c r="C17" s="367"/>
      <c r="D17" s="147">
        <f>544+475+1280</f>
        <v>2299</v>
      </c>
      <c r="E17" s="145"/>
      <c r="F17" s="146"/>
      <c r="G17" s="250">
        <f t="shared" si="0"/>
        <v>1498</v>
      </c>
      <c r="H17" s="147"/>
      <c r="I17" s="145"/>
      <c r="J17" s="146">
        <f>4712+1280</f>
        <v>5992</v>
      </c>
      <c r="K17" s="148"/>
      <c r="L17" s="147">
        <f>460</f>
        <v>460</v>
      </c>
      <c r="M17" s="146"/>
      <c r="N17" s="149">
        <f>5000+3300</f>
        <v>8300</v>
      </c>
      <c r="O17" s="150">
        <f>1500+660</f>
        <v>2160</v>
      </c>
      <c r="P17" s="147">
        <v>1060</v>
      </c>
      <c r="Q17" s="146"/>
      <c r="R17" s="149">
        <f>3860+1200+5360+3520</f>
        <v>13940</v>
      </c>
      <c r="S17" s="150">
        <f>644+360+893+704</f>
        <v>2601</v>
      </c>
      <c r="T17" s="177"/>
      <c r="U17" s="137">
        <f t="shared" si="1"/>
        <v>9811</v>
      </c>
      <c r="V17" s="152"/>
      <c r="W17" s="178"/>
      <c r="X17" s="179"/>
      <c r="Y17" s="180"/>
    </row>
    <row r="18" spans="1:25">
      <c r="A18" s="74">
        <v>42783</v>
      </c>
      <c r="B18" s="147">
        <f>2854</f>
        <v>2854</v>
      </c>
      <c r="C18" s="367"/>
      <c r="D18" s="147"/>
      <c r="E18" s="145">
        <f>2037</f>
        <v>2037</v>
      </c>
      <c r="F18" s="146"/>
      <c r="G18" s="250">
        <f t="shared" si="0"/>
        <v>107.21052631578959</v>
      </c>
      <c r="H18" s="147"/>
      <c r="I18" s="145"/>
      <c r="J18" s="146"/>
      <c r="K18" s="148"/>
      <c r="L18" s="147">
        <f>2430+680</f>
        <v>3110</v>
      </c>
      <c r="M18" s="146"/>
      <c r="N18" s="149">
        <f>2180+1650</f>
        <v>3830</v>
      </c>
      <c r="O18" s="150">
        <f>363+380</f>
        <v>743</v>
      </c>
      <c r="P18" s="147">
        <v>300</v>
      </c>
      <c r="Q18" s="146"/>
      <c r="R18" s="149">
        <f>4060+3960+2860</f>
        <v>10880</v>
      </c>
      <c r="S18" s="150">
        <f>1097+660+560</f>
        <v>2317</v>
      </c>
      <c r="T18" s="177"/>
      <c r="U18" s="137">
        <f t="shared" si="1"/>
        <v>5447</v>
      </c>
      <c r="V18" s="152"/>
      <c r="W18" s="178"/>
      <c r="X18" s="179"/>
      <c r="Y18" s="180"/>
    </row>
    <row r="19" spans="1:25">
      <c r="A19" s="74">
        <v>42784</v>
      </c>
      <c r="B19" s="147"/>
      <c r="C19" s="367"/>
      <c r="D19" s="147"/>
      <c r="E19" s="145"/>
      <c r="F19" s="146">
        <v>4020</v>
      </c>
      <c r="G19" s="250">
        <f t="shared" si="0"/>
        <v>446.66666666666697</v>
      </c>
      <c r="H19" s="147"/>
      <c r="I19" s="145"/>
      <c r="J19" s="146"/>
      <c r="K19" s="148"/>
      <c r="L19" s="147">
        <f>1740+1840</f>
        <v>3580</v>
      </c>
      <c r="M19" s="146"/>
      <c r="N19" s="149"/>
      <c r="O19" s="150"/>
      <c r="P19" s="147">
        <v>840</v>
      </c>
      <c r="Q19" s="146"/>
      <c r="R19" s="149">
        <f>2860+2880</f>
        <v>5740</v>
      </c>
      <c r="S19" s="150">
        <f>858+662</f>
        <v>1520</v>
      </c>
      <c r="T19" s="177"/>
      <c r="U19" s="137">
        <f t="shared" si="1"/>
        <v>8440</v>
      </c>
      <c r="V19" s="152"/>
      <c r="W19" s="178"/>
      <c r="X19" s="179"/>
      <c r="Y19" s="180"/>
    </row>
    <row r="20" spans="1:25">
      <c r="A20" s="74">
        <v>42786</v>
      </c>
      <c r="B20" s="147"/>
      <c r="C20" s="367"/>
      <c r="D20" s="147">
        <v>1500</v>
      </c>
      <c r="E20" s="145"/>
      <c r="F20" s="146">
        <f>1044+2084</f>
        <v>3128</v>
      </c>
      <c r="G20" s="250">
        <f t="shared" si="0"/>
        <v>2477.0555555555547</v>
      </c>
      <c r="H20" s="147"/>
      <c r="I20" s="145"/>
      <c r="J20" s="146">
        <v>8518</v>
      </c>
      <c r="K20" s="148"/>
      <c r="L20" s="147">
        <v>950</v>
      </c>
      <c r="M20" s="146"/>
      <c r="N20" s="149">
        <v>1150</v>
      </c>
      <c r="O20" s="150">
        <v>192</v>
      </c>
      <c r="P20" s="147">
        <v>3660</v>
      </c>
      <c r="Q20" s="146">
        <v>1050</v>
      </c>
      <c r="R20" s="149">
        <f>4960+2450</f>
        <v>7410</v>
      </c>
      <c r="S20" s="150">
        <f>1488+408</f>
        <v>1896</v>
      </c>
      <c r="T20" s="177"/>
      <c r="U20" s="137">
        <f t="shared" si="1"/>
        <v>18806</v>
      </c>
      <c r="V20" s="152"/>
      <c r="W20" s="178"/>
      <c r="X20" s="179"/>
      <c r="Y20" s="180"/>
    </row>
    <row r="21" spans="1:25">
      <c r="A21" s="74">
        <v>42787</v>
      </c>
      <c r="B21" s="147"/>
      <c r="C21" s="367"/>
      <c r="D21" s="147">
        <f>1696+5228+21052+4280</f>
        <v>32256</v>
      </c>
      <c r="E21" s="145">
        <f>5142+8533</f>
        <v>13675</v>
      </c>
      <c r="F21" s="146">
        <v>8090</v>
      </c>
      <c r="G21" s="250">
        <f t="shared" si="0"/>
        <v>3172.6257309941575</v>
      </c>
      <c r="H21" s="147"/>
      <c r="I21" s="145"/>
      <c r="J21" s="146">
        <v>6216</v>
      </c>
      <c r="K21" s="148"/>
      <c r="L21" s="147"/>
      <c r="M21" s="146"/>
      <c r="N21" s="149">
        <f>1750</f>
        <v>1750</v>
      </c>
      <c r="O21" s="150">
        <f>292</f>
        <v>292</v>
      </c>
      <c r="P21" s="147"/>
      <c r="Q21" s="146"/>
      <c r="R21" s="149">
        <f>2400+4660+1080</f>
        <v>8140</v>
      </c>
      <c r="S21" s="150">
        <f>400+1398+180</f>
        <v>1978</v>
      </c>
      <c r="T21" s="177"/>
      <c r="U21" s="137">
        <f t="shared" si="1"/>
        <v>60237</v>
      </c>
      <c r="V21" s="152"/>
      <c r="W21" s="178"/>
      <c r="X21" s="179"/>
      <c r="Y21" s="180"/>
    </row>
    <row r="22" spans="1:25">
      <c r="A22" s="74">
        <v>42788</v>
      </c>
      <c r="B22" s="147"/>
      <c r="C22" s="367"/>
      <c r="D22" s="147">
        <f>544+1992</f>
        <v>2536</v>
      </c>
      <c r="E22" s="145"/>
      <c r="F22" s="146"/>
      <c r="G22" s="250">
        <f t="shared" si="0"/>
        <v>0</v>
      </c>
      <c r="H22" s="147"/>
      <c r="I22" s="145"/>
      <c r="J22" s="146"/>
      <c r="K22" s="148"/>
      <c r="L22" s="147"/>
      <c r="M22" s="146"/>
      <c r="N22" s="149">
        <v>900</v>
      </c>
      <c r="O22" s="150">
        <v>243</v>
      </c>
      <c r="P22" s="147"/>
      <c r="Q22" s="146"/>
      <c r="R22" s="149">
        <f>2860+2860+700</f>
        <v>6420</v>
      </c>
      <c r="S22" s="150">
        <f>858+858+189</f>
        <v>1905</v>
      </c>
      <c r="T22" s="177"/>
      <c r="U22" s="137">
        <f t="shared" si="1"/>
        <v>2536</v>
      </c>
      <c r="V22" s="152"/>
      <c r="W22" s="178"/>
      <c r="X22" s="179"/>
      <c r="Y22" s="180"/>
    </row>
    <row r="23" spans="1:25">
      <c r="A23" s="74">
        <v>42789</v>
      </c>
      <c r="B23" s="181"/>
      <c r="C23" s="368"/>
      <c r="D23" s="181">
        <f>1428+892</f>
        <v>2320</v>
      </c>
      <c r="E23" s="182"/>
      <c r="F23" s="183">
        <f>568+5122</f>
        <v>5690</v>
      </c>
      <c r="G23" s="250">
        <f t="shared" si="0"/>
        <v>632.22222222222263</v>
      </c>
      <c r="H23" s="181"/>
      <c r="I23" s="182"/>
      <c r="J23" s="183"/>
      <c r="K23" s="184"/>
      <c r="L23" s="181">
        <v>680</v>
      </c>
      <c r="M23" s="183">
        <v>1920</v>
      </c>
      <c r="N23" s="185"/>
      <c r="O23" s="186"/>
      <c r="P23" s="181">
        <v>270</v>
      </c>
      <c r="Q23" s="183">
        <v>1700</v>
      </c>
      <c r="R23" s="185">
        <f>3060+2580+1810</f>
        <v>7450</v>
      </c>
      <c r="S23" s="186">
        <f>918+593+362</f>
        <v>1873</v>
      </c>
      <c r="T23" s="187"/>
      <c r="U23" s="137">
        <f t="shared" si="1"/>
        <v>12580</v>
      </c>
      <c r="V23" s="188"/>
      <c r="W23" s="189"/>
      <c r="X23" s="190"/>
      <c r="Y23" s="189"/>
    </row>
    <row r="24" spans="1:25">
      <c r="A24" s="74">
        <v>42790</v>
      </c>
      <c r="B24" s="147"/>
      <c r="C24" s="367"/>
      <c r="D24" s="147">
        <f>5844+464</f>
        <v>6308</v>
      </c>
      <c r="E24" s="145"/>
      <c r="F24" s="146"/>
      <c r="G24" s="250">
        <f t="shared" si="0"/>
        <v>0</v>
      </c>
      <c r="H24" s="147"/>
      <c r="I24" s="145"/>
      <c r="J24" s="146"/>
      <c r="K24" s="148"/>
      <c r="L24" s="147">
        <v>250</v>
      </c>
      <c r="M24" s="146">
        <v>580</v>
      </c>
      <c r="N24" s="149">
        <f>320</f>
        <v>320</v>
      </c>
      <c r="O24" s="150">
        <f>73</f>
        <v>73</v>
      </c>
      <c r="P24" s="147"/>
      <c r="Q24" s="146"/>
      <c r="R24" s="149">
        <f>4360+4160+2200+5720</f>
        <v>16440</v>
      </c>
      <c r="S24" s="150">
        <f>1618+872+506+832</f>
        <v>3828</v>
      </c>
      <c r="T24" s="177"/>
      <c r="U24" s="137">
        <f t="shared" si="1"/>
        <v>7138</v>
      </c>
      <c r="V24" s="152"/>
      <c r="W24" s="178"/>
      <c r="X24" s="179"/>
      <c r="Y24" s="180"/>
    </row>
    <row r="25" spans="1:25">
      <c r="A25" s="74">
        <v>42791</v>
      </c>
      <c r="B25" s="147">
        <v>173</v>
      </c>
      <c r="C25" s="367"/>
      <c r="D25" s="147"/>
      <c r="E25" s="145">
        <f>8303</f>
        <v>8303</v>
      </c>
      <c r="F25" s="146">
        <v>8112</v>
      </c>
      <c r="G25" s="250">
        <f t="shared" si="0"/>
        <v>3085.5833333333358</v>
      </c>
      <c r="H25" s="147"/>
      <c r="I25" s="145"/>
      <c r="J25" s="146">
        <v>6989</v>
      </c>
      <c r="K25" s="148"/>
      <c r="L25" s="147">
        <f>1290</f>
        <v>1290</v>
      </c>
      <c r="M25" s="146"/>
      <c r="N25" s="149"/>
      <c r="O25" s="150"/>
      <c r="P25" s="147"/>
      <c r="Q25" s="146"/>
      <c r="R25" s="149">
        <f>3360+2480</f>
        <v>5840</v>
      </c>
      <c r="S25" s="150">
        <f>672+422</f>
        <v>1094</v>
      </c>
      <c r="T25" s="177">
        <v>10000</v>
      </c>
      <c r="U25" s="137">
        <f t="shared" si="1"/>
        <v>34694</v>
      </c>
      <c r="V25" s="152"/>
      <c r="W25" s="178"/>
      <c r="X25" s="179"/>
      <c r="Y25" s="180"/>
    </row>
    <row r="26" spans="1:25">
      <c r="A26" s="74">
        <v>42793</v>
      </c>
      <c r="B26" s="147">
        <v>11806</v>
      </c>
      <c r="C26" s="367">
        <v>23580</v>
      </c>
      <c r="D26" s="147">
        <f>4064+7500</f>
        <v>11564</v>
      </c>
      <c r="E26" s="145"/>
      <c r="F26" s="146"/>
      <c r="G26" s="250"/>
      <c r="H26" s="147"/>
      <c r="I26" s="145"/>
      <c r="J26" s="146"/>
      <c r="K26" s="148"/>
      <c r="L26" s="147"/>
      <c r="M26" s="146"/>
      <c r="N26" s="149">
        <v>2420</v>
      </c>
      <c r="O26" s="150">
        <v>403</v>
      </c>
      <c r="P26" s="147"/>
      <c r="Q26" s="146"/>
      <c r="R26" s="149"/>
      <c r="S26" s="150"/>
      <c r="T26" s="177"/>
      <c r="U26" s="137">
        <f t="shared" si="1"/>
        <v>11564</v>
      </c>
      <c r="V26" s="152"/>
      <c r="W26" s="178"/>
      <c r="X26" s="179"/>
      <c r="Y26" s="180"/>
    </row>
    <row r="27" spans="1:25" ht="16.8" thickBot="1">
      <c r="A27" s="74">
        <v>42794</v>
      </c>
      <c r="B27" s="147">
        <f>2684</f>
        <v>2684</v>
      </c>
      <c r="C27" s="367"/>
      <c r="D27" s="147">
        <v>4494</v>
      </c>
      <c r="E27" s="145"/>
      <c r="F27" s="146">
        <f>810</f>
        <v>810</v>
      </c>
      <c r="G27" s="250">
        <f t="shared" si="0"/>
        <v>2403.75</v>
      </c>
      <c r="H27" s="147"/>
      <c r="I27" s="145"/>
      <c r="J27" s="146">
        <f>1000+8255</f>
        <v>9255</v>
      </c>
      <c r="K27" s="148"/>
      <c r="L27" s="147"/>
      <c r="M27" s="146"/>
      <c r="N27" s="149"/>
      <c r="O27" s="150"/>
      <c r="P27" s="147"/>
      <c r="Q27" s="146"/>
      <c r="R27" s="149">
        <f>4460+1580+2580</f>
        <v>8620</v>
      </c>
      <c r="S27" s="150">
        <f>892+427+516</f>
        <v>1835</v>
      </c>
      <c r="T27" s="177"/>
      <c r="U27" s="137">
        <f t="shared" si="1"/>
        <v>14559</v>
      </c>
      <c r="V27" s="152"/>
      <c r="W27" s="178"/>
      <c r="X27" s="179"/>
      <c r="Y27" s="180"/>
    </row>
    <row r="28" spans="1:25" ht="16.8" thickBot="1">
      <c r="A28" s="337"/>
      <c r="B28" s="191">
        <f>SUM(B5:B27)</f>
        <v>18818</v>
      </c>
      <c r="C28" s="369">
        <f>SUM(C5:C27)</f>
        <v>35493</v>
      </c>
      <c r="D28" s="191">
        <f>SUM(D5:D27)</f>
        <v>126610</v>
      </c>
      <c r="E28" s="192">
        <f>SUM(E5:E27)</f>
        <v>24015</v>
      </c>
      <c r="F28" s="192">
        <f>SUM(F5:F27)</f>
        <v>31838</v>
      </c>
      <c r="G28" s="250">
        <f t="shared" si="0"/>
        <v>26070.00292397663</v>
      </c>
      <c r="H28" s="191">
        <f t="shared" ref="H28:Y28" si="2">SUM(H5:H27)</f>
        <v>0</v>
      </c>
      <c r="I28" s="192">
        <f t="shared" si="2"/>
        <v>0</v>
      </c>
      <c r="J28" s="193">
        <f t="shared" si="2"/>
        <v>85074</v>
      </c>
      <c r="K28" s="194">
        <f t="shared" si="2"/>
        <v>0</v>
      </c>
      <c r="L28" s="342">
        <f t="shared" si="2"/>
        <v>21925</v>
      </c>
      <c r="M28" s="343">
        <f t="shared" si="2"/>
        <v>23680</v>
      </c>
      <c r="N28" s="343">
        <f t="shared" si="2"/>
        <v>27900</v>
      </c>
      <c r="O28" s="344">
        <f t="shared" si="2"/>
        <v>6532</v>
      </c>
      <c r="P28" s="342">
        <f t="shared" si="2"/>
        <v>11150</v>
      </c>
      <c r="Q28" s="343">
        <f t="shared" si="2"/>
        <v>5975</v>
      </c>
      <c r="R28" s="343">
        <f t="shared" si="2"/>
        <v>212080</v>
      </c>
      <c r="S28" s="344">
        <f t="shared" si="2"/>
        <v>48163</v>
      </c>
      <c r="T28" s="191">
        <f t="shared" si="2"/>
        <v>110000</v>
      </c>
      <c r="U28" s="137">
        <f t="shared" si="2"/>
        <v>440267</v>
      </c>
      <c r="V28" s="341">
        <f t="shared" si="2"/>
        <v>3200</v>
      </c>
      <c r="W28" s="341">
        <f t="shared" si="2"/>
        <v>0</v>
      </c>
      <c r="X28" s="341">
        <f t="shared" si="2"/>
        <v>0</v>
      </c>
      <c r="Y28" s="341">
        <f t="shared" si="2"/>
        <v>0</v>
      </c>
    </row>
    <row r="29" spans="1:25">
      <c r="A29" s="195"/>
      <c r="B29" s="195"/>
      <c r="C29" s="195"/>
      <c r="D29" s="196" t="s">
        <v>75</v>
      </c>
      <c r="E29" s="321">
        <f>SUM(D28:J28)</f>
        <v>293607.00292397663</v>
      </c>
      <c r="F29" s="197"/>
      <c r="G29" s="198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 t="s">
        <v>76</v>
      </c>
      <c r="W29" s="195"/>
      <c r="X29" s="195"/>
      <c r="Y29" s="195"/>
    </row>
    <row r="30" spans="1:25">
      <c r="A30" s="195"/>
      <c r="B30" s="195"/>
      <c r="C30" s="195"/>
      <c r="D30" s="199" t="s">
        <v>77</v>
      </c>
      <c r="E30" s="322">
        <f>G28</f>
        <v>26070.00292397663</v>
      </c>
      <c r="F30" s="200"/>
      <c r="G30" s="201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</row>
    <row r="31" spans="1:25" ht="16.8" thickBot="1">
      <c r="A31" s="89"/>
      <c r="B31" s="89"/>
      <c r="C31" s="89"/>
      <c r="D31" s="202" t="s">
        <v>78</v>
      </c>
      <c r="E31" s="323">
        <f>SUM(D28:F28,H28:J28)</f>
        <v>267537</v>
      </c>
      <c r="F31" s="203"/>
      <c r="G31" s="204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>
      <c r="A32" s="89"/>
      <c r="B32" s="89"/>
      <c r="C32" s="89"/>
      <c r="D32" s="89"/>
      <c r="E32" s="89"/>
      <c r="F32" s="89"/>
      <c r="G32" s="89"/>
      <c r="H32" s="89"/>
      <c r="I32" s="89"/>
      <c r="J32" s="205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4"/>
  <sheetViews>
    <sheetView workbookViewId="0">
      <pane ySplit="4" topLeftCell="A8" activePane="bottomLeft" state="frozen"/>
      <selection pane="bottomLeft" activeCell="F31" sqref="F31"/>
    </sheetView>
  </sheetViews>
  <sheetFormatPr defaultColWidth="9" defaultRowHeight="15"/>
  <cols>
    <col min="1" max="1" width="6.44140625" style="8" customWidth="1"/>
    <col min="2" max="2" width="5.6640625" style="8" customWidth="1"/>
    <col min="3" max="13" width="6.21875" style="6" customWidth="1"/>
    <col min="14" max="14" width="6.109375" style="6" customWidth="1"/>
    <col min="15" max="22" width="6.21875" style="6" hidden="1" customWidth="1"/>
    <col min="23" max="32" width="6.21875" style="6" customWidth="1"/>
    <col min="33" max="33" width="5" style="6" bestFit="1" customWidth="1"/>
    <col min="34" max="34" width="8.33203125" style="6" bestFit="1" customWidth="1"/>
    <col min="35" max="35" width="9.88671875" style="6" customWidth="1"/>
    <col min="36" max="36" width="8.77734375" style="6" customWidth="1"/>
    <col min="37" max="37" width="22.6640625" style="6" customWidth="1"/>
    <col min="38" max="16384" width="9" style="6"/>
  </cols>
  <sheetData>
    <row r="1" spans="1:37" ht="19.8">
      <c r="A1" s="32" t="s">
        <v>194</v>
      </c>
      <c r="B1" s="33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  <c r="V1" s="35"/>
      <c r="W1" s="35"/>
      <c r="X1" s="35"/>
      <c r="Y1" s="34"/>
      <c r="Z1" s="34"/>
      <c r="AA1" s="34"/>
      <c r="AB1" s="34"/>
      <c r="AC1" s="34"/>
      <c r="AD1" s="34"/>
      <c r="AE1" s="34"/>
      <c r="AF1" s="34"/>
    </row>
    <row r="2" spans="1:37" ht="4.5" customHeight="1" thickBot="1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Y2" s="5"/>
      <c r="Z2" s="5"/>
      <c r="AA2" s="5"/>
      <c r="AB2" s="5"/>
      <c r="AC2" s="5"/>
      <c r="AD2" s="5"/>
      <c r="AE2" s="5"/>
      <c r="AF2" s="5"/>
    </row>
    <row r="3" spans="1:37" ht="16.8">
      <c r="A3" s="443" t="s">
        <v>31</v>
      </c>
      <c r="B3" s="444"/>
      <c r="C3" s="449" t="s">
        <v>40</v>
      </c>
      <c r="D3" s="450"/>
      <c r="E3" s="450"/>
      <c r="F3" s="451"/>
      <c r="G3" s="440" t="s">
        <v>41</v>
      </c>
      <c r="H3" s="441"/>
      <c r="I3" s="441"/>
      <c r="J3" s="442"/>
      <c r="K3" s="440" t="s">
        <v>42</v>
      </c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442"/>
      <c r="Y3" s="440" t="s">
        <v>54</v>
      </c>
      <c r="Z3" s="441"/>
      <c r="AA3" s="441"/>
      <c r="AB3" s="442"/>
      <c r="AC3" s="440" t="s">
        <v>160</v>
      </c>
      <c r="AD3" s="441"/>
      <c r="AE3" s="441"/>
      <c r="AF3" s="442"/>
      <c r="AG3" s="28" t="s">
        <v>33</v>
      </c>
      <c r="AH3" s="29"/>
      <c r="AI3" s="30" t="s">
        <v>35</v>
      </c>
    </row>
    <row r="4" spans="1:37" s="7" customFormat="1" ht="14.4" thickBot="1">
      <c r="A4" s="445" t="s">
        <v>32</v>
      </c>
      <c r="B4" s="446"/>
      <c r="C4" s="1" t="s">
        <v>28</v>
      </c>
      <c r="D4" s="2" t="s">
        <v>30</v>
      </c>
      <c r="E4" s="2" t="s">
        <v>29</v>
      </c>
      <c r="F4" s="3" t="s">
        <v>30</v>
      </c>
      <c r="G4" s="1" t="s">
        <v>28</v>
      </c>
      <c r="H4" s="2" t="s">
        <v>30</v>
      </c>
      <c r="I4" s="2" t="s">
        <v>29</v>
      </c>
      <c r="J4" s="3" t="s">
        <v>30</v>
      </c>
      <c r="K4" s="1" t="s">
        <v>28</v>
      </c>
      <c r="L4" s="2" t="s">
        <v>30</v>
      </c>
      <c r="M4" s="2" t="s">
        <v>29</v>
      </c>
      <c r="N4" s="3" t="s">
        <v>30</v>
      </c>
      <c r="O4" s="1" t="s">
        <v>28</v>
      </c>
      <c r="P4" s="2" t="s">
        <v>30</v>
      </c>
      <c r="Q4" s="2" t="s">
        <v>29</v>
      </c>
      <c r="R4" s="3" t="s">
        <v>30</v>
      </c>
      <c r="S4" s="1" t="s">
        <v>28</v>
      </c>
      <c r="T4" s="2" t="s">
        <v>30</v>
      </c>
      <c r="U4" s="2" t="s">
        <v>29</v>
      </c>
      <c r="V4" s="314" t="s">
        <v>30</v>
      </c>
      <c r="W4" s="2" t="s">
        <v>111</v>
      </c>
      <c r="X4" s="3" t="s">
        <v>30</v>
      </c>
      <c r="Y4" s="1" t="s">
        <v>28</v>
      </c>
      <c r="Z4" s="2" t="s">
        <v>30</v>
      </c>
      <c r="AA4" s="2" t="s">
        <v>29</v>
      </c>
      <c r="AB4" s="3" t="s">
        <v>30</v>
      </c>
      <c r="AC4" s="1" t="s">
        <v>28</v>
      </c>
      <c r="AD4" s="2" t="s">
        <v>30</v>
      </c>
      <c r="AE4" s="2" t="s">
        <v>29</v>
      </c>
      <c r="AF4" s="3" t="s">
        <v>30</v>
      </c>
      <c r="AG4" s="1" t="s">
        <v>30</v>
      </c>
      <c r="AH4" s="3" t="s">
        <v>34</v>
      </c>
      <c r="AI4" s="31" t="s">
        <v>36</v>
      </c>
    </row>
    <row r="5" spans="1:37" ht="16.8" thickBot="1">
      <c r="A5" s="74">
        <v>42768</v>
      </c>
      <c r="B5" s="281" t="s">
        <v>99</v>
      </c>
      <c r="C5" s="12">
        <f>900+840+2639</f>
        <v>4379</v>
      </c>
      <c r="D5" s="13">
        <v>3</v>
      </c>
      <c r="E5" s="13"/>
      <c r="F5" s="14"/>
      <c r="G5" s="15"/>
      <c r="H5" s="16"/>
      <c r="I5" s="16">
        <f>2733+1780+840</f>
        <v>5353</v>
      </c>
      <c r="J5" s="17">
        <v>3</v>
      </c>
      <c r="K5" s="15"/>
      <c r="L5" s="16"/>
      <c r="M5" s="16"/>
      <c r="N5" s="17"/>
      <c r="O5" s="15"/>
      <c r="P5" s="16"/>
      <c r="Q5" s="16"/>
      <c r="R5" s="17"/>
      <c r="S5" s="18"/>
      <c r="T5" s="13"/>
      <c r="U5" s="13"/>
      <c r="V5" s="19"/>
      <c r="W5" s="13"/>
      <c r="X5" s="14"/>
      <c r="Y5" s="15">
        <f>1456+1080+3137</f>
        <v>5673</v>
      </c>
      <c r="Z5" s="16">
        <v>3</v>
      </c>
      <c r="AA5" s="16"/>
      <c r="AB5" s="17"/>
      <c r="AC5" s="15">
        <v>1000</v>
      </c>
      <c r="AD5" s="16">
        <v>1</v>
      </c>
      <c r="AE5" s="16"/>
      <c r="AF5" s="17"/>
      <c r="AG5" s="36">
        <f>D5+F5+H5+J5+L5+N5+X5+Z5+AB5+AD5+AF5</f>
        <v>10</v>
      </c>
      <c r="AH5" s="37">
        <f>C5+E5+G5+I5+K5+M5+W5+Y5+AA5+AC5+AE5</f>
        <v>16405</v>
      </c>
      <c r="AI5" s="38">
        <f>營業報!P5+營業報!Q5+營業報!R5-營業報!S5</f>
        <v>16405</v>
      </c>
      <c r="AJ5" s="6">
        <f>AI5-AH5</f>
        <v>0</v>
      </c>
    </row>
    <row r="6" spans="1:37" ht="16.8" thickBot="1">
      <c r="A6" s="74">
        <v>42769</v>
      </c>
      <c r="B6" s="281" t="s">
        <v>161</v>
      </c>
      <c r="C6" s="20">
        <f>1817+2224</f>
        <v>4041</v>
      </c>
      <c r="D6" s="21">
        <v>2</v>
      </c>
      <c r="E6" s="21"/>
      <c r="F6" s="22"/>
      <c r="G6" s="20"/>
      <c r="H6" s="21"/>
      <c r="I6" s="21"/>
      <c r="J6" s="22"/>
      <c r="K6" s="20">
        <f>417</f>
        <v>417</v>
      </c>
      <c r="L6" s="21">
        <v>1</v>
      </c>
      <c r="M6" s="21">
        <v>1900</v>
      </c>
      <c r="N6" s="22">
        <v>1</v>
      </c>
      <c r="O6" s="20"/>
      <c r="P6" s="21"/>
      <c r="Q6" s="21"/>
      <c r="R6" s="22"/>
      <c r="S6" s="23"/>
      <c r="T6" s="21"/>
      <c r="U6" s="21"/>
      <c r="V6" s="315"/>
      <c r="W6" s="21"/>
      <c r="X6" s="22"/>
      <c r="Y6" s="20">
        <v>2226</v>
      </c>
      <c r="Z6" s="21">
        <v>1</v>
      </c>
      <c r="AA6" s="21"/>
      <c r="AB6" s="22"/>
      <c r="AC6" s="20">
        <v>417</v>
      </c>
      <c r="AD6" s="21">
        <v>1</v>
      </c>
      <c r="AE6" s="21"/>
      <c r="AF6" s="22"/>
      <c r="AG6" s="36">
        <f t="shared" ref="AG6:AG27" si="0">D6+F6+H6+J6+L6+N6+X6+Z6+AB6+AD6+AF6</f>
        <v>6</v>
      </c>
      <c r="AH6" s="37">
        <f t="shared" ref="AH6:AH27" si="1">C6+E6+G6+I6+K6+M6+W6+Y6+AA6+AC6+AE6</f>
        <v>9001</v>
      </c>
      <c r="AI6" s="38">
        <f>營業報!P6+營業報!Q6+營業報!R6-營業報!S6</f>
        <v>9001</v>
      </c>
      <c r="AJ6" s="6">
        <f t="shared" ref="AJ6:AJ27" si="2">AI6-AH6</f>
        <v>0</v>
      </c>
    </row>
    <row r="7" spans="1:37" ht="16.8" thickBot="1">
      <c r="A7" s="74">
        <v>42770</v>
      </c>
      <c r="B7" s="281" t="s">
        <v>162</v>
      </c>
      <c r="C7" s="20">
        <f>864+864</f>
        <v>1728</v>
      </c>
      <c r="D7" s="21">
        <v>2</v>
      </c>
      <c r="E7" s="21"/>
      <c r="F7" s="22"/>
      <c r="G7" s="20">
        <f>800+1184+1246</f>
        <v>3230</v>
      </c>
      <c r="H7" s="21">
        <v>3</v>
      </c>
      <c r="I7" s="21"/>
      <c r="J7" s="22"/>
      <c r="K7" s="20"/>
      <c r="L7" s="21"/>
      <c r="M7" s="21">
        <v>1424</v>
      </c>
      <c r="N7" s="22">
        <v>1</v>
      </c>
      <c r="O7" s="20"/>
      <c r="P7" s="21"/>
      <c r="Q7" s="21"/>
      <c r="R7" s="22"/>
      <c r="S7" s="23"/>
      <c r="T7" s="21"/>
      <c r="U7" s="21"/>
      <c r="V7" s="315"/>
      <c r="W7" s="21">
        <f>700+1200</f>
        <v>1900</v>
      </c>
      <c r="X7" s="22">
        <v>1</v>
      </c>
      <c r="Y7" s="20">
        <v>320</v>
      </c>
      <c r="Z7" s="21">
        <v>1</v>
      </c>
      <c r="AA7" s="21">
        <f>2016+1424</f>
        <v>3440</v>
      </c>
      <c r="AB7" s="22">
        <v>2</v>
      </c>
      <c r="AC7" s="20"/>
      <c r="AD7" s="21"/>
      <c r="AE7" s="21"/>
      <c r="AF7" s="22"/>
      <c r="AG7" s="36">
        <f t="shared" si="0"/>
        <v>10</v>
      </c>
      <c r="AH7" s="37">
        <f>C7+E7+G7+I7+K7+M7+Y7+AA7+AC7+AE7+W7</f>
        <v>12042</v>
      </c>
      <c r="AI7" s="38">
        <f>營業報!P7+營業報!Q7+營業報!R7-營業報!S7</f>
        <v>12042</v>
      </c>
      <c r="AJ7" s="6">
        <f t="shared" si="2"/>
        <v>0</v>
      </c>
    </row>
    <row r="8" spans="1:37" ht="16.8" thickBot="1">
      <c r="A8" s="74">
        <v>42772</v>
      </c>
      <c r="B8" s="281" t="s">
        <v>163</v>
      </c>
      <c r="C8" s="20">
        <f>1080+1817</f>
        <v>2897</v>
      </c>
      <c r="D8" s="21">
        <v>2</v>
      </c>
      <c r="E8" s="21"/>
      <c r="F8" s="22"/>
      <c r="G8" s="20">
        <v>2150</v>
      </c>
      <c r="H8" s="21">
        <v>1</v>
      </c>
      <c r="I8" s="21"/>
      <c r="J8" s="22"/>
      <c r="K8" s="20"/>
      <c r="L8" s="21"/>
      <c r="M8" s="21">
        <f>1483</f>
        <v>1483</v>
      </c>
      <c r="N8" s="22">
        <v>1</v>
      </c>
      <c r="O8" s="20"/>
      <c r="P8" s="21"/>
      <c r="Q8" s="24"/>
      <c r="R8" s="22"/>
      <c r="S8" s="23"/>
      <c r="T8" s="21"/>
      <c r="U8" s="24"/>
      <c r="V8" s="315"/>
      <c r="W8" s="21"/>
      <c r="X8" s="22"/>
      <c r="Y8" s="20"/>
      <c r="Z8" s="21"/>
      <c r="AA8" s="21"/>
      <c r="AB8" s="22"/>
      <c r="AC8" s="339"/>
      <c r="AD8" s="21"/>
      <c r="AE8" s="21"/>
      <c r="AF8" s="22"/>
      <c r="AG8" s="36">
        <f t="shared" si="0"/>
        <v>4</v>
      </c>
      <c r="AH8" s="37">
        <f t="shared" si="1"/>
        <v>6530</v>
      </c>
      <c r="AI8" s="38">
        <f>營業報!P8+營業報!Q8+營業報!R8-營業報!S8</f>
        <v>6530</v>
      </c>
      <c r="AJ8" s="6">
        <f t="shared" si="2"/>
        <v>0</v>
      </c>
      <c r="AK8" s="340"/>
    </row>
    <row r="9" spans="1:37" ht="16.8" thickBot="1">
      <c r="A9" s="74">
        <v>42773</v>
      </c>
      <c r="B9" s="281" t="s">
        <v>98</v>
      </c>
      <c r="C9" s="20"/>
      <c r="D9" s="21"/>
      <c r="E9" s="21"/>
      <c r="F9" s="22"/>
      <c r="G9" s="20">
        <v>1286</v>
      </c>
      <c r="H9" s="21">
        <v>1</v>
      </c>
      <c r="I9" s="21"/>
      <c r="J9" s="22"/>
      <c r="K9" s="20">
        <v>1754</v>
      </c>
      <c r="L9" s="21">
        <v>1</v>
      </c>
      <c r="M9" s="21">
        <v>2296</v>
      </c>
      <c r="N9" s="22">
        <v>1</v>
      </c>
      <c r="O9" s="20"/>
      <c r="P9" s="21"/>
      <c r="Q9" s="21"/>
      <c r="R9" s="22"/>
      <c r="S9" s="23"/>
      <c r="T9" s="21"/>
      <c r="U9" s="21"/>
      <c r="V9" s="315"/>
      <c r="W9" s="21"/>
      <c r="X9" s="22"/>
      <c r="Y9" s="20"/>
      <c r="Z9" s="21"/>
      <c r="AA9" s="21"/>
      <c r="AB9" s="22"/>
      <c r="AC9" s="20"/>
      <c r="AD9" s="21"/>
      <c r="AE9" s="21"/>
      <c r="AF9" s="22"/>
      <c r="AG9" s="36">
        <f t="shared" si="0"/>
        <v>3</v>
      </c>
      <c r="AH9" s="37">
        <f t="shared" si="1"/>
        <v>5336</v>
      </c>
      <c r="AI9" s="38">
        <f>營業報!P9+營業報!Q9+營業報!R9-營業報!S9</f>
        <v>5336</v>
      </c>
      <c r="AJ9" s="6">
        <f t="shared" si="2"/>
        <v>0</v>
      </c>
    </row>
    <row r="10" spans="1:37" ht="16.8" thickBot="1">
      <c r="A10" s="74">
        <v>42774</v>
      </c>
      <c r="B10" s="281" t="s">
        <v>164</v>
      </c>
      <c r="C10" s="20"/>
      <c r="D10" s="21"/>
      <c r="E10" s="24"/>
      <c r="F10" s="25"/>
      <c r="G10" s="26">
        <f>1106</f>
        <v>1106</v>
      </c>
      <c r="H10" s="24">
        <v>1</v>
      </c>
      <c r="I10" s="21"/>
      <c r="J10" s="22"/>
      <c r="K10" s="20">
        <f>2064</f>
        <v>2064</v>
      </c>
      <c r="L10" s="21">
        <v>1</v>
      </c>
      <c r="M10" s="21"/>
      <c r="N10" s="22"/>
      <c r="O10" s="20"/>
      <c r="P10" s="21"/>
      <c r="Q10" s="21"/>
      <c r="R10" s="22"/>
      <c r="S10" s="23"/>
      <c r="T10" s="21"/>
      <c r="U10" s="21"/>
      <c r="V10" s="315"/>
      <c r="W10" s="21"/>
      <c r="X10" s="22"/>
      <c r="Y10" s="20">
        <v>1500</v>
      </c>
      <c r="Z10" s="21">
        <v>1</v>
      </c>
      <c r="AA10" s="21">
        <f>1246+1417</f>
        <v>2663</v>
      </c>
      <c r="AB10" s="22">
        <v>2</v>
      </c>
      <c r="AC10" s="20"/>
      <c r="AD10" s="21"/>
      <c r="AE10" s="21"/>
      <c r="AF10" s="22"/>
      <c r="AG10" s="36">
        <f t="shared" si="0"/>
        <v>5</v>
      </c>
      <c r="AH10" s="37">
        <f t="shared" si="1"/>
        <v>7333</v>
      </c>
      <c r="AI10" s="38">
        <f>營業報!P10+營業報!Q10+營業報!R10-營業報!S10</f>
        <v>7333</v>
      </c>
      <c r="AJ10" s="6">
        <f t="shared" si="2"/>
        <v>0</v>
      </c>
    </row>
    <row r="11" spans="1:37" s="5" customFormat="1" ht="16.8" thickBot="1">
      <c r="A11" s="74">
        <v>42775</v>
      </c>
      <c r="B11" s="281" t="s">
        <v>99</v>
      </c>
      <c r="C11" s="20"/>
      <c r="D11" s="21"/>
      <c r="E11" s="21">
        <v>2296</v>
      </c>
      <c r="F11" s="22">
        <v>1</v>
      </c>
      <c r="G11" s="26"/>
      <c r="H11" s="24"/>
      <c r="I11" s="21"/>
      <c r="J11" s="22"/>
      <c r="K11" s="20"/>
      <c r="L11" s="21"/>
      <c r="M11" s="21"/>
      <c r="N11" s="22"/>
      <c r="O11" s="20"/>
      <c r="P11" s="21"/>
      <c r="Q11" s="21"/>
      <c r="R11" s="22"/>
      <c r="S11" s="23"/>
      <c r="T11" s="21"/>
      <c r="U11" s="21"/>
      <c r="V11" s="315"/>
      <c r="W11" s="21"/>
      <c r="X11" s="22"/>
      <c r="Y11" s="20">
        <v>1470</v>
      </c>
      <c r="Z11" s="21">
        <v>1</v>
      </c>
      <c r="AA11" s="21"/>
      <c r="AB11" s="22"/>
      <c r="AC11" s="20"/>
      <c r="AD11" s="21"/>
      <c r="AE11" s="21"/>
      <c r="AF11" s="22"/>
      <c r="AG11" s="36">
        <f t="shared" si="0"/>
        <v>2</v>
      </c>
      <c r="AH11" s="37">
        <f t="shared" si="1"/>
        <v>3766</v>
      </c>
      <c r="AI11" s="38">
        <f>營業報!P11+營業報!Q11+營業報!R11-營業報!S11</f>
        <v>3766</v>
      </c>
      <c r="AJ11" s="6">
        <f t="shared" si="2"/>
        <v>0</v>
      </c>
    </row>
    <row r="12" spans="1:37" ht="16.8" thickBot="1">
      <c r="A12" s="74">
        <v>42776</v>
      </c>
      <c r="B12" s="281" t="s">
        <v>161</v>
      </c>
      <c r="C12" s="27">
        <f>924+756</f>
        <v>1680</v>
      </c>
      <c r="D12" s="24">
        <v>2</v>
      </c>
      <c r="E12" s="24"/>
      <c r="F12" s="25"/>
      <c r="G12" s="27">
        <v>756</v>
      </c>
      <c r="H12" s="24">
        <v>1</v>
      </c>
      <c r="I12" s="24"/>
      <c r="J12" s="25"/>
      <c r="K12" s="27"/>
      <c r="L12" s="24"/>
      <c r="M12" s="21">
        <f>1246+2394</f>
        <v>3640</v>
      </c>
      <c r="N12" s="22">
        <v>2</v>
      </c>
      <c r="O12" s="20"/>
      <c r="P12" s="21"/>
      <c r="Q12" s="21"/>
      <c r="R12" s="22"/>
      <c r="S12" s="23"/>
      <c r="T12" s="21"/>
      <c r="U12" s="21"/>
      <c r="V12" s="315"/>
      <c r="W12" s="21"/>
      <c r="X12" s="22"/>
      <c r="Y12" s="27">
        <v>1733</v>
      </c>
      <c r="Z12" s="24">
        <v>1</v>
      </c>
      <c r="AA12" s="21">
        <v>1246</v>
      </c>
      <c r="AB12" s="22">
        <v>1</v>
      </c>
      <c r="AC12" s="27"/>
      <c r="AD12" s="24"/>
      <c r="AE12" s="21"/>
      <c r="AF12" s="22"/>
      <c r="AG12" s="36">
        <f t="shared" si="0"/>
        <v>7</v>
      </c>
      <c r="AH12" s="37">
        <f t="shared" si="1"/>
        <v>9055</v>
      </c>
      <c r="AI12" s="38">
        <f>營業報!P12+營業報!Q12+營業報!R12-營業報!S12</f>
        <v>9055</v>
      </c>
      <c r="AJ12" s="6">
        <f t="shared" si="2"/>
        <v>0</v>
      </c>
      <c r="AK12" s="340"/>
    </row>
    <row r="13" spans="1:37" ht="16.8" thickBot="1">
      <c r="A13" s="74">
        <v>42777</v>
      </c>
      <c r="B13" s="281" t="s">
        <v>162</v>
      </c>
      <c r="C13" s="27">
        <v>833</v>
      </c>
      <c r="D13" s="24">
        <v>1</v>
      </c>
      <c r="E13" s="24">
        <v>1300</v>
      </c>
      <c r="F13" s="25">
        <v>1</v>
      </c>
      <c r="G13" s="20">
        <v>2366</v>
      </c>
      <c r="H13" s="21">
        <v>1</v>
      </c>
      <c r="I13" s="21"/>
      <c r="J13" s="22"/>
      <c r="K13" s="20">
        <v>1983</v>
      </c>
      <c r="L13" s="21">
        <v>1</v>
      </c>
      <c r="M13" s="21"/>
      <c r="N13" s="22"/>
      <c r="O13" s="20"/>
      <c r="P13" s="21"/>
      <c r="Q13" s="21"/>
      <c r="R13" s="22"/>
      <c r="S13" s="23"/>
      <c r="T13" s="21"/>
      <c r="U13" s="21"/>
      <c r="V13" s="315"/>
      <c r="W13" s="21">
        <v>210</v>
      </c>
      <c r="X13" s="22">
        <v>1</v>
      </c>
      <c r="Y13" s="20">
        <v>1417</v>
      </c>
      <c r="Z13" s="21">
        <v>1</v>
      </c>
      <c r="AA13" s="21">
        <v>3066</v>
      </c>
      <c r="AB13" s="22">
        <v>1</v>
      </c>
      <c r="AC13" s="20"/>
      <c r="AD13" s="21"/>
      <c r="AE13" s="21"/>
      <c r="AF13" s="22"/>
      <c r="AG13" s="36">
        <f t="shared" si="0"/>
        <v>7</v>
      </c>
      <c r="AH13" s="37">
        <f t="shared" si="1"/>
        <v>11175</v>
      </c>
      <c r="AI13" s="38">
        <f>營業報!P13+營業報!Q13+營業報!R13-營業報!S13</f>
        <v>11175</v>
      </c>
      <c r="AJ13" s="6">
        <f t="shared" si="2"/>
        <v>0</v>
      </c>
    </row>
    <row r="14" spans="1:37" ht="16.8" thickBot="1">
      <c r="A14" s="74">
        <v>42779</v>
      </c>
      <c r="B14" s="281" t="s">
        <v>163</v>
      </c>
      <c r="C14" s="27"/>
      <c r="D14" s="24"/>
      <c r="E14" s="24">
        <v>1483</v>
      </c>
      <c r="F14" s="25">
        <v>1</v>
      </c>
      <c r="G14" s="20"/>
      <c r="H14" s="21"/>
      <c r="I14" s="21"/>
      <c r="J14" s="22"/>
      <c r="K14" s="20">
        <f>1602+417</f>
        <v>2019</v>
      </c>
      <c r="L14" s="21">
        <v>2</v>
      </c>
      <c r="M14" s="21">
        <v>1483</v>
      </c>
      <c r="N14" s="22">
        <v>1</v>
      </c>
      <c r="O14" s="20"/>
      <c r="P14" s="21"/>
      <c r="Q14" s="21"/>
      <c r="R14" s="22"/>
      <c r="S14" s="23"/>
      <c r="T14" s="21"/>
      <c r="U14" s="21"/>
      <c r="V14" s="315"/>
      <c r="W14" s="21"/>
      <c r="X14" s="22"/>
      <c r="Y14" s="20">
        <f>900+900+417</f>
        <v>2217</v>
      </c>
      <c r="Z14" s="21">
        <v>3</v>
      </c>
      <c r="AA14" s="21">
        <v>2526</v>
      </c>
      <c r="AB14" s="22">
        <v>1</v>
      </c>
      <c r="AC14" s="20"/>
      <c r="AD14" s="21"/>
      <c r="AE14" s="21"/>
      <c r="AF14" s="22"/>
      <c r="AG14" s="36">
        <f t="shared" si="0"/>
        <v>8</v>
      </c>
      <c r="AH14" s="37">
        <f t="shared" si="1"/>
        <v>9728</v>
      </c>
      <c r="AI14" s="38">
        <f>營業報!P14+營業報!Q14+營業報!R14-營業報!S14</f>
        <v>9728</v>
      </c>
      <c r="AJ14" s="6">
        <f t="shared" si="2"/>
        <v>0</v>
      </c>
    </row>
    <row r="15" spans="1:37" ht="16.8" thickBot="1">
      <c r="A15" s="74">
        <v>42780</v>
      </c>
      <c r="B15" s="281" t="s">
        <v>98</v>
      </c>
      <c r="C15" s="20"/>
      <c r="D15" s="21"/>
      <c r="E15" s="21"/>
      <c r="F15" s="22"/>
      <c r="G15" s="20"/>
      <c r="H15" s="21"/>
      <c r="I15" s="21"/>
      <c r="J15" s="22"/>
      <c r="K15" s="20">
        <v>1024</v>
      </c>
      <c r="L15" s="21">
        <v>1</v>
      </c>
      <c r="M15" s="21"/>
      <c r="N15" s="22"/>
      <c r="O15" s="20"/>
      <c r="P15" s="21"/>
      <c r="Q15" s="21"/>
      <c r="R15" s="22"/>
      <c r="S15" s="20"/>
      <c r="T15" s="21"/>
      <c r="U15" s="21"/>
      <c r="V15" s="315"/>
      <c r="W15" s="21"/>
      <c r="X15" s="22"/>
      <c r="Y15" s="20"/>
      <c r="Z15" s="21"/>
      <c r="AA15" s="21">
        <f>1246+1824</f>
        <v>3070</v>
      </c>
      <c r="AB15" s="22">
        <f>1+1</f>
        <v>2</v>
      </c>
      <c r="AC15" s="20"/>
      <c r="AD15" s="21"/>
      <c r="AE15" s="21"/>
      <c r="AF15" s="22"/>
      <c r="AG15" s="36">
        <f t="shared" si="0"/>
        <v>3</v>
      </c>
      <c r="AH15" s="37">
        <f t="shared" si="1"/>
        <v>4094</v>
      </c>
      <c r="AI15" s="38">
        <f>營業報!P15+營業報!Q15+營業報!R15-營業報!S15</f>
        <v>4094</v>
      </c>
      <c r="AJ15" s="6">
        <f t="shared" si="2"/>
        <v>0</v>
      </c>
      <c r="AK15" s="340"/>
    </row>
    <row r="16" spans="1:37" ht="16.8" thickBot="1">
      <c r="A16" s="74">
        <v>42781</v>
      </c>
      <c r="B16" s="281" t="s">
        <v>164</v>
      </c>
      <c r="C16" s="20"/>
      <c r="D16" s="21"/>
      <c r="E16" s="21"/>
      <c r="F16" s="22"/>
      <c r="G16" s="20">
        <v>900</v>
      </c>
      <c r="H16" s="21">
        <v>1</v>
      </c>
      <c r="I16" s="21"/>
      <c r="J16" s="22"/>
      <c r="K16" s="20"/>
      <c r="L16" s="21"/>
      <c r="M16" s="21">
        <v>1424</v>
      </c>
      <c r="N16" s="22">
        <v>1</v>
      </c>
      <c r="O16" s="20"/>
      <c r="P16" s="21"/>
      <c r="Q16" s="21"/>
      <c r="R16" s="25"/>
      <c r="S16" s="20"/>
      <c r="T16" s="21"/>
      <c r="U16" s="21"/>
      <c r="V16" s="316"/>
      <c r="W16" s="24">
        <v>899</v>
      </c>
      <c r="X16" s="25">
        <v>1</v>
      </c>
      <c r="Y16" s="20">
        <v>3024</v>
      </c>
      <c r="Z16" s="21">
        <v>1</v>
      </c>
      <c r="AA16" s="21">
        <v>1417</v>
      </c>
      <c r="AB16" s="22">
        <v>1</v>
      </c>
      <c r="AC16" s="20"/>
      <c r="AD16" s="21"/>
      <c r="AE16" s="21"/>
      <c r="AF16" s="22"/>
      <c r="AG16" s="36">
        <f t="shared" si="0"/>
        <v>5</v>
      </c>
      <c r="AH16" s="37">
        <f t="shared" si="1"/>
        <v>7664</v>
      </c>
      <c r="AI16" s="38">
        <f>營業報!P16+營業報!Q16+營業報!R16-營業報!S16</f>
        <v>7664</v>
      </c>
      <c r="AJ16" s="6">
        <f t="shared" si="2"/>
        <v>0</v>
      </c>
      <c r="AK16" s="340"/>
    </row>
    <row r="17" spans="1:37" ht="16.8" thickBot="1">
      <c r="A17" s="74">
        <v>42782</v>
      </c>
      <c r="B17" s="281" t="s">
        <v>99</v>
      </c>
      <c r="C17" s="20"/>
      <c r="D17" s="21"/>
      <c r="E17" s="21"/>
      <c r="F17" s="22"/>
      <c r="G17" s="20">
        <f>1733+840+2150+1546</f>
        <v>6269</v>
      </c>
      <c r="H17" s="21">
        <v>4</v>
      </c>
      <c r="I17" s="21"/>
      <c r="J17" s="22"/>
      <c r="K17" s="20"/>
      <c r="L17" s="21"/>
      <c r="M17" s="21">
        <f>1483+2317+2330</f>
        <v>6130</v>
      </c>
      <c r="N17" s="22">
        <v>3</v>
      </c>
      <c r="O17" s="20"/>
      <c r="P17" s="21"/>
      <c r="Q17" s="21"/>
      <c r="R17" s="22"/>
      <c r="S17" s="20"/>
      <c r="T17" s="21"/>
      <c r="U17" s="21"/>
      <c r="V17" s="315"/>
      <c r="W17" s="21"/>
      <c r="X17" s="22"/>
      <c r="Y17" s="20"/>
      <c r="Z17" s="21"/>
      <c r="AA17" s="21"/>
      <c r="AB17" s="22"/>
      <c r="AC17" s="20"/>
      <c r="AD17" s="21"/>
      <c r="AE17" s="21"/>
      <c r="AF17" s="22"/>
      <c r="AG17" s="36">
        <f t="shared" si="0"/>
        <v>7</v>
      </c>
      <c r="AH17" s="37">
        <f t="shared" si="1"/>
        <v>12399</v>
      </c>
      <c r="AI17" s="38">
        <f>營業報!P17+營業報!Q17+營業報!R17-營業報!S17</f>
        <v>12399</v>
      </c>
      <c r="AJ17" s="6">
        <f t="shared" si="2"/>
        <v>0</v>
      </c>
    </row>
    <row r="18" spans="1:37" ht="16.8" thickBot="1">
      <c r="A18" s="74">
        <v>42783</v>
      </c>
      <c r="B18" s="281" t="s">
        <v>161</v>
      </c>
      <c r="C18" s="20"/>
      <c r="D18" s="21"/>
      <c r="E18" s="21"/>
      <c r="F18" s="22"/>
      <c r="G18" s="20">
        <v>1233</v>
      </c>
      <c r="H18" s="21">
        <v>1</v>
      </c>
      <c r="I18" s="21"/>
      <c r="J18" s="22"/>
      <c r="K18" s="20">
        <f>1664+876</f>
        <v>2540</v>
      </c>
      <c r="L18" s="21">
        <v>2</v>
      </c>
      <c r="M18" s="21"/>
      <c r="N18" s="22"/>
      <c r="O18" s="20"/>
      <c r="P18" s="21"/>
      <c r="Q18" s="21"/>
      <c r="R18" s="22"/>
      <c r="S18" s="20"/>
      <c r="T18" s="21"/>
      <c r="U18" s="21"/>
      <c r="V18" s="315"/>
      <c r="W18" s="21"/>
      <c r="X18" s="22"/>
      <c r="Y18" s="20">
        <f>300</f>
        <v>300</v>
      </c>
      <c r="Z18" s="21">
        <v>1</v>
      </c>
      <c r="AA18" s="21">
        <f>1299+2067+1424</f>
        <v>4790</v>
      </c>
      <c r="AB18" s="22">
        <v>3</v>
      </c>
      <c r="AC18" s="20"/>
      <c r="AD18" s="21"/>
      <c r="AE18" s="21"/>
      <c r="AF18" s="22"/>
      <c r="AG18" s="36">
        <f t="shared" si="0"/>
        <v>7</v>
      </c>
      <c r="AH18" s="37">
        <f t="shared" si="1"/>
        <v>8863</v>
      </c>
      <c r="AI18" s="38">
        <f>營業報!P18+營業報!Q18+營業報!R18-營業報!S18</f>
        <v>8863</v>
      </c>
      <c r="AJ18" s="6">
        <f t="shared" si="2"/>
        <v>0</v>
      </c>
    </row>
    <row r="19" spans="1:37" s="5" customFormat="1" ht="16.8" thickBot="1">
      <c r="A19" s="74">
        <v>42784</v>
      </c>
      <c r="B19" s="281" t="s">
        <v>162</v>
      </c>
      <c r="C19" s="20"/>
      <c r="D19" s="21"/>
      <c r="E19" s="21"/>
      <c r="F19" s="22"/>
      <c r="G19" s="20">
        <f>756</f>
        <v>756</v>
      </c>
      <c r="H19" s="21">
        <v>1</v>
      </c>
      <c r="I19" s="21">
        <v>2218</v>
      </c>
      <c r="J19" s="22">
        <v>1</v>
      </c>
      <c r="K19" s="20">
        <f>840</f>
        <v>840</v>
      </c>
      <c r="L19" s="21">
        <v>1</v>
      </c>
      <c r="M19" s="21"/>
      <c r="N19" s="22"/>
      <c r="O19" s="20"/>
      <c r="P19" s="21"/>
      <c r="Q19" s="21"/>
      <c r="R19" s="22"/>
      <c r="S19" s="20"/>
      <c r="T19" s="21"/>
      <c r="U19" s="21"/>
      <c r="V19" s="315"/>
      <c r="W19" s="21"/>
      <c r="X19" s="22"/>
      <c r="Y19" s="20"/>
      <c r="Z19" s="21"/>
      <c r="AA19" s="21">
        <f>1246</f>
        <v>1246</v>
      </c>
      <c r="AB19" s="22">
        <v>1</v>
      </c>
      <c r="AC19" s="20"/>
      <c r="AD19" s="21"/>
      <c r="AE19" s="21"/>
      <c r="AF19" s="22"/>
      <c r="AG19" s="36">
        <f t="shared" si="0"/>
        <v>4</v>
      </c>
      <c r="AH19" s="37">
        <f t="shared" si="1"/>
        <v>5060</v>
      </c>
      <c r="AI19" s="38">
        <f>營業報!P19+營業報!Q19+營業報!R19-營業報!S19</f>
        <v>5060</v>
      </c>
      <c r="AJ19" s="6">
        <f t="shared" si="2"/>
        <v>0</v>
      </c>
    </row>
    <row r="20" spans="1:37" s="254" customFormat="1" ht="16.8" thickBot="1">
      <c r="A20" s="74">
        <v>42786</v>
      </c>
      <c r="B20" s="281" t="s">
        <v>163</v>
      </c>
      <c r="C20" s="251">
        <f>756+1505</f>
        <v>2261</v>
      </c>
      <c r="D20" s="252">
        <v>2</v>
      </c>
      <c r="E20" s="252"/>
      <c r="F20" s="253"/>
      <c r="G20" s="251">
        <f>1587</f>
        <v>1587</v>
      </c>
      <c r="H20" s="252">
        <v>1</v>
      </c>
      <c r="I20" s="252"/>
      <c r="J20" s="253"/>
      <c r="K20" s="251">
        <v>1180</v>
      </c>
      <c r="L20" s="252">
        <v>1</v>
      </c>
      <c r="M20" s="252"/>
      <c r="N20" s="253"/>
      <c r="O20" s="251"/>
      <c r="P20" s="252"/>
      <c r="Q20" s="252"/>
      <c r="R20" s="253"/>
      <c r="S20" s="251"/>
      <c r="T20" s="252"/>
      <c r="U20" s="252"/>
      <c r="V20" s="317"/>
      <c r="W20" s="319">
        <v>1470</v>
      </c>
      <c r="X20" s="320">
        <v>1</v>
      </c>
      <c r="Y20" s="251"/>
      <c r="Z20" s="319"/>
      <c r="AA20" s="319">
        <f>1246+2480</f>
        <v>3726</v>
      </c>
      <c r="AB20" s="320">
        <v>1</v>
      </c>
      <c r="AC20" s="251"/>
      <c r="AD20" s="252"/>
      <c r="AE20" s="252"/>
      <c r="AF20" s="253"/>
      <c r="AG20" s="36">
        <f t="shared" si="0"/>
        <v>6</v>
      </c>
      <c r="AH20" s="37">
        <f t="shared" si="1"/>
        <v>10224</v>
      </c>
      <c r="AI20" s="38">
        <f>營業報!P20+營業報!Q20+營業報!R20-營業報!S20</f>
        <v>10224</v>
      </c>
      <c r="AJ20" s="6">
        <f t="shared" si="2"/>
        <v>0</v>
      </c>
    </row>
    <row r="21" spans="1:37" ht="16.8" thickBot="1">
      <c r="A21" s="74">
        <v>42787</v>
      </c>
      <c r="B21" s="281" t="s">
        <v>98</v>
      </c>
      <c r="C21" s="20">
        <v>1246</v>
      </c>
      <c r="D21" s="21">
        <v>1</v>
      </c>
      <c r="E21" s="21"/>
      <c r="F21" s="22"/>
      <c r="G21" s="20">
        <v>1000</v>
      </c>
      <c r="H21" s="21">
        <v>1</v>
      </c>
      <c r="I21" s="21"/>
      <c r="J21" s="22"/>
      <c r="K21" s="20"/>
      <c r="L21" s="21"/>
      <c r="M21" s="21">
        <v>1000</v>
      </c>
      <c r="N21" s="22">
        <v>1</v>
      </c>
      <c r="O21" s="20"/>
      <c r="P21" s="21"/>
      <c r="Q21" s="21"/>
      <c r="R21" s="22"/>
      <c r="S21" s="20"/>
      <c r="T21" s="21"/>
      <c r="U21" s="21"/>
      <c r="V21" s="315"/>
      <c r="W21" s="21">
        <v>0</v>
      </c>
      <c r="X21" s="22">
        <v>0</v>
      </c>
      <c r="Y21" s="20">
        <v>900</v>
      </c>
      <c r="Z21" s="21">
        <v>1</v>
      </c>
      <c r="AA21" s="21">
        <v>2016</v>
      </c>
      <c r="AB21" s="22">
        <v>1</v>
      </c>
      <c r="AC21" s="20"/>
      <c r="AD21" s="21"/>
      <c r="AE21" s="21"/>
      <c r="AF21" s="22"/>
      <c r="AG21" s="36">
        <f t="shared" si="0"/>
        <v>5</v>
      </c>
      <c r="AH21" s="37">
        <f t="shared" si="1"/>
        <v>6162</v>
      </c>
      <c r="AI21" s="38">
        <f>營業報!P21+營業報!Q21+營業報!R21-營業報!S21</f>
        <v>6162</v>
      </c>
      <c r="AJ21" s="6">
        <f t="shared" si="2"/>
        <v>0</v>
      </c>
    </row>
    <row r="22" spans="1:37" ht="16.8" thickBot="1">
      <c r="A22" s="74">
        <v>42788</v>
      </c>
      <c r="B22" s="281" t="s">
        <v>164</v>
      </c>
      <c r="C22" s="20"/>
      <c r="D22" s="21"/>
      <c r="E22" s="21"/>
      <c r="F22" s="22"/>
      <c r="G22" s="20">
        <v>756</v>
      </c>
      <c r="H22" s="21">
        <v>1</v>
      </c>
      <c r="I22" s="21"/>
      <c r="J22" s="22"/>
      <c r="K22" s="20">
        <f>756+511</f>
        <v>1267</v>
      </c>
      <c r="L22" s="21">
        <v>2</v>
      </c>
      <c r="M22" s="21"/>
      <c r="N22" s="22"/>
      <c r="O22" s="20"/>
      <c r="P22" s="21"/>
      <c r="Q22" s="21"/>
      <c r="R22" s="22"/>
      <c r="S22" s="20"/>
      <c r="T22" s="21"/>
      <c r="U22" s="21"/>
      <c r="V22" s="315"/>
      <c r="W22" s="21"/>
      <c r="X22" s="22"/>
      <c r="Y22" s="20"/>
      <c r="Z22" s="21"/>
      <c r="AA22" s="21">
        <f>1246+1246</f>
        <v>2492</v>
      </c>
      <c r="AB22" s="22">
        <v>2</v>
      </c>
      <c r="AC22" s="20"/>
      <c r="AD22" s="21"/>
      <c r="AE22" s="21"/>
      <c r="AF22" s="22"/>
      <c r="AG22" s="36">
        <f t="shared" si="0"/>
        <v>5</v>
      </c>
      <c r="AH22" s="37">
        <f t="shared" si="1"/>
        <v>4515</v>
      </c>
      <c r="AI22" s="38">
        <f>營業報!P22+營業報!Q22+營業報!R22-營業報!S22</f>
        <v>4515</v>
      </c>
      <c r="AJ22" s="6">
        <f t="shared" si="2"/>
        <v>0</v>
      </c>
      <c r="AK22" s="340"/>
    </row>
    <row r="23" spans="1:37" ht="15.75" customHeight="1" thickBot="1">
      <c r="A23" s="74">
        <v>42789</v>
      </c>
      <c r="B23" s="281" t="s">
        <v>99</v>
      </c>
      <c r="C23" s="20">
        <f>826+1700+1718</f>
        <v>4244</v>
      </c>
      <c r="D23" s="21">
        <v>3</v>
      </c>
      <c r="E23" s="21"/>
      <c r="F23" s="22"/>
      <c r="G23" s="20"/>
      <c r="H23" s="21"/>
      <c r="I23" s="21"/>
      <c r="J23" s="22"/>
      <c r="K23" s="20"/>
      <c r="L23" s="21"/>
      <c r="M23" s="21"/>
      <c r="N23" s="22"/>
      <c r="O23" s="20"/>
      <c r="P23" s="21"/>
      <c r="Q23" s="21"/>
      <c r="R23" s="22"/>
      <c r="S23" s="20"/>
      <c r="T23" s="21"/>
      <c r="U23" s="21"/>
      <c r="V23" s="315"/>
      <c r="W23" s="21"/>
      <c r="X23" s="22"/>
      <c r="Y23" s="20">
        <v>1987</v>
      </c>
      <c r="Z23" s="21">
        <v>1</v>
      </c>
      <c r="AA23" s="21">
        <v>1316</v>
      </c>
      <c r="AB23" s="22">
        <v>1</v>
      </c>
      <c r="AC23" s="20"/>
      <c r="AD23" s="21"/>
      <c r="AE23" s="21"/>
      <c r="AF23" s="22"/>
      <c r="AG23" s="36">
        <f t="shared" si="0"/>
        <v>5</v>
      </c>
      <c r="AH23" s="37">
        <f t="shared" si="1"/>
        <v>7547</v>
      </c>
      <c r="AI23" s="38">
        <f>營業報!P23+營業報!Q23+營業報!R23-營業報!S23</f>
        <v>7547</v>
      </c>
      <c r="AJ23" s="6">
        <f t="shared" si="2"/>
        <v>0</v>
      </c>
    </row>
    <row r="24" spans="1:37" ht="16.8" thickBot="1">
      <c r="A24" s="74">
        <v>42790</v>
      </c>
      <c r="B24" s="281" t="s">
        <v>161</v>
      </c>
      <c r="C24" s="20">
        <f>788+864+1309</f>
        <v>2961</v>
      </c>
      <c r="D24" s="21">
        <v>3</v>
      </c>
      <c r="E24" s="21">
        <v>385</v>
      </c>
      <c r="F24" s="22">
        <v>1</v>
      </c>
      <c r="G24" s="20">
        <f>756+1904</f>
        <v>2660</v>
      </c>
      <c r="H24" s="21">
        <v>2</v>
      </c>
      <c r="I24" s="21">
        <v>1258</v>
      </c>
      <c r="J24" s="22">
        <v>1</v>
      </c>
      <c r="K24" s="20"/>
      <c r="L24" s="21"/>
      <c r="M24" s="21"/>
      <c r="N24" s="22"/>
      <c r="O24" s="20"/>
      <c r="P24" s="21"/>
      <c r="Q24" s="21"/>
      <c r="R24" s="22"/>
      <c r="S24" s="20"/>
      <c r="T24" s="21"/>
      <c r="U24" s="21"/>
      <c r="V24" s="315"/>
      <c r="W24" s="21"/>
      <c r="X24" s="22"/>
      <c r="Y24" s="20"/>
      <c r="Z24" s="21"/>
      <c r="AA24" s="21">
        <f>1300+2624+1424</f>
        <v>5348</v>
      </c>
      <c r="AB24" s="22">
        <v>3</v>
      </c>
      <c r="AC24" s="20"/>
      <c r="AD24" s="21"/>
      <c r="AE24" s="21"/>
      <c r="AF24" s="22"/>
      <c r="AG24" s="36">
        <f t="shared" si="0"/>
        <v>10</v>
      </c>
      <c r="AH24" s="37">
        <f t="shared" si="1"/>
        <v>12612</v>
      </c>
      <c r="AI24" s="38">
        <f>營業報!P24+營業報!Q24+營業報!R24-營業報!S24</f>
        <v>12612</v>
      </c>
      <c r="AJ24" s="6">
        <f t="shared" si="2"/>
        <v>0</v>
      </c>
      <c r="AK24" s="340"/>
    </row>
    <row r="25" spans="1:37" ht="16.8" thickBot="1">
      <c r="A25" s="74">
        <v>42791</v>
      </c>
      <c r="B25" s="281" t="s">
        <v>162</v>
      </c>
      <c r="C25" s="27">
        <v>2058</v>
      </c>
      <c r="D25" s="21">
        <v>1</v>
      </c>
      <c r="E25" s="21"/>
      <c r="F25" s="22"/>
      <c r="G25" s="27">
        <v>1824</v>
      </c>
      <c r="H25" s="24">
        <v>1</v>
      </c>
      <c r="I25" s="24"/>
      <c r="J25" s="25"/>
      <c r="K25" s="27"/>
      <c r="L25" s="24"/>
      <c r="M25" s="24">
        <v>864</v>
      </c>
      <c r="N25" s="25">
        <v>1</v>
      </c>
      <c r="O25" s="27"/>
      <c r="P25" s="24"/>
      <c r="Q25" s="21"/>
      <c r="R25" s="25"/>
      <c r="S25" s="26"/>
      <c r="T25" s="24"/>
      <c r="U25" s="21"/>
      <c r="V25" s="316"/>
      <c r="W25" s="24"/>
      <c r="X25" s="25"/>
      <c r="Y25" s="27"/>
      <c r="Z25" s="24"/>
      <c r="AA25" s="24"/>
      <c r="AB25" s="25"/>
      <c r="AC25" s="27"/>
      <c r="AD25" s="24"/>
      <c r="AE25" s="24"/>
      <c r="AF25" s="25"/>
      <c r="AG25" s="36">
        <f t="shared" si="0"/>
        <v>3</v>
      </c>
      <c r="AH25" s="37">
        <f t="shared" si="1"/>
        <v>4746</v>
      </c>
      <c r="AI25" s="38">
        <f>營業報!P25+營業報!Q25+營業報!R25-營業報!S25</f>
        <v>4746</v>
      </c>
      <c r="AJ25" s="6">
        <f t="shared" si="2"/>
        <v>0</v>
      </c>
    </row>
    <row r="26" spans="1:37" ht="16.8" thickBot="1">
      <c r="A26" s="74">
        <v>42793</v>
      </c>
      <c r="B26" s="281" t="s">
        <v>165</v>
      </c>
      <c r="C26" s="27"/>
      <c r="D26" s="21"/>
      <c r="E26" s="21"/>
      <c r="F26" s="22"/>
      <c r="G26" s="26"/>
      <c r="H26" s="24"/>
      <c r="I26" s="24"/>
      <c r="J26" s="25"/>
      <c r="K26" s="27"/>
      <c r="L26" s="24"/>
      <c r="M26" s="24"/>
      <c r="N26" s="25"/>
      <c r="O26" s="27"/>
      <c r="P26" s="24"/>
      <c r="Q26" s="21"/>
      <c r="R26" s="25"/>
      <c r="S26" s="26"/>
      <c r="T26" s="24"/>
      <c r="U26" s="21"/>
      <c r="V26" s="316"/>
      <c r="W26" s="24"/>
      <c r="X26" s="25"/>
      <c r="Y26" s="27"/>
      <c r="Z26" s="24"/>
      <c r="AA26" s="24"/>
      <c r="AB26" s="25"/>
      <c r="AC26" s="27"/>
      <c r="AD26" s="24"/>
      <c r="AE26" s="24"/>
      <c r="AF26" s="25"/>
      <c r="AG26" s="36">
        <f t="shared" si="0"/>
        <v>0</v>
      </c>
      <c r="AH26" s="37">
        <f t="shared" si="1"/>
        <v>0</v>
      </c>
      <c r="AI26" s="38">
        <f>營業報!P26+營業報!Q26+營業報!R26-營業報!S26</f>
        <v>0</v>
      </c>
      <c r="AJ26" s="6">
        <f t="shared" si="2"/>
        <v>0</v>
      </c>
    </row>
    <row r="27" spans="1:37" s="5" customFormat="1" ht="16.8" thickBot="1">
      <c r="A27" s="74">
        <v>42794</v>
      </c>
      <c r="B27" s="281" t="s">
        <v>98</v>
      </c>
      <c r="C27" s="20">
        <f>1504+2064</f>
        <v>3568</v>
      </c>
      <c r="D27" s="21">
        <v>2</v>
      </c>
      <c r="E27" s="21"/>
      <c r="F27" s="22"/>
      <c r="G27" s="23"/>
      <c r="H27" s="21"/>
      <c r="I27" s="21"/>
      <c r="J27" s="22"/>
      <c r="K27" s="27">
        <v>1153</v>
      </c>
      <c r="L27" s="21">
        <v>1</v>
      </c>
      <c r="M27" s="21"/>
      <c r="N27" s="22"/>
      <c r="O27" s="27"/>
      <c r="P27" s="24"/>
      <c r="Q27" s="21"/>
      <c r="R27" s="22"/>
      <c r="S27" s="26"/>
      <c r="T27" s="24"/>
      <c r="U27" s="21"/>
      <c r="V27" s="315"/>
      <c r="W27" s="21"/>
      <c r="X27" s="22"/>
      <c r="Y27" s="27"/>
      <c r="Z27" s="21"/>
      <c r="AA27" s="21">
        <f>2064</f>
        <v>2064</v>
      </c>
      <c r="AB27" s="22"/>
      <c r="AC27" s="27"/>
      <c r="AD27" s="21"/>
      <c r="AE27" s="21"/>
      <c r="AF27" s="22"/>
      <c r="AG27" s="36">
        <f t="shared" si="0"/>
        <v>3</v>
      </c>
      <c r="AH27" s="37">
        <f t="shared" si="1"/>
        <v>6785</v>
      </c>
      <c r="AI27" s="38">
        <f>營業報!P27+營業報!Q27+營業報!R27-營業報!S27</f>
        <v>6785</v>
      </c>
      <c r="AJ27" s="6">
        <f t="shared" si="2"/>
        <v>0</v>
      </c>
    </row>
    <row r="28" spans="1:37" ht="15.6" thickBot="1">
      <c r="A28" s="447" t="s">
        <v>33</v>
      </c>
      <c r="B28" s="448"/>
      <c r="C28" s="39">
        <f t="shared" ref="C28:AH28" si="3">SUM(C5:C27)</f>
        <v>31896</v>
      </c>
      <c r="D28" s="40">
        <f t="shared" si="3"/>
        <v>24</v>
      </c>
      <c r="E28" s="41">
        <f t="shared" si="3"/>
        <v>5464</v>
      </c>
      <c r="F28" s="41">
        <f t="shared" si="3"/>
        <v>4</v>
      </c>
      <c r="G28" s="39">
        <f t="shared" si="3"/>
        <v>27879</v>
      </c>
      <c r="H28" s="40">
        <f t="shared" si="3"/>
        <v>21</v>
      </c>
      <c r="I28" s="41">
        <f t="shared" si="3"/>
        <v>8829</v>
      </c>
      <c r="J28" s="41">
        <f t="shared" si="3"/>
        <v>5</v>
      </c>
      <c r="K28" s="39">
        <f t="shared" si="3"/>
        <v>16241</v>
      </c>
      <c r="L28" s="40">
        <f t="shared" si="3"/>
        <v>14</v>
      </c>
      <c r="M28" s="41">
        <f t="shared" si="3"/>
        <v>21644</v>
      </c>
      <c r="N28" s="41">
        <f t="shared" si="3"/>
        <v>13</v>
      </c>
      <c r="O28" s="39">
        <f t="shared" si="3"/>
        <v>0</v>
      </c>
      <c r="P28" s="40">
        <f t="shared" si="3"/>
        <v>0</v>
      </c>
      <c r="Q28" s="41">
        <f t="shared" si="3"/>
        <v>0</v>
      </c>
      <c r="R28" s="41">
        <f t="shared" si="3"/>
        <v>0</v>
      </c>
      <c r="S28" s="39">
        <f t="shared" si="3"/>
        <v>0</v>
      </c>
      <c r="T28" s="40">
        <f t="shared" si="3"/>
        <v>0</v>
      </c>
      <c r="U28" s="41">
        <f t="shared" si="3"/>
        <v>0</v>
      </c>
      <c r="V28" s="318">
        <f t="shared" si="3"/>
        <v>0</v>
      </c>
      <c r="W28" s="40">
        <f t="shared" si="3"/>
        <v>4479</v>
      </c>
      <c r="X28" s="40">
        <f t="shared" si="3"/>
        <v>4</v>
      </c>
      <c r="Y28" s="39">
        <f t="shared" si="3"/>
        <v>22767</v>
      </c>
      <c r="Z28" s="40">
        <f t="shared" si="3"/>
        <v>16</v>
      </c>
      <c r="AA28" s="41">
        <f t="shared" si="3"/>
        <v>40426</v>
      </c>
      <c r="AB28" s="41">
        <f t="shared" si="3"/>
        <v>22</v>
      </c>
      <c r="AC28" s="39">
        <f t="shared" si="3"/>
        <v>1417</v>
      </c>
      <c r="AD28" s="40">
        <f t="shared" si="3"/>
        <v>2</v>
      </c>
      <c r="AE28" s="41">
        <f t="shared" si="3"/>
        <v>0</v>
      </c>
      <c r="AF28" s="41">
        <f t="shared" si="3"/>
        <v>0</v>
      </c>
      <c r="AG28" s="39">
        <f t="shared" si="3"/>
        <v>125</v>
      </c>
      <c r="AH28" s="39">
        <f t="shared" si="3"/>
        <v>181042</v>
      </c>
      <c r="AI28" s="38">
        <f>營業報!P28+營業報!Q28+營業報!R28-營業報!S28</f>
        <v>181042</v>
      </c>
    </row>
    <row r="29" spans="1:37">
      <c r="R29" s="5"/>
      <c r="S29" s="9"/>
      <c r="T29" s="9"/>
      <c r="U29" s="5"/>
      <c r="V29" s="5"/>
      <c r="W29" s="5"/>
      <c r="AG29" s="9"/>
      <c r="AH29" s="9"/>
      <c r="AI29" s="9"/>
    </row>
    <row r="30" spans="1:37">
      <c r="G30" s="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7">
      <c r="G31" s="5"/>
      <c r="H31" s="5"/>
      <c r="I31" s="5"/>
      <c r="J31" s="5"/>
      <c r="K31" s="5"/>
      <c r="Y31" s="5"/>
      <c r="AC31" s="5"/>
    </row>
    <row r="32" spans="1:37">
      <c r="G32" s="10"/>
      <c r="H32" s="5"/>
      <c r="I32" s="11"/>
      <c r="J32" s="11"/>
      <c r="K32" s="5"/>
      <c r="Y32" s="5"/>
      <c r="AC32" s="5"/>
    </row>
    <row r="33" spans="7:29">
      <c r="G33" s="5"/>
      <c r="H33" s="5"/>
      <c r="I33" s="5"/>
      <c r="J33" s="5"/>
      <c r="K33" s="5"/>
      <c r="Y33" s="5"/>
      <c r="AC33" s="5"/>
    </row>
    <row r="34" spans="7:29">
      <c r="G34" s="5"/>
      <c r="H34" s="5"/>
      <c r="I34" s="5"/>
      <c r="J34" s="5"/>
      <c r="K34" s="5"/>
      <c r="Y34" s="5"/>
      <c r="AC34" s="5"/>
    </row>
  </sheetData>
  <mergeCells count="8">
    <mergeCell ref="AC3:AF3"/>
    <mergeCell ref="A3:B3"/>
    <mergeCell ref="A4:B4"/>
    <mergeCell ref="A28:B28"/>
    <mergeCell ref="C3:F3"/>
    <mergeCell ref="G3:J3"/>
    <mergeCell ref="K3:X3"/>
    <mergeCell ref="Y3:AB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topLeftCell="A4" zoomScale="70" workbookViewId="0">
      <selection activeCell="I29" sqref="I29"/>
    </sheetView>
  </sheetViews>
  <sheetFormatPr defaultColWidth="8.77734375" defaultRowHeight="15.6"/>
  <cols>
    <col min="1" max="1" width="8.77734375" style="42" customWidth="1"/>
    <col min="2" max="9" width="16.21875" style="42" customWidth="1"/>
    <col min="10" max="237" width="8.77734375" style="42"/>
    <col min="238" max="238" width="13.21875" style="42" customWidth="1"/>
    <col min="239" max="239" width="14.109375" style="42" customWidth="1"/>
    <col min="240" max="240" width="13.44140625" style="42" customWidth="1"/>
    <col min="241" max="241" width="13.21875" style="42" customWidth="1"/>
    <col min="242" max="242" width="14.44140625" style="42" customWidth="1"/>
    <col min="243" max="243" width="14.88671875" style="42" customWidth="1"/>
    <col min="244" max="244" width="15.44140625" style="42" customWidth="1"/>
    <col min="245" max="245" width="15.21875" style="42" customWidth="1"/>
    <col min="246" max="16384" width="8.77734375" style="42"/>
  </cols>
  <sheetData>
    <row r="1" spans="1:9" ht="18.600000000000001">
      <c r="A1" s="43"/>
    </row>
    <row r="2" spans="1:9" ht="23.4">
      <c r="A2" s="69" t="s">
        <v>43</v>
      </c>
      <c r="B2" s="69"/>
      <c r="C2" s="69"/>
      <c r="D2" s="69"/>
      <c r="E2" s="69"/>
      <c r="F2" s="69"/>
      <c r="G2" s="69"/>
      <c r="H2" s="69"/>
      <c r="I2" s="69"/>
    </row>
    <row r="3" spans="1:9" ht="24" thickBot="1">
      <c r="A3" s="70" t="s">
        <v>152</v>
      </c>
      <c r="B3" s="69"/>
      <c r="C3" s="69"/>
      <c r="D3" s="69"/>
      <c r="E3" s="69"/>
      <c r="F3" s="69"/>
      <c r="G3" s="69"/>
      <c r="H3" s="69"/>
      <c r="I3" s="69"/>
    </row>
    <row r="4" spans="1:9" ht="18.600000000000001" thickBot="1">
      <c r="A4" s="452" t="s">
        <v>38</v>
      </c>
      <c r="B4" s="71" t="s">
        <v>4</v>
      </c>
      <c r="C4" s="72"/>
      <c r="D4" s="72"/>
      <c r="E4" s="73"/>
      <c r="F4" s="71" t="s">
        <v>37</v>
      </c>
      <c r="G4" s="72"/>
      <c r="H4" s="72"/>
      <c r="I4" s="73"/>
    </row>
    <row r="5" spans="1:9" ht="16.2" thickBot="1">
      <c r="A5" s="453"/>
      <c r="B5" s="44" t="s">
        <v>5</v>
      </c>
      <c r="C5" s="45" t="s">
        <v>6</v>
      </c>
      <c r="D5" s="46" t="s">
        <v>7</v>
      </c>
      <c r="E5" s="47" t="s">
        <v>8</v>
      </c>
      <c r="F5" s="48" t="s">
        <v>9</v>
      </c>
      <c r="G5" s="49" t="s">
        <v>10</v>
      </c>
      <c r="H5" s="50" t="s">
        <v>11</v>
      </c>
      <c r="I5" s="51" t="s">
        <v>12</v>
      </c>
    </row>
    <row r="6" spans="1:9" ht="20.100000000000001" customHeight="1" thickTop="1">
      <c r="A6" s="74">
        <v>42768</v>
      </c>
      <c r="B6" s="52"/>
      <c r="C6" s="53"/>
      <c r="D6" s="53"/>
      <c r="E6" s="54"/>
      <c r="F6" s="55"/>
      <c r="G6" s="53"/>
      <c r="H6" s="53">
        <v>1</v>
      </c>
      <c r="I6" s="54">
        <v>820</v>
      </c>
    </row>
    <row r="7" spans="1:9" ht="20.100000000000001" customHeight="1">
      <c r="A7" s="74">
        <v>42769</v>
      </c>
      <c r="B7" s="56"/>
      <c r="C7" s="57"/>
      <c r="D7" s="57"/>
      <c r="E7" s="58"/>
      <c r="F7" s="55"/>
      <c r="G7" s="53"/>
      <c r="H7" s="53">
        <v>2</v>
      </c>
      <c r="I7" s="54">
        <f>952+1210</f>
        <v>2162</v>
      </c>
    </row>
    <row r="8" spans="1:9" ht="20.100000000000001" customHeight="1">
      <c r="A8" s="74">
        <v>42770</v>
      </c>
      <c r="B8" s="56"/>
      <c r="C8" s="57"/>
      <c r="D8" s="57"/>
      <c r="E8" s="58"/>
      <c r="F8" s="59"/>
      <c r="G8" s="57"/>
      <c r="H8" s="57"/>
      <c r="I8" s="58"/>
    </row>
    <row r="9" spans="1:9" ht="20.100000000000001" customHeight="1">
      <c r="A9" s="74">
        <v>42772</v>
      </c>
      <c r="B9" s="56"/>
      <c r="C9" s="57"/>
      <c r="D9" s="57">
        <v>4</v>
      </c>
      <c r="E9" s="58">
        <f>1750+2320+3200+3000</f>
        <v>10270</v>
      </c>
      <c r="F9" s="59"/>
      <c r="G9" s="57"/>
      <c r="H9" s="57">
        <v>2</v>
      </c>
      <c r="I9" s="58">
        <f>715+5489</f>
        <v>6204</v>
      </c>
    </row>
    <row r="10" spans="1:9" ht="20.100000000000001" customHeight="1">
      <c r="A10" s="74">
        <v>42773</v>
      </c>
      <c r="B10" s="56"/>
      <c r="C10" s="57"/>
      <c r="D10" s="57"/>
      <c r="E10" s="58"/>
      <c r="F10" s="59"/>
      <c r="G10" s="57"/>
      <c r="H10" s="57"/>
      <c r="I10" s="58"/>
    </row>
    <row r="11" spans="1:9" ht="20.100000000000001" customHeight="1">
      <c r="A11" s="74">
        <v>42774</v>
      </c>
      <c r="B11" s="56"/>
      <c r="C11" s="57"/>
      <c r="D11" s="57"/>
      <c r="E11" s="58"/>
      <c r="F11" s="59"/>
      <c r="G11" s="57"/>
      <c r="H11" s="57">
        <v>1</v>
      </c>
      <c r="I11" s="58">
        <v>3042</v>
      </c>
    </row>
    <row r="12" spans="1:9" ht="20.100000000000001" customHeight="1">
      <c r="A12" s="74">
        <v>42775</v>
      </c>
      <c r="B12" s="56">
        <v>1</v>
      </c>
      <c r="C12" s="57">
        <v>4730</v>
      </c>
      <c r="D12" s="57">
        <v>1</v>
      </c>
      <c r="E12" s="58">
        <v>900</v>
      </c>
      <c r="F12" s="59"/>
      <c r="G12" s="57"/>
      <c r="H12" s="57"/>
      <c r="I12" s="58"/>
    </row>
    <row r="13" spans="1:9" ht="20.100000000000001" customHeight="1">
      <c r="A13" s="74">
        <v>42776</v>
      </c>
      <c r="B13" s="56"/>
      <c r="C13" s="57"/>
      <c r="D13" s="57"/>
      <c r="E13" s="58"/>
      <c r="F13" s="59"/>
      <c r="G13" s="57"/>
      <c r="H13" s="57">
        <v>1</v>
      </c>
      <c r="I13" s="58">
        <v>1160</v>
      </c>
    </row>
    <row r="14" spans="1:9" ht="20.100000000000001" customHeight="1">
      <c r="A14" s="74">
        <v>42777</v>
      </c>
      <c r="B14" s="56"/>
      <c r="C14" s="57"/>
      <c r="D14" s="57"/>
      <c r="E14" s="58"/>
      <c r="F14" s="59"/>
      <c r="G14" s="57"/>
      <c r="H14" s="57"/>
      <c r="I14" s="58"/>
    </row>
    <row r="15" spans="1:9" ht="20.100000000000001" customHeight="1">
      <c r="A15" s="74">
        <v>42779</v>
      </c>
      <c r="B15" s="56">
        <v>2</v>
      </c>
      <c r="C15" s="57">
        <f>1040+2400</f>
        <v>3440</v>
      </c>
      <c r="D15" s="57"/>
      <c r="E15" s="58"/>
      <c r="F15" s="59"/>
      <c r="G15" s="57"/>
      <c r="H15" s="57">
        <v>4</v>
      </c>
      <c r="I15" s="58">
        <f>2375+5937+828+4028</f>
        <v>13168</v>
      </c>
    </row>
    <row r="16" spans="1:9" ht="20.100000000000001" customHeight="1">
      <c r="A16" s="74">
        <v>42780</v>
      </c>
      <c r="B16" s="52">
        <v>2</v>
      </c>
      <c r="C16" s="53">
        <f>1100+1500</f>
        <v>2600</v>
      </c>
      <c r="D16" s="53"/>
      <c r="E16" s="54"/>
      <c r="F16" s="55">
        <v>1</v>
      </c>
      <c r="G16" s="53">
        <v>30000</v>
      </c>
      <c r="H16" s="53">
        <v>1</v>
      </c>
      <c r="I16" s="54">
        <v>2496</v>
      </c>
    </row>
    <row r="17" spans="1:9" ht="20.100000000000001" customHeight="1">
      <c r="A17" s="74">
        <v>42781</v>
      </c>
      <c r="B17" s="56"/>
      <c r="C17" s="57"/>
      <c r="D17" s="57"/>
      <c r="E17" s="58"/>
      <c r="F17" s="59"/>
      <c r="G17" s="57"/>
      <c r="H17" s="57">
        <v>1</v>
      </c>
      <c r="I17" s="58">
        <v>8413</v>
      </c>
    </row>
    <row r="18" spans="1:9" ht="20.100000000000001" customHeight="1">
      <c r="A18" s="74">
        <v>42782</v>
      </c>
      <c r="B18" s="56">
        <v>1</v>
      </c>
      <c r="C18" s="57">
        <v>460</v>
      </c>
      <c r="D18" s="57"/>
      <c r="E18" s="58"/>
      <c r="F18" s="59"/>
      <c r="G18" s="57"/>
      <c r="H18" s="57">
        <v>5</v>
      </c>
      <c r="I18" s="58">
        <f>544+1390+4712+1280+1280</f>
        <v>9206</v>
      </c>
    </row>
    <row r="19" spans="1:9" ht="20.100000000000001" customHeight="1">
      <c r="A19" s="74">
        <v>42783</v>
      </c>
      <c r="B19" s="56"/>
      <c r="C19" s="57"/>
      <c r="D19" s="57">
        <v>2</v>
      </c>
      <c r="E19" s="58">
        <f>2430+680</f>
        <v>3110</v>
      </c>
      <c r="F19" s="59"/>
      <c r="G19" s="57"/>
      <c r="H19" s="57">
        <f>1</f>
        <v>1</v>
      </c>
      <c r="I19" s="58">
        <f>2037</f>
        <v>2037</v>
      </c>
    </row>
    <row r="20" spans="1:9" ht="20.100000000000001" customHeight="1">
      <c r="A20" s="74">
        <v>42784</v>
      </c>
      <c r="B20" s="56">
        <v>2</v>
      </c>
      <c r="C20" s="57">
        <f>1740+1840</f>
        <v>3580</v>
      </c>
      <c r="D20" s="57"/>
      <c r="E20" s="58"/>
      <c r="F20" s="59"/>
      <c r="G20" s="57"/>
      <c r="H20" s="57">
        <v>1</v>
      </c>
      <c r="I20" s="58">
        <v>4020</v>
      </c>
    </row>
    <row r="21" spans="1:9" ht="20.100000000000001" customHeight="1">
      <c r="A21" s="74">
        <v>42786</v>
      </c>
      <c r="B21" s="56"/>
      <c r="C21" s="57"/>
      <c r="D21" s="57"/>
      <c r="E21" s="58"/>
      <c r="F21" s="59"/>
      <c r="G21" s="57"/>
      <c r="H21" s="57">
        <v>4</v>
      </c>
      <c r="I21" s="58">
        <f>1044+2084+8518+1500</f>
        <v>13146</v>
      </c>
    </row>
    <row r="22" spans="1:9" ht="20.100000000000001" customHeight="1">
      <c r="A22" s="74">
        <v>42787</v>
      </c>
      <c r="B22" s="56"/>
      <c r="C22" s="57"/>
      <c r="D22" s="57"/>
      <c r="E22" s="58"/>
      <c r="F22" s="59"/>
      <c r="G22" s="57"/>
      <c r="H22" s="57">
        <f>1+1+1+1+1+1+1+1</f>
        <v>8</v>
      </c>
      <c r="I22" s="58">
        <f>5142+8090+6216+1696+5228+8533+21052+4280</f>
        <v>60237</v>
      </c>
    </row>
    <row r="23" spans="1:9" ht="20.100000000000001" customHeight="1">
      <c r="A23" s="74">
        <v>42788</v>
      </c>
      <c r="B23" s="56"/>
      <c r="C23" s="57"/>
      <c r="D23" s="57"/>
      <c r="E23" s="58"/>
      <c r="F23" s="59"/>
      <c r="G23" s="57"/>
      <c r="H23" s="57">
        <v>2</v>
      </c>
      <c r="I23" s="58">
        <f>544+1992</f>
        <v>2536</v>
      </c>
    </row>
    <row r="24" spans="1:9" ht="20.100000000000001" customHeight="1">
      <c r="A24" s="74">
        <v>42789</v>
      </c>
      <c r="B24" s="56">
        <v>2</v>
      </c>
      <c r="C24" s="57">
        <f>680+1920</f>
        <v>2600</v>
      </c>
      <c r="D24" s="57"/>
      <c r="E24" s="58"/>
      <c r="F24" s="59"/>
      <c r="G24" s="57"/>
      <c r="H24" s="57">
        <v>3</v>
      </c>
      <c r="I24" s="58">
        <f>1428+568+5122</f>
        <v>7118</v>
      </c>
    </row>
    <row r="25" spans="1:9" ht="20.100000000000001" customHeight="1">
      <c r="A25" s="74">
        <v>42790</v>
      </c>
      <c r="B25" s="56"/>
      <c r="C25" s="57"/>
      <c r="D25" s="57"/>
      <c r="E25" s="58"/>
      <c r="F25" s="59"/>
      <c r="G25" s="57"/>
      <c r="H25" s="57"/>
      <c r="I25" s="58"/>
    </row>
    <row r="26" spans="1:9" ht="20.100000000000001" customHeight="1">
      <c r="A26" s="74">
        <v>42791</v>
      </c>
      <c r="B26" s="60"/>
      <c r="C26" s="61"/>
      <c r="D26" s="61">
        <v>1</v>
      </c>
      <c r="E26" s="62">
        <v>808</v>
      </c>
      <c r="F26" s="63"/>
      <c r="G26" s="61"/>
      <c r="H26" s="57">
        <v>2</v>
      </c>
      <c r="I26" s="58">
        <v>16415</v>
      </c>
    </row>
    <row r="27" spans="1:9" ht="20.100000000000001" customHeight="1">
      <c r="A27" s="74">
        <v>42793</v>
      </c>
      <c r="B27" s="56"/>
      <c r="C27" s="57"/>
      <c r="D27" s="57"/>
      <c r="E27" s="58"/>
      <c r="F27" s="59"/>
      <c r="G27" s="57"/>
      <c r="H27" s="53">
        <v>2</v>
      </c>
      <c r="I27" s="54">
        <f>4064+7500</f>
        <v>11564</v>
      </c>
    </row>
    <row r="28" spans="1:9" ht="20.100000000000001" customHeight="1">
      <c r="A28" s="74">
        <v>42794</v>
      </c>
      <c r="B28" s="56"/>
      <c r="C28" s="57"/>
      <c r="D28" s="57"/>
      <c r="E28" s="58"/>
      <c r="F28" s="59"/>
      <c r="G28" s="57"/>
      <c r="H28" s="57">
        <v>4</v>
      </c>
      <c r="I28" s="58">
        <f>1000+810+8255+4494</f>
        <v>14559</v>
      </c>
    </row>
    <row r="29" spans="1:9" ht="18.600000000000001" thickBot="1">
      <c r="A29" s="64" t="s">
        <v>13</v>
      </c>
      <c r="B29" s="65">
        <f t="shared" ref="B29:H29" si="0">SUM(B6:B28)</f>
        <v>10</v>
      </c>
      <c r="C29" s="66">
        <f t="shared" si="0"/>
        <v>17410</v>
      </c>
      <c r="D29" s="66">
        <f t="shared" si="0"/>
        <v>8</v>
      </c>
      <c r="E29" s="67">
        <f t="shared" si="0"/>
        <v>15088</v>
      </c>
      <c r="F29" s="68">
        <f>SUM(F6:F28)</f>
        <v>1</v>
      </c>
      <c r="G29" s="66">
        <f t="shared" si="0"/>
        <v>30000</v>
      </c>
      <c r="H29" s="66">
        <f t="shared" si="0"/>
        <v>45</v>
      </c>
      <c r="I29" s="67">
        <f>SUM(I6:I28)</f>
        <v>178303</v>
      </c>
    </row>
  </sheetData>
  <mergeCells count="1">
    <mergeCell ref="A4:A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N15"/>
  <sheetViews>
    <sheetView zoomScale="85" workbookViewId="0">
      <selection activeCell="N3" sqref="N3"/>
    </sheetView>
  </sheetViews>
  <sheetFormatPr defaultRowHeight="16.2"/>
  <cols>
    <col min="1" max="1" width="12.21875" style="75" customWidth="1"/>
    <col min="2" max="13" width="12.77734375" customWidth="1"/>
    <col min="14" max="14" width="14.33203125" customWidth="1"/>
  </cols>
  <sheetData>
    <row r="2" spans="1:14">
      <c r="A2" s="76" t="s">
        <v>39</v>
      </c>
      <c r="B2" s="76" t="s">
        <v>14</v>
      </c>
      <c r="C2" s="76" t="s">
        <v>15</v>
      </c>
      <c r="D2" s="76" t="s">
        <v>16</v>
      </c>
      <c r="E2" s="76" t="s">
        <v>17</v>
      </c>
      <c r="F2" s="76" t="s">
        <v>18</v>
      </c>
      <c r="G2" s="76" t="s">
        <v>19</v>
      </c>
      <c r="H2" s="76" t="s">
        <v>20</v>
      </c>
      <c r="I2" s="76" t="s">
        <v>21</v>
      </c>
      <c r="J2" s="76" t="s">
        <v>22</v>
      </c>
      <c r="K2" s="76" t="s">
        <v>23</v>
      </c>
      <c r="L2" s="76" t="s">
        <v>24</v>
      </c>
      <c r="M2" s="76" t="s">
        <v>25</v>
      </c>
    </row>
    <row r="3" spans="1:14" ht="19.95" customHeight="1">
      <c r="A3" s="270">
        <v>2016</v>
      </c>
      <c r="B3" s="271">
        <v>600244</v>
      </c>
      <c r="C3" s="271">
        <v>400326</v>
      </c>
      <c r="D3" s="271">
        <v>502823</v>
      </c>
      <c r="E3" s="271">
        <v>648202</v>
      </c>
      <c r="F3" s="271">
        <v>656423</v>
      </c>
      <c r="G3" s="271">
        <v>401334</v>
      </c>
      <c r="H3" s="271">
        <v>630132</v>
      </c>
      <c r="I3" s="271">
        <v>500274</v>
      </c>
      <c r="J3" s="271">
        <v>451089</v>
      </c>
      <c r="K3" s="271">
        <v>400464</v>
      </c>
      <c r="L3" s="271">
        <v>600656</v>
      </c>
      <c r="M3" s="273">
        <v>430237</v>
      </c>
      <c r="N3" s="268">
        <f>SUM(B3:K3)</f>
        <v>5191311</v>
      </c>
    </row>
    <row r="4" spans="1:14" ht="19.95" customHeight="1">
      <c r="A4" s="270">
        <v>2017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2"/>
      <c r="N4" s="268">
        <f>SUM(B4:K4)</f>
        <v>0</v>
      </c>
    </row>
    <row r="5" spans="1:14" ht="19.95" customHeight="1">
      <c r="A5" s="274" t="s">
        <v>101</v>
      </c>
      <c r="B5" s="275">
        <v>650000</v>
      </c>
      <c r="C5" s="275">
        <v>600000</v>
      </c>
      <c r="D5" s="275">
        <v>600000</v>
      </c>
      <c r="E5" s="275">
        <v>700000</v>
      </c>
      <c r="F5" s="275">
        <v>700000</v>
      </c>
      <c r="G5" s="275">
        <v>600000</v>
      </c>
      <c r="H5" s="275">
        <v>1000000</v>
      </c>
      <c r="I5" s="275">
        <v>600000</v>
      </c>
      <c r="J5" s="275">
        <v>600000</v>
      </c>
      <c r="K5" s="275">
        <v>600000</v>
      </c>
      <c r="L5" s="275">
        <v>650000</v>
      </c>
      <c r="M5" s="276">
        <v>700000</v>
      </c>
      <c r="N5" s="268">
        <f>SUM(B5:M5)</f>
        <v>8000000</v>
      </c>
    </row>
    <row r="6" spans="1:14" ht="19.95" customHeight="1">
      <c r="A6" s="274" t="s">
        <v>103</v>
      </c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8"/>
      <c r="N6" s="269"/>
    </row>
    <row r="7" spans="1:14" ht="19.95" customHeight="1">
      <c r="A7" s="274" t="s">
        <v>102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8"/>
      <c r="N7" s="269"/>
    </row>
    <row r="10" spans="1:14" ht="19.2" customHeight="1">
      <c r="A10" s="260" t="s">
        <v>39</v>
      </c>
      <c r="B10" s="470" t="s">
        <v>104</v>
      </c>
      <c r="C10" s="471"/>
      <c r="D10" s="472"/>
      <c r="E10" s="473" t="s">
        <v>105</v>
      </c>
      <c r="F10" s="474"/>
      <c r="G10" s="475"/>
      <c r="H10" s="476" t="s">
        <v>106</v>
      </c>
      <c r="I10" s="477"/>
      <c r="J10" s="478"/>
      <c r="K10" s="479" t="s">
        <v>107</v>
      </c>
      <c r="L10" s="480"/>
      <c r="M10" s="481"/>
    </row>
    <row r="11" spans="1:14" ht="19.2" customHeight="1">
      <c r="A11" s="261">
        <v>2016</v>
      </c>
      <c r="B11" s="461"/>
      <c r="C11" s="462"/>
      <c r="D11" s="463"/>
      <c r="E11" s="461"/>
      <c r="F11" s="462"/>
      <c r="G11" s="463"/>
      <c r="H11" s="461"/>
      <c r="I11" s="462"/>
      <c r="J11" s="463"/>
      <c r="K11" s="461"/>
      <c r="L11" s="462"/>
      <c r="M11" s="463"/>
      <c r="N11" s="262">
        <f>SUM(B11:M11)</f>
        <v>0</v>
      </c>
    </row>
    <row r="12" spans="1:14" ht="19.2" customHeight="1">
      <c r="A12" s="263">
        <v>2017</v>
      </c>
      <c r="B12" s="464"/>
      <c r="C12" s="465"/>
      <c r="D12" s="466"/>
      <c r="E12" s="464"/>
      <c r="F12" s="465"/>
      <c r="G12" s="466"/>
      <c r="H12" s="464"/>
      <c r="I12" s="465"/>
      <c r="J12" s="466"/>
      <c r="K12" s="464"/>
      <c r="L12" s="465"/>
      <c r="M12" s="466"/>
      <c r="N12" s="264">
        <f>SUM(B12:M12)</f>
        <v>0</v>
      </c>
    </row>
    <row r="13" spans="1:14" ht="19.2" customHeight="1">
      <c r="A13" s="265" t="s">
        <v>101</v>
      </c>
      <c r="B13" s="454"/>
      <c r="C13" s="455"/>
      <c r="D13" s="456"/>
      <c r="E13" s="454"/>
      <c r="F13" s="455"/>
      <c r="G13" s="456"/>
      <c r="H13" s="454"/>
      <c r="I13" s="455"/>
      <c r="J13" s="456"/>
      <c r="K13" s="454"/>
      <c r="L13" s="455"/>
      <c r="M13" s="456"/>
      <c r="N13" s="266">
        <f>SUM(B13:M13)</f>
        <v>0</v>
      </c>
    </row>
    <row r="14" spans="1:14" ht="19.2" customHeight="1">
      <c r="A14" s="261" t="s">
        <v>103</v>
      </c>
      <c r="B14" s="467"/>
      <c r="C14" s="468"/>
      <c r="D14" s="469"/>
      <c r="E14" s="467"/>
      <c r="F14" s="468"/>
      <c r="G14" s="469"/>
      <c r="H14" s="457"/>
      <c r="I14" s="458"/>
      <c r="J14" s="459"/>
      <c r="K14" s="460"/>
      <c r="L14" s="458"/>
      <c r="M14" s="459"/>
      <c r="N14" s="267"/>
    </row>
    <row r="15" spans="1:14" ht="19.2" customHeight="1">
      <c r="A15" s="261" t="s">
        <v>102</v>
      </c>
      <c r="B15" s="467"/>
      <c r="C15" s="468"/>
      <c r="D15" s="469"/>
      <c r="E15" s="467"/>
      <c r="F15" s="468"/>
      <c r="G15" s="469"/>
      <c r="H15" s="460"/>
      <c r="I15" s="458"/>
      <c r="J15" s="459"/>
      <c r="K15" s="460"/>
      <c r="L15" s="458"/>
      <c r="M15" s="459"/>
      <c r="N15" s="267"/>
    </row>
  </sheetData>
  <mergeCells count="24">
    <mergeCell ref="B10:D10"/>
    <mergeCell ref="E10:G10"/>
    <mergeCell ref="H10:J10"/>
    <mergeCell ref="K10:M10"/>
    <mergeCell ref="B11:D11"/>
    <mergeCell ref="H11:J11"/>
    <mergeCell ref="B13:D13"/>
    <mergeCell ref="B14:D14"/>
    <mergeCell ref="B15:D15"/>
    <mergeCell ref="E11:G11"/>
    <mergeCell ref="E12:G12"/>
    <mergeCell ref="E13:G13"/>
    <mergeCell ref="E14:G14"/>
    <mergeCell ref="E15:G15"/>
    <mergeCell ref="B12:D12"/>
    <mergeCell ref="H13:J13"/>
    <mergeCell ref="H14:J14"/>
    <mergeCell ref="H15:J15"/>
    <mergeCell ref="K11:M11"/>
    <mergeCell ref="K12:M12"/>
    <mergeCell ref="K13:M13"/>
    <mergeCell ref="K14:M14"/>
    <mergeCell ref="K15:M15"/>
    <mergeCell ref="H12:J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23"/>
  <sheetViews>
    <sheetView workbookViewId="0">
      <selection activeCell="N22" sqref="N22"/>
    </sheetView>
  </sheetViews>
  <sheetFormatPr defaultColWidth="4" defaultRowHeight="16.2"/>
  <cols>
    <col min="1" max="1" width="8" customWidth="1"/>
    <col min="32" max="32" width="5" customWidth="1"/>
  </cols>
  <sheetData>
    <row r="1" spans="1:34" ht="16.8" thickBot="1">
      <c r="A1" s="482" t="s">
        <v>166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288"/>
      <c r="AF1" s="288"/>
      <c r="AG1" s="288"/>
    </row>
    <row r="2" spans="1:34">
      <c r="A2" s="324"/>
      <c r="B2" s="255">
        <v>1</v>
      </c>
      <c r="C2" s="256">
        <v>2</v>
      </c>
      <c r="D2" s="255">
        <v>3</v>
      </c>
      <c r="E2" s="255">
        <v>4</v>
      </c>
      <c r="F2" s="255">
        <v>5</v>
      </c>
      <c r="G2" s="255">
        <v>6</v>
      </c>
      <c r="H2" s="255">
        <v>7</v>
      </c>
      <c r="I2" s="255">
        <v>8</v>
      </c>
      <c r="J2" s="256">
        <v>9</v>
      </c>
      <c r="K2" s="255">
        <v>10</v>
      </c>
      <c r="L2" s="255">
        <v>11</v>
      </c>
      <c r="M2" s="255">
        <v>12</v>
      </c>
      <c r="N2" s="255">
        <v>13</v>
      </c>
      <c r="O2" s="255">
        <v>14</v>
      </c>
      <c r="P2" s="255">
        <v>15</v>
      </c>
      <c r="Q2" s="256">
        <v>16</v>
      </c>
      <c r="R2" s="255">
        <v>17</v>
      </c>
      <c r="S2" s="255">
        <v>18</v>
      </c>
      <c r="T2" s="255">
        <v>19</v>
      </c>
      <c r="U2" s="255">
        <v>20</v>
      </c>
      <c r="V2" s="255">
        <v>21</v>
      </c>
      <c r="W2" s="255">
        <v>22</v>
      </c>
      <c r="X2" s="256">
        <v>23</v>
      </c>
      <c r="Y2" s="255">
        <v>24</v>
      </c>
      <c r="Z2" s="255">
        <v>25</v>
      </c>
      <c r="AA2" s="255">
        <v>26</v>
      </c>
      <c r="AB2" s="255">
        <v>27</v>
      </c>
      <c r="AC2" s="255">
        <v>28</v>
      </c>
      <c r="AD2" s="376" t="s">
        <v>46</v>
      </c>
      <c r="AE2" s="289" t="s">
        <v>44</v>
      </c>
      <c r="AF2" s="290" t="s">
        <v>45</v>
      </c>
      <c r="AG2" s="291" t="s">
        <v>47</v>
      </c>
    </row>
    <row r="3" spans="1:34">
      <c r="A3" s="325"/>
      <c r="B3" s="345" t="s">
        <v>167</v>
      </c>
      <c r="C3" s="345" t="s">
        <v>168</v>
      </c>
      <c r="D3" s="345" t="s">
        <v>169</v>
      </c>
      <c r="E3" s="345" t="s">
        <v>170</v>
      </c>
      <c r="F3" s="346" t="s">
        <v>171</v>
      </c>
      <c r="G3" s="345" t="s">
        <v>172</v>
      </c>
      <c r="H3" s="345" t="s">
        <v>173</v>
      </c>
      <c r="I3" s="345" t="s">
        <v>167</v>
      </c>
      <c r="J3" s="345" t="s">
        <v>168</v>
      </c>
      <c r="K3" s="345" t="s">
        <v>169</v>
      </c>
      <c r="L3" s="345" t="s">
        <v>170</v>
      </c>
      <c r="M3" s="346" t="s">
        <v>171</v>
      </c>
      <c r="N3" s="345" t="s">
        <v>172</v>
      </c>
      <c r="O3" s="345" t="s">
        <v>173</v>
      </c>
      <c r="P3" s="345" t="s">
        <v>167</v>
      </c>
      <c r="Q3" s="345" t="s">
        <v>168</v>
      </c>
      <c r="R3" s="345" t="s">
        <v>169</v>
      </c>
      <c r="S3" s="345" t="s">
        <v>170</v>
      </c>
      <c r="T3" s="346" t="s">
        <v>171</v>
      </c>
      <c r="U3" s="346" t="s">
        <v>172</v>
      </c>
      <c r="V3" s="345" t="s">
        <v>173</v>
      </c>
      <c r="W3" s="348" t="s">
        <v>167</v>
      </c>
      <c r="X3" s="345" t="s">
        <v>168</v>
      </c>
      <c r="Y3" s="348" t="s">
        <v>169</v>
      </c>
      <c r="Z3" s="345" t="s">
        <v>170</v>
      </c>
      <c r="AA3" s="346" t="s">
        <v>171</v>
      </c>
      <c r="AB3" s="346" t="s">
        <v>172</v>
      </c>
      <c r="AC3" s="345" t="s">
        <v>173</v>
      </c>
      <c r="AD3" s="348"/>
      <c r="AE3" s="292"/>
      <c r="AF3" s="294"/>
      <c r="AG3" s="295"/>
    </row>
    <row r="4" spans="1:34">
      <c r="A4" s="325" t="s">
        <v>48</v>
      </c>
      <c r="B4" s="484" t="s">
        <v>174</v>
      </c>
      <c r="C4" s="297" t="s">
        <v>175</v>
      </c>
      <c r="D4" s="297" t="s">
        <v>175</v>
      </c>
      <c r="E4" s="414" t="s">
        <v>176</v>
      </c>
      <c r="F4" s="297" t="s">
        <v>49</v>
      </c>
      <c r="G4" s="297" t="s">
        <v>177</v>
      </c>
      <c r="H4" s="414" t="s">
        <v>175</v>
      </c>
      <c r="I4" s="297" t="s">
        <v>49</v>
      </c>
      <c r="J4" s="414" t="s">
        <v>177</v>
      </c>
      <c r="K4" s="414" t="s">
        <v>177</v>
      </c>
      <c r="L4" s="297" t="s">
        <v>176</v>
      </c>
      <c r="M4" s="297" t="s">
        <v>49</v>
      </c>
      <c r="N4" s="414" t="s">
        <v>175</v>
      </c>
      <c r="O4" s="297" t="s">
        <v>177</v>
      </c>
      <c r="P4" s="297" t="s">
        <v>49</v>
      </c>
      <c r="Q4" s="297" t="s">
        <v>49</v>
      </c>
      <c r="R4" s="414" t="s">
        <v>177</v>
      </c>
      <c r="S4" s="414" t="s">
        <v>177</v>
      </c>
      <c r="T4" s="297" t="s">
        <v>49</v>
      </c>
      <c r="U4" s="297" t="s">
        <v>177</v>
      </c>
      <c r="V4" s="297" t="s">
        <v>175</v>
      </c>
      <c r="W4" s="297" t="s">
        <v>49</v>
      </c>
      <c r="X4" s="297" t="s">
        <v>177</v>
      </c>
      <c r="Y4" s="297" t="s">
        <v>177</v>
      </c>
      <c r="Z4" s="297" t="s">
        <v>175</v>
      </c>
      <c r="AA4" s="297" t="s">
        <v>49</v>
      </c>
      <c r="AB4" s="297" t="s">
        <v>49</v>
      </c>
      <c r="AC4" s="297" t="s">
        <v>177</v>
      </c>
      <c r="AD4" s="371">
        <v>10</v>
      </c>
      <c r="AE4" s="293">
        <v>0</v>
      </c>
      <c r="AF4" s="294">
        <v>10</v>
      </c>
      <c r="AG4" s="295"/>
    </row>
    <row r="5" spans="1:34">
      <c r="A5" s="298" t="s">
        <v>50</v>
      </c>
      <c r="B5" s="485"/>
      <c r="C5" s="297" t="s">
        <v>175</v>
      </c>
      <c r="D5" s="297" t="s">
        <v>49</v>
      </c>
      <c r="E5" s="414" t="s">
        <v>177</v>
      </c>
      <c r="F5" s="297" t="s">
        <v>49</v>
      </c>
      <c r="G5" s="414" t="s">
        <v>175</v>
      </c>
      <c r="H5" s="415" t="s">
        <v>177</v>
      </c>
      <c r="I5" s="414" t="s">
        <v>175</v>
      </c>
      <c r="J5" s="297" t="s">
        <v>49</v>
      </c>
      <c r="K5" s="414" t="s">
        <v>177</v>
      </c>
      <c r="L5" s="414" t="s">
        <v>177</v>
      </c>
      <c r="M5" s="297" t="s">
        <v>49</v>
      </c>
      <c r="N5" s="297" t="s">
        <v>49</v>
      </c>
      <c r="O5" s="297" t="s">
        <v>49</v>
      </c>
      <c r="P5" s="414" t="s">
        <v>175</v>
      </c>
      <c r="Q5" s="414" t="s">
        <v>175</v>
      </c>
      <c r="R5" s="414" t="s">
        <v>178</v>
      </c>
      <c r="S5" s="414" t="s">
        <v>175</v>
      </c>
      <c r="T5" s="297" t="s">
        <v>49</v>
      </c>
      <c r="U5" s="297" t="s">
        <v>175</v>
      </c>
      <c r="V5" s="297" t="s">
        <v>175</v>
      </c>
      <c r="W5" s="297" t="s">
        <v>177</v>
      </c>
      <c r="X5" s="297" t="s">
        <v>49</v>
      </c>
      <c r="Y5" s="297" t="s">
        <v>178</v>
      </c>
      <c r="Z5" s="297" t="s">
        <v>177</v>
      </c>
      <c r="AA5" s="297" t="s">
        <v>49</v>
      </c>
      <c r="AB5" s="297" t="s">
        <v>177</v>
      </c>
      <c r="AC5" s="297" t="s">
        <v>175</v>
      </c>
      <c r="AD5" s="371">
        <v>7</v>
      </c>
      <c r="AE5" s="293">
        <v>0</v>
      </c>
      <c r="AF5" s="294">
        <v>7</v>
      </c>
      <c r="AG5" s="295"/>
    </row>
    <row r="6" spans="1:34">
      <c r="A6" s="299" t="s">
        <v>51</v>
      </c>
      <c r="B6" s="485"/>
      <c r="C6" s="297" t="s">
        <v>49</v>
      </c>
      <c r="D6" s="297" t="s">
        <v>177</v>
      </c>
      <c r="E6" s="414" t="s">
        <v>177</v>
      </c>
      <c r="F6" s="297" t="s">
        <v>49</v>
      </c>
      <c r="G6" s="414" t="s">
        <v>177</v>
      </c>
      <c r="H6" s="414" t="s">
        <v>177</v>
      </c>
      <c r="I6" s="414" t="s">
        <v>176</v>
      </c>
      <c r="J6" s="297" t="s">
        <v>49</v>
      </c>
      <c r="K6" s="415" t="s">
        <v>177</v>
      </c>
      <c r="L6" s="414" t="s">
        <v>175</v>
      </c>
      <c r="M6" s="297" t="s">
        <v>49</v>
      </c>
      <c r="N6" s="414" t="s">
        <v>177</v>
      </c>
      <c r="O6" s="414" t="s">
        <v>175</v>
      </c>
      <c r="P6" s="297" t="s">
        <v>49</v>
      </c>
      <c r="Q6" s="414" t="s">
        <v>177</v>
      </c>
      <c r="R6" s="414" t="s">
        <v>175</v>
      </c>
      <c r="S6" s="297" t="s">
        <v>177</v>
      </c>
      <c r="T6" s="297" t="s">
        <v>49</v>
      </c>
      <c r="U6" s="297" t="s">
        <v>177</v>
      </c>
      <c r="V6" s="297" t="s">
        <v>177</v>
      </c>
      <c r="W6" s="297" t="s">
        <v>175</v>
      </c>
      <c r="X6" s="297" t="s">
        <v>49</v>
      </c>
      <c r="Y6" s="297" t="s">
        <v>177</v>
      </c>
      <c r="Z6" s="297" t="s">
        <v>176</v>
      </c>
      <c r="AA6" s="297" t="s">
        <v>49</v>
      </c>
      <c r="AB6" s="297" t="s">
        <v>177</v>
      </c>
      <c r="AC6" s="297" t="s">
        <v>177</v>
      </c>
      <c r="AD6" s="371">
        <v>7</v>
      </c>
      <c r="AE6" s="293">
        <v>2</v>
      </c>
      <c r="AF6" s="326">
        <v>5</v>
      </c>
      <c r="AG6" s="295"/>
      <c r="AH6" t="s">
        <v>191</v>
      </c>
    </row>
    <row r="7" spans="1:34">
      <c r="A7" s="347" t="s">
        <v>112</v>
      </c>
      <c r="B7" s="485"/>
      <c r="C7" s="297" t="s">
        <v>177</v>
      </c>
      <c r="D7" s="257" t="s">
        <v>175</v>
      </c>
      <c r="E7" s="414" t="s">
        <v>175</v>
      </c>
      <c r="F7" s="297" t="s">
        <v>49</v>
      </c>
      <c r="G7" s="416" t="s">
        <v>176</v>
      </c>
      <c r="H7" s="297" t="s">
        <v>49</v>
      </c>
      <c r="I7" s="297" t="s">
        <v>177</v>
      </c>
      <c r="J7" s="414" t="s">
        <v>177</v>
      </c>
      <c r="K7" s="414" t="s">
        <v>177</v>
      </c>
      <c r="L7" s="414" t="s">
        <v>177</v>
      </c>
      <c r="M7" s="297" t="s">
        <v>49</v>
      </c>
      <c r="N7" s="414" t="s">
        <v>177</v>
      </c>
      <c r="O7" s="414" t="s">
        <v>177</v>
      </c>
      <c r="P7" s="414" t="s">
        <v>177</v>
      </c>
      <c r="Q7" s="297" t="s">
        <v>49</v>
      </c>
      <c r="R7" s="297" t="s">
        <v>175</v>
      </c>
      <c r="S7" s="414" t="s">
        <v>175</v>
      </c>
      <c r="T7" s="297" t="s">
        <v>49</v>
      </c>
      <c r="U7" s="297" t="s">
        <v>176</v>
      </c>
      <c r="V7" s="297" t="s">
        <v>177</v>
      </c>
      <c r="W7" s="297" t="s">
        <v>177</v>
      </c>
      <c r="X7" s="297" t="s">
        <v>177</v>
      </c>
      <c r="Y7" s="297" t="s">
        <v>177</v>
      </c>
      <c r="Z7" s="297" t="s">
        <v>49</v>
      </c>
      <c r="AA7" s="297" t="s">
        <v>49</v>
      </c>
      <c r="AB7" s="297" t="s">
        <v>49</v>
      </c>
      <c r="AC7" s="297" t="s">
        <v>177</v>
      </c>
      <c r="AD7" s="371"/>
      <c r="AE7" s="293"/>
      <c r="AF7" s="294"/>
      <c r="AG7" s="295"/>
    </row>
    <row r="8" spans="1:34">
      <c r="A8" s="347" t="s">
        <v>179</v>
      </c>
      <c r="B8" s="486"/>
      <c r="C8" s="297" t="s">
        <v>177</v>
      </c>
      <c r="D8" s="257" t="s">
        <v>177</v>
      </c>
      <c r="E8" s="297" t="s">
        <v>49</v>
      </c>
      <c r="F8" s="297" t="s">
        <v>49</v>
      </c>
      <c r="G8" s="297" t="s">
        <v>49</v>
      </c>
      <c r="H8" s="414" t="s">
        <v>177</v>
      </c>
      <c r="I8" s="414" t="s">
        <v>177</v>
      </c>
      <c r="J8" s="414" t="s">
        <v>175</v>
      </c>
      <c r="K8" s="414" t="s">
        <v>175</v>
      </c>
      <c r="L8" s="297" t="s">
        <v>49</v>
      </c>
      <c r="M8" s="297" t="s">
        <v>49</v>
      </c>
      <c r="N8" s="414" t="s">
        <v>175</v>
      </c>
      <c r="O8" s="415" t="s">
        <v>175</v>
      </c>
      <c r="P8" s="414" t="s">
        <v>177</v>
      </c>
      <c r="Q8" s="414" t="s">
        <v>177</v>
      </c>
      <c r="R8" s="414" t="s">
        <v>175</v>
      </c>
      <c r="S8" s="297" t="s">
        <v>49</v>
      </c>
      <c r="T8" s="297" t="s">
        <v>49</v>
      </c>
      <c r="U8" s="297" t="s">
        <v>49</v>
      </c>
      <c r="V8" s="297" t="s">
        <v>175</v>
      </c>
      <c r="W8" s="297" t="s">
        <v>175</v>
      </c>
      <c r="X8" s="297" t="s">
        <v>175</v>
      </c>
      <c r="Y8" s="297" t="s">
        <v>178</v>
      </c>
      <c r="Z8" s="297" t="s">
        <v>177</v>
      </c>
      <c r="AA8" s="297" t="s">
        <v>49</v>
      </c>
      <c r="AB8" s="297" t="s">
        <v>175</v>
      </c>
      <c r="AC8" s="297" t="s">
        <v>49</v>
      </c>
      <c r="AD8" s="371"/>
      <c r="AE8" s="293"/>
      <c r="AF8" s="294"/>
      <c r="AG8" s="295"/>
    </row>
    <row r="9" spans="1:34">
      <c r="A9" s="347"/>
      <c r="B9" s="297"/>
      <c r="C9" s="296" t="s">
        <v>180</v>
      </c>
      <c r="D9" s="297"/>
      <c r="E9" s="297"/>
      <c r="F9" s="296"/>
      <c r="G9" s="296"/>
      <c r="H9" s="297"/>
      <c r="I9" s="257" t="s">
        <v>181</v>
      </c>
      <c r="J9" s="296"/>
      <c r="K9" s="296" t="s">
        <v>182</v>
      </c>
      <c r="L9" s="349"/>
      <c r="M9" s="296"/>
      <c r="N9" s="297"/>
      <c r="O9" s="297"/>
      <c r="P9" s="297" t="s">
        <v>181</v>
      </c>
      <c r="Q9" s="296"/>
      <c r="R9" s="415"/>
      <c r="S9" s="297"/>
      <c r="T9" s="296"/>
      <c r="U9" s="296"/>
      <c r="V9" s="257" t="s">
        <v>180</v>
      </c>
      <c r="W9" s="257"/>
      <c r="X9" s="296"/>
      <c r="Y9" s="296" t="s">
        <v>182</v>
      </c>
      <c r="Z9" s="297"/>
      <c r="AA9" s="297"/>
      <c r="AB9" s="296"/>
      <c r="AC9" s="297" t="s">
        <v>192</v>
      </c>
      <c r="AD9" s="371"/>
      <c r="AE9" s="293"/>
      <c r="AF9" s="294"/>
      <c r="AG9" s="295"/>
    </row>
    <row r="10" spans="1:34">
      <c r="A10" s="327"/>
      <c r="B10" s="350"/>
      <c r="C10" s="351"/>
      <c r="D10" s="351"/>
      <c r="E10" s="352"/>
      <c r="F10" s="353"/>
      <c r="G10" s="354"/>
      <c r="H10" s="355"/>
      <c r="I10" s="355"/>
      <c r="J10" s="354"/>
      <c r="K10" s="356"/>
      <c r="L10" s="355"/>
      <c r="M10" s="357"/>
      <c r="N10" s="358"/>
      <c r="O10" s="354"/>
      <c r="P10" s="359"/>
      <c r="Q10" s="355"/>
      <c r="R10" s="354"/>
      <c r="S10" s="355"/>
      <c r="T10" s="353"/>
      <c r="U10" s="360"/>
      <c r="V10" s="354"/>
      <c r="W10" s="360"/>
      <c r="X10" s="354"/>
      <c r="Y10" s="354"/>
      <c r="Z10" s="355"/>
      <c r="AA10" s="354"/>
      <c r="AB10" s="355"/>
      <c r="AC10" s="354"/>
      <c r="AD10" s="377"/>
      <c r="AE10" s="328"/>
      <c r="AF10" s="329"/>
      <c r="AG10" s="330"/>
    </row>
    <row r="11" spans="1:34" ht="16.8" thickBot="1">
      <c r="A11" s="331"/>
      <c r="B11" s="332"/>
      <c r="C11" s="333"/>
      <c r="D11" s="332"/>
      <c r="E11" s="334"/>
      <c r="F11" s="332"/>
      <c r="G11" s="332"/>
      <c r="H11" s="332"/>
      <c r="I11" s="332"/>
      <c r="J11" s="333"/>
      <c r="K11" s="332"/>
      <c r="L11" s="332"/>
      <c r="M11" s="332"/>
      <c r="N11" s="335"/>
      <c r="O11" s="334"/>
      <c r="P11" s="334"/>
      <c r="Q11" s="375"/>
      <c r="R11" s="334"/>
      <c r="S11" s="334"/>
      <c r="T11" s="334"/>
      <c r="U11" s="334"/>
      <c r="V11" s="334"/>
      <c r="W11" s="301"/>
      <c r="X11" s="300"/>
      <c r="Y11" s="334"/>
      <c r="Z11" s="334"/>
      <c r="AA11" s="302"/>
      <c r="AB11" s="334"/>
      <c r="AC11" s="301"/>
      <c r="AD11" s="378"/>
      <c r="AE11" s="303"/>
      <c r="AF11" s="304"/>
      <c r="AG11" s="305"/>
    </row>
    <row r="12" spans="1:34">
      <c r="A12" s="288"/>
      <c r="B12" s="306"/>
      <c r="C12" s="307"/>
      <c r="D12" s="306"/>
      <c r="E12" s="306"/>
      <c r="F12" s="306"/>
      <c r="G12" s="306"/>
      <c r="H12" s="306"/>
      <c r="I12" s="306"/>
      <c r="J12" s="307"/>
      <c r="K12" s="306"/>
      <c r="L12" s="306"/>
      <c r="M12" s="306"/>
      <c r="N12" s="306"/>
      <c r="O12" s="306"/>
      <c r="P12" s="306"/>
      <c r="Q12" s="307"/>
      <c r="R12" s="306"/>
      <c r="S12" s="306"/>
      <c r="T12" s="306"/>
      <c r="U12" s="306"/>
      <c r="V12" s="306"/>
      <c r="W12" s="306"/>
      <c r="X12" s="307"/>
      <c r="Y12" s="306"/>
      <c r="Z12" s="306"/>
      <c r="AA12" s="288"/>
      <c r="AB12" s="288"/>
      <c r="AC12" s="288"/>
      <c r="AD12" s="306"/>
      <c r="AE12" s="288"/>
      <c r="AF12" s="288"/>
      <c r="AG12" s="288"/>
    </row>
    <row r="13" spans="1:34">
      <c r="A13" s="288" t="s">
        <v>52</v>
      </c>
      <c r="B13" s="308" t="s">
        <v>113</v>
      </c>
      <c r="C13" s="309"/>
      <c r="D13" s="308"/>
      <c r="E13" s="288"/>
      <c r="F13" s="288"/>
      <c r="G13" s="306" t="s">
        <v>183</v>
      </c>
      <c r="H13" s="306"/>
      <c r="I13" s="306"/>
      <c r="J13" s="307"/>
      <c r="K13" s="306"/>
      <c r="L13" s="306"/>
      <c r="M13" s="306"/>
      <c r="N13" s="306"/>
      <c r="O13" s="306"/>
      <c r="P13" s="306" t="s">
        <v>184</v>
      </c>
      <c r="Q13" s="307"/>
      <c r="R13" s="306"/>
      <c r="S13" s="288"/>
      <c r="T13" s="288"/>
      <c r="U13" s="288"/>
      <c r="V13" s="288"/>
      <c r="W13" s="288"/>
      <c r="X13" s="307"/>
      <c r="Y13" s="288"/>
      <c r="Z13" s="288"/>
      <c r="AA13" s="288"/>
      <c r="AB13" s="288"/>
      <c r="AC13" s="288"/>
      <c r="AD13" s="288"/>
      <c r="AE13" s="288"/>
      <c r="AF13" s="372"/>
      <c r="AG13" s="373"/>
    </row>
    <row r="14" spans="1:34">
      <c r="A14" s="288" t="s">
        <v>53</v>
      </c>
      <c r="B14" s="308" t="s">
        <v>114</v>
      </c>
      <c r="C14" s="309"/>
      <c r="D14" s="308"/>
      <c r="E14" s="288"/>
      <c r="F14" s="288"/>
      <c r="H14" s="288"/>
      <c r="I14" s="288"/>
      <c r="J14" s="307"/>
      <c r="K14" s="288"/>
      <c r="L14" s="288"/>
      <c r="M14" s="288"/>
      <c r="N14" s="288"/>
      <c r="O14" s="288"/>
      <c r="P14" s="288" t="s">
        <v>185</v>
      </c>
      <c r="Q14" s="307"/>
      <c r="R14" s="288"/>
      <c r="S14" s="372"/>
      <c r="T14" s="288"/>
      <c r="U14" s="288"/>
      <c r="V14" s="288"/>
      <c r="W14" s="288"/>
      <c r="X14" s="307"/>
      <c r="Y14" s="288"/>
      <c r="Z14" s="288"/>
      <c r="AA14" s="288"/>
      <c r="AB14" s="288"/>
      <c r="AC14" s="288"/>
      <c r="AD14" s="288"/>
      <c r="AE14" s="288"/>
      <c r="AF14" s="372"/>
      <c r="AG14" s="373"/>
    </row>
    <row r="15" spans="1:34">
      <c r="A15" s="288" t="s">
        <v>115</v>
      </c>
      <c r="B15" s="308" t="s">
        <v>116</v>
      </c>
      <c r="C15" s="309"/>
      <c r="D15" s="308"/>
      <c r="E15" s="288"/>
      <c r="F15" s="288"/>
      <c r="G15" s="361" t="s">
        <v>186</v>
      </c>
      <c r="H15" s="288"/>
      <c r="I15" s="288"/>
      <c r="J15" s="307"/>
      <c r="K15" s="288"/>
      <c r="L15" s="288"/>
      <c r="M15" s="288"/>
      <c r="N15" s="288"/>
      <c r="O15" s="288"/>
      <c r="P15" s="288"/>
      <c r="Q15" s="379" t="s">
        <v>187</v>
      </c>
      <c r="R15" s="288"/>
      <c r="S15" s="288"/>
      <c r="T15" s="288"/>
      <c r="U15" s="288"/>
      <c r="V15" s="288"/>
      <c r="W15" s="288"/>
      <c r="X15" s="307"/>
      <c r="Y15" s="288"/>
      <c r="Z15" s="288"/>
      <c r="AA15" s="288"/>
      <c r="AB15" s="288"/>
      <c r="AC15" s="288"/>
      <c r="AD15" s="288"/>
      <c r="AE15" s="288"/>
      <c r="AF15" s="372"/>
      <c r="AG15" s="373"/>
    </row>
    <row r="16" spans="1:34">
      <c r="A16" s="288"/>
      <c r="B16" s="308"/>
      <c r="C16" s="309"/>
      <c r="D16" s="308"/>
      <c r="E16" s="288"/>
      <c r="F16" s="288"/>
      <c r="G16" t="s">
        <v>188</v>
      </c>
      <c r="H16" s="288"/>
      <c r="I16" s="288"/>
      <c r="J16" s="307"/>
      <c r="K16" s="288"/>
      <c r="L16" s="288"/>
      <c r="M16" s="288"/>
      <c r="N16" s="288"/>
      <c r="O16" s="288"/>
      <c r="P16" s="288"/>
      <c r="Q16" s="379" t="s">
        <v>189</v>
      </c>
      <c r="R16" s="288"/>
      <c r="S16" s="288"/>
      <c r="T16" s="288"/>
      <c r="U16" s="288"/>
      <c r="V16" s="288"/>
      <c r="W16" s="288"/>
      <c r="X16" s="307"/>
      <c r="Y16" s="288"/>
      <c r="Z16" s="288"/>
      <c r="AA16" s="288"/>
      <c r="AB16" s="288"/>
      <c r="AC16" s="288"/>
      <c r="AD16" s="288"/>
      <c r="AE16" s="288"/>
      <c r="AF16" s="361"/>
      <c r="AG16" s="373"/>
    </row>
    <row r="17" spans="1:33">
      <c r="A17" s="288"/>
      <c r="B17" s="308"/>
      <c r="C17" s="309"/>
      <c r="D17" s="308"/>
      <c r="E17" s="288"/>
      <c r="F17" s="288"/>
      <c r="G17" t="s">
        <v>190</v>
      </c>
      <c r="H17" s="288"/>
      <c r="I17" s="288"/>
      <c r="J17" s="307"/>
      <c r="K17" s="288"/>
      <c r="L17" s="288"/>
      <c r="M17" s="288"/>
      <c r="N17" s="288"/>
      <c r="O17" s="288"/>
      <c r="P17" s="288"/>
      <c r="AA17" s="288"/>
      <c r="AB17" s="288"/>
      <c r="AC17" s="288"/>
      <c r="AD17" s="288"/>
      <c r="AE17" s="288"/>
      <c r="AF17" s="361"/>
      <c r="AG17" s="374"/>
    </row>
    <row r="18" spans="1:33">
      <c r="A18" s="288"/>
      <c r="B18" s="288"/>
      <c r="C18" s="307"/>
      <c r="D18" s="288"/>
      <c r="E18" s="288"/>
      <c r="F18" s="288"/>
      <c r="L18" s="288"/>
      <c r="M18" s="288"/>
      <c r="N18" s="288"/>
      <c r="O18" s="288"/>
      <c r="P18" s="288"/>
      <c r="AA18" s="288"/>
      <c r="AB18" s="288"/>
      <c r="AC18" s="288"/>
      <c r="AD18" s="288"/>
      <c r="AE18" s="288"/>
      <c r="AF18" s="361"/>
      <c r="AG18" s="374"/>
    </row>
    <row r="19" spans="1:33">
      <c r="A19" s="288"/>
      <c r="B19" s="288"/>
      <c r="C19" s="307"/>
      <c r="D19" s="288"/>
      <c r="E19" s="288"/>
      <c r="M19" s="288"/>
      <c r="N19" s="288"/>
      <c r="O19" s="288"/>
      <c r="P19" s="288"/>
      <c r="Q19" s="307"/>
      <c r="R19" s="417"/>
      <c r="S19" s="288"/>
      <c r="T19" s="288"/>
      <c r="U19" s="288"/>
      <c r="V19" s="288"/>
      <c r="W19" s="288"/>
      <c r="X19" s="307"/>
      <c r="Y19" s="288"/>
      <c r="Z19" s="288"/>
      <c r="AA19" s="311"/>
      <c r="AB19" s="311"/>
      <c r="AC19" s="288"/>
      <c r="AD19" s="288"/>
      <c r="AE19" s="288"/>
      <c r="AF19" s="361"/>
      <c r="AG19" s="374"/>
    </row>
    <row r="20" spans="1:33">
      <c r="A20" s="336"/>
      <c r="B20" s="288"/>
      <c r="C20" s="310"/>
      <c r="D20" s="311"/>
      <c r="E20" s="311"/>
      <c r="M20" s="288"/>
      <c r="N20" s="288"/>
      <c r="O20" s="288"/>
      <c r="P20" s="288"/>
      <c r="Q20" s="307"/>
      <c r="R20" s="417"/>
      <c r="S20" s="311"/>
      <c r="T20" s="311"/>
      <c r="U20" s="311"/>
      <c r="V20" s="311"/>
      <c r="W20" s="311"/>
      <c r="X20" s="310"/>
      <c r="Y20" s="311"/>
      <c r="Z20" s="311"/>
      <c r="AA20" s="312"/>
      <c r="AB20" s="313"/>
      <c r="AC20" s="312"/>
      <c r="AD20" s="288"/>
      <c r="AE20" s="288"/>
      <c r="AF20" s="361"/>
      <c r="AG20" s="374"/>
    </row>
    <row r="21" spans="1:33">
      <c r="A21" s="288"/>
      <c r="B21" s="288"/>
      <c r="C21" s="288"/>
      <c r="D21" s="288"/>
      <c r="E21" s="288"/>
      <c r="M21" s="311"/>
      <c r="N21" s="311"/>
      <c r="O21" s="311"/>
      <c r="P21" s="311"/>
      <c r="Q21" s="310"/>
      <c r="R21" s="311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372"/>
      <c r="AG21" s="374"/>
    </row>
    <row r="22" spans="1:33">
      <c r="AF22" s="361"/>
      <c r="AG22" s="374"/>
    </row>
    <row r="23" spans="1:33">
      <c r="AF23" s="361"/>
      <c r="AG23" s="374"/>
    </row>
  </sheetData>
  <mergeCells count="2">
    <mergeCell ref="A1:AD1"/>
    <mergeCell ref="B4:B8"/>
  </mergeCells>
  <phoneticPr fontId="63" type="noConversion"/>
  <pageMargins left="0" right="0" top="0" bottom="0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selection activeCell="E15" sqref="E15"/>
    </sheetView>
  </sheetViews>
  <sheetFormatPr defaultRowHeight="16.2"/>
  <cols>
    <col min="2" max="4" width="11.77734375" customWidth="1"/>
    <col min="5" max="5" width="19" customWidth="1"/>
    <col min="6" max="6" width="19.109375" customWidth="1"/>
    <col min="7" max="7" width="12.6640625" customWidth="1"/>
    <col min="8" max="8" width="19.77734375" customWidth="1"/>
    <col min="9" max="13" width="11.77734375" customWidth="1"/>
    <col min="14" max="14" width="10.77734375" customWidth="1"/>
    <col min="15" max="15" width="13.88671875" bestFit="1" customWidth="1"/>
    <col min="16" max="16" width="9.44140625" bestFit="1" customWidth="1"/>
  </cols>
  <sheetData>
    <row r="1" spans="1:16" ht="16.8" thickBot="1"/>
    <row r="2" spans="1:16" ht="24.9" customHeight="1" thickTop="1">
      <c r="A2" s="494" t="s">
        <v>119</v>
      </c>
      <c r="B2" s="487" t="s">
        <v>120</v>
      </c>
      <c r="C2" s="487" t="s">
        <v>121</v>
      </c>
      <c r="D2" s="487" t="s">
        <v>122</v>
      </c>
      <c r="E2" s="487" t="s">
        <v>123</v>
      </c>
      <c r="F2" s="487" t="s">
        <v>124</v>
      </c>
      <c r="G2" s="487" t="s">
        <v>125</v>
      </c>
      <c r="H2" s="487" t="s">
        <v>126</v>
      </c>
      <c r="I2" s="487" t="s">
        <v>127</v>
      </c>
      <c r="J2" s="487" t="s">
        <v>128</v>
      </c>
      <c r="K2" s="487" t="s">
        <v>129</v>
      </c>
      <c r="L2" s="487" t="s">
        <v>130</v>
      </c>
      <c r="M2" s="487" t="s">
        <v>131</v>
      </c>
      <c r="N2" s="489" t="s">
        <v>132</v>
      </c>
      <c r="O2" s="491" t="s">
        <v>133</v>
      </c>
    </row>
    <row r="3" spans="1:16" ht="24.9" customHeight="1">
      <c r="A3" s="495"/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90"/>
      <c r="O3" s="492"/>
    </row>
    <row r="4" spans="1:16" ht="24.9" customHeight="1" thickBot="1">
      <c r="A4" s="380" t="s">
        <v>134</v>
      </c>
      <c r="B4" s="381">
        <v>600000</v>
      </c>
      <c r="C4" s="381">
        <v>600000</v>
      </c>
      <c r="D4" s="381">
        <v>600000</v>
      </c>
      <c r="E4" s="381">
        <v>600000</v>
      </c>
      <c r="F4" s="381">
        <v>600000</v>
      </c>
      <c r="G4" s="381">
        <v>600000</v>
      </c>
      <c r="H4" s="381">
        <v>600000</v>
      </c>
      <c r="I4" s="381">
        <v>600000</v>
      </c>
      <c r="J4" s="381">
        <v>600000</v>
      </c>
      <c r="K4" s="381">
        <v>600000</v>
      </c>
      <c r="L4" s="381">
        <v>800000</v>
      </c>
      <c r="M4" s="381">
        <v>600000</v>
      </c>
      <c r="N4" s="382">
        <f>SUM(B4:M4)</f>
        <v>7400000</v>
      </c>
      <c r="O4" s="493"/>
    </row>
    <row r="5" spans="1:16" ht="24.9" customHeight="1" thickBot="1">
      <c r="A5" s="383">
        <v>2014</v>
      </c>
      <c r="B5" s="384">
        <v>403617</v>
      </c>
      <c r="C5" s="384">
        <v>356774</v>
      </c>
      <c r="D5" s="384">
        <v>415042</v>
      </c>
      <c r="E5" s="384">
        <v>383763</v>
      </c>
      <c r="F5" s="384">
        <v>414530</v>
      </c>
      <c r="G5" s="384">
        <v>330475</v>
      </c>
      <c r="H5" s="384">
        <v>369250</v>
      </c>
      <c r="I5" s="384">
        <v>308127</v>
      </c>
      <c r="J5" s="384">
        <v>260431</v>
      </c>
      <c r="K5" s="384">
        <v>200222</v>
      </c>
      <c r="L5" s="384">
        <v>400680</v>
      </c>
      <c r="M5" s="384">
        <v>537111</v>
      </c>
      <c r="N5" s="382">
        <f>SUM(B5:M5)</f>
        <v>4380022</v>
      </c>
      <c r="O5" s="385"/>
    </row>
    <row r="6" spans="1:16" ht="24.9" customHeight="1" thickBot="1">
      <c r="A6" s="395">
        <v>2015</v>
      </c>
      <c r="B6" s="396">
        <v>372505</v>
      </c>
      <c r="C6" s="397">
        <v>360747</v>
      </c>
      <c r="D6" s="397">
        <v>452741</v>
      </c>
      <c r="E6" s="397">
        <v>625524</v>
      </c>
      <c r="F6" s="397">
        <v>475365</v>
      </c>
      <c r="G6" s="397">
        <v>471267</v>
      </c>
      <c r="H6" s="397">
        <v>613384</v>
      </c>
      <c r="I6" s="397">
        <v>552509</v>
      </c>
      <c r="J6" s="397">
        <v>440892</v>
      </c>
      <c r="K6" s="398">
        <v>600349</v>
      </c>
      <c r="L6" s="398">
        <v>549367</v>
      </c>
      <c r="M6" s="399">
        <v>603864</v>
      </c>
      <c r="N6" s="382">
        <f>SUM(B6:M6)</f>
        <v>6118514</v>
      </c>
      <c r="O6" s="386"/>
    </row>
    <row r="7" spans="1:16" ht="24.9" customHeight="1" thickTop="1" thickBot="1">
      <c r="A7" s="383">
        <v>2016</v>
      </c>
      <c r="B7" s="400">
        <v>600244</v>
      </c>
      <c r="C7" s="400">
        <v>400326</v>
      </c>
      <c r="D7" s="400">
        <v>502823</v>
      </c>
      <c r="E7" s="400">
        <v>648202</v>
      </c>
      <c r="F7" s="400">
        <v>656423</v>
      </c>
      <c r="G7" s="400">
        <v>401334</v>
      </c>
      <c r="H7" s="400">
        <v>630132</v>
      </c>
      <c r="I7" s="400">
        <v>500274</v>
      </c>
      <c r="J7" s="400">
        <v>451089</v>
      </c>
      <c r="K7" s="400">
        <v>400464</v>
      </c>
      <c r="L7" s="401">
        <v>600656</v>
      </c>
      <c r="M7" s="401">
        <v>0</v>
      </c>
      <c r="N7" s="382">
        <f>SUM(B7:M7)</f>
        <v>5791967</v>
      </c>
      <c r="O7" s="386"/>
      <c r="P7">
        <v>6391967</v>
      </c>
    </row>
    <row r="8" spans="1:16" ht="25.05" customHeight="1" thickTop="1">
      <c r="A8" s="387" t="s">
        <v>135</v>
      </c>
      <c r="B8" s="388"/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9"/>
      <c r="O8" s="390">
        <f>SUM(O5:O6)</f>
        <v>0</v>
      </c>
    </row>
    <row r="9" spans="1:16" ht="25.05" customHeight="1" thickBot="1">
      <c r="A9" s="391"/>
      <c r="B9" s="392"/>
      <c r="C9" s="392"/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4"/>
      <c r="O9" s="394"/>
    </row>
    <row r="10" spans="1:16" ht="16.8" thickTop="1">
      <c r="B10" s="275">
        <v>600000</v>
      </c>
      <c r="C10" s="275">
        <v>600000</v>
      </c>
      <c r="D10" s="275">
        <v>600000</v>
      </c>
      <c r="E10" s="275">
        <v>600000</v>
      </c>
      <c r="F10" s="275">
        <v>800000</v>
      </c>
      <c r="G10" s="275">
        <v>600000</v>
      </c>
      <c r="H10" s="275">
        <v>1000000</v>
      </c>
      <c r="I10" s="275">
        <v>600000</v>
      </c>
      <c r="J10" s="275">
        <v>600000</v>
      </c>
      <c r="K10" s="275">
        <v>600000</v>
      </c>
      <c r="L10" s="275">
        <v>600000</v>
      </c>
      <c r="M10" s="276">
        <v>800000</v>
      </c>
      <c r="N10" s="402">
        <f>SUM(B10:M10)</f>
        <v>8000000</v>
      </c>
      <c r="P10" s="402">
        <f>N6-N7</f>
        <v>326547</v>
      </c>
    </row>
    <row r="11" spans="1:16" ht="24.6" customHeight="1">
      <c r="B11" s="407" t="s">
        <v>141</v>
      </c>
      <c r="C11" s="405" t="s">
        <v>136</v>
      </c>
      <c r="D11" s="404"/>
      <c r="E11" s="411" t="s">
        <v>143</v>
      </c>
      <c r="F11" s="411" t="s">
        <v>145</v>
      </c>
      <c r="G11" s="404"/>
      <c r="H11" s="411" t="s">
        <v>148</v>
      </c>
      <c r="I11" s="404"/>
      <c r="J11" s="404"/>
      <c r="K11" s="404"/>
      <c r="L11" s="404"/>
      <c r="M11" s="404"/>
      <c r="N11" s="402"/>
      <c r="P11" s="402"/>
    </row>
    <row r="12" spans="1:16">
      <c r="B12" s="408" t="s">
        <v>142</v>
      </c>
      <c r="E12" s="412" t="s">
        <v>144</v>
      </c>
      <c r="F12" s="410" t="s">
        <v>146</v>
      </c>
      <c r="H12" s="410" t="s">
        <v>149</v>
      </c>
    </row>
    <row r="13" spans="1:16">
      <c r="B13" s="408"/>
      <c r="E13" s="412"/>
      <c r="F13" s="410" t="s">
        <v>147</v>
      </c>
      <c r="H13" s="406" t="s">
        <v>150</v>
      </c>
    </row>
    <row r="14" spans="1:16">
      <c r="B14" s="408"/>
      <c r="E14" s="409"/>
    </row>
    <row r="15" spans="1:16">
      <c r="A15">
        <v>2017</v>
      </c>
      <c r="B15" s="403">
        <v>600000</v>
      </c>
      <c r="C15" s="403">
        <v>600000</v>
      </c>
      <c r="D15" s="403">
        <v>600000</v>
      </c>
      <c r="E15" s="403">
        <v>600000</v>
      </c>
      <c r="F15" s="403">
        <v>800000</v>
      </c>
      <c r="G15" s="403">
        <v>600000</v>
      </c>
      <c r="H15" s="403">
        <v>900000</v>
      </c>
      <c r="I15" s="403">
        <v>600000</v>
      </c>
      <c r="J15" s="403">
        <v>600000</v>
      </c>
      <c r="K15" s="403">
        <v>600000</v>
      </c>
      <c r="L15" s="403">
        <v>600000</v>
      </c>
      <c r="M15" s="403">
        <v>600000</v>
      </c>
      <c r="N15" s="402">
        <f>SUM(B15:M15)</f>
        <v>7700000</v>
      </c>
      <c r="O15" s="403">
        <v>7700000</v>
      </c>
      <c r="P15" t="s">
        <v>151</v>
      </c>
    </row>
    <row r="16" spans="1:16">
      <c r="B16" s="75" t="s">
        <v>136</v>
      </c>
      <c r="F16" t="s">
        <v>139</v>
      </c>
      <c r="H16" t="s">
        <v>140</v>
      </c>
    </row>
    <row r="17" spans="2:2">
      <c r="B17" s="75" t="s">
        <v>137</v>
      </c>
    </row>
    <row r="18" spans="2:2">
      <c r="B18" s="75" t="s">
        <v>138</v>
      </c>
    </row>
  </sheetData>
  <mergeCells count="15">
    <mergeCell ref="A2:A3"/>
    <mergeCell ref="B2:B3"/>
    <mergeCell ref="C2:C3"/>
    <mergeCell ref="D2:D3"/>
    <mergeCell ref="E2:E3"/>
    <mergeCell ref="F2:F3"/>
    <mergeCell ref="M2:M3"/>
    <mergeCell ref="N2:N3"/>
    <mergeCell ref="O2:O4"/>
    <mergeCell ref="G2:G3"/>
    <mergeCell ref="H2:H3"/>
    <mergeCell ref="I2:I3"/>
    <mergeCell ref="J2:J3"/>
    <mergeCell ref="K2:K3"/>
    <mergeCell ref="L2:L3"/>
  </mergeCells>
  <phoneticPr fontId="6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106.2</vt:lpstr>
      <vt:lpstr>營業報</vt:lpstr>
      <vt:lpstr>技術回收</vt:lpstr>
      <vt:lpstr>新舊客戶業績計表</vt:lpstr>
      <vt:lpstr>年度業績圖表</vt:lpstr>
      <vt:lpstr>班表</vt:lpstr>
      <vt:lpstr>Sheet1</vt:lpstr>
    </vt:vector>
  </TitlesOfParts>
  <Company>SYNNEX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2016-12-29T05:22:08Z</cp:lastPrinted>
  <dcterms:created xsi:type="dcterms:W3CDTF">2014-12-04T09:44:31Z</dcterms:created>
  <dcterms:modified xsi:type="dcterms:W3CDTF">2017-02-28T13:26:23Z</dcterms:modified>
</cp:coreProperties>
</file>