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/>
  <mc:AlternateContent xmlns:mc="http://schemas.openxmlformats.org/markup-compatibility/2006">
    <mc:Choice Requires="x15">
      <x15ac:absPath xmlns:x15ac="http://schemas.microsoft.com/office/spreadsheetml/2010/11/ac" url="D:\working\waccache\SN3PEPF0000E560\EXCELCNV\44ebf372-df8b-4931-88f8-8425aa0436df\"/>
    </mc:Choice>
  </mc:AlternateContent>
  <xr:revisionPtr revIDLastSave="0" documentId="8_{BDCBB881-822D-4013-ADF4-A07E877836B6}" xr6:coauthVersionLast="47" xr6:coauthVersionMax="47" xr10:uidLastSave="{00000000-0000-0000-0000-000000000000}"/>
  <bookViews>
    <workbookView xWindow="-60" yWindow="-60" windowWidth="15480" windowHeight="11640" tabRatio="500" firstSheet="1" activeTab="2" xr2:uid="{00000000-000D-0000-FFFF-FFFF00000000}"/>
  </bookViews>
  <sheets>
    <sheet name="Caixa Individual" sheetId="1" r:id="rId1"/>
    <sheet name="Dados" sheetId="2" r:id="rId2"/>
    <sheet name="Pagamento Individual" sheetId="3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36" i="2" l="1"/>
  <c r="H4" i="2"/>
  <c r="H5" i="2"/>
  <c r="H6" i="2"/>
  <c r="H12" i="2"/>
  <c r="H13" i="2"/>
  <c r="H16" i="2"/>
  <c r="H17" i="2"/>
  <c r="H22" i="2"/>
  <c r="H23" i="2"/>
  <c r="H24" i="2"/>
  <c r="H27" i="2"/>
  <c r="H28" i="2"/>
  <c r="H29" i="2"/>
  <c r="H3" i="2"/>
  <c r="I26" i="3"/>
  <c r="V25" i="3"/>
  <c r="I25" i="3"/>
  <c r="V24" i="3"/>
  <c r="I24" i="3"/>
  <c r="I23" i="3"/>
  <c r="V22" i="3"/>
  <c r="I22" i="3"/>
  <c r="V21" i="3"/>
  <c r="I21" i="3"/>
  <c r="V20" i="3"/>
  <c r="I20" i="3"/>
  <c r="V19" i="3"/>
  <c r="I19" i="3"/>
  <c r="V18" i="3"/>
  <c r="I18" i="3"/>
  <c r="V17" i="3"/>
  <c r="I17" i="3"/>
  <c r="V16" i="3"/>
  <c r="I16" i="3"/>
  <c r="V15" i="3"/>
  <c r="I15" i="3"/>
  <c r="V14" i="3"/>
  <c r="I14" i="3"/>
  <c r="V13" i="3"/>
  <c r="I13" i="3"/>
  <c r="I12" i="3"/>
  <c r="V11" i="3"/>
  <c r="I11" i="3"/>
  <c r="V10" i="3"/>
  <c r="I10" i="3"/>
  <c r="V9" i="3"/>
  <c r="I9" i="3"/>
  <c r="V8" i="3"/>
  <c r="I8" i="3"/>
  <c r="V7" i="3"/>
  <c r="I7" i="3"/>
  <c r="V6" i="3"/>
  <c r="I6" i="3"/>
  <c r="V5" i="3"/>
  <c r="I5" i="3"/>
  <c r="V4" i="3"/>
  <c r="I4" i="3"/>
  <c r="I3" i="3"/>
  <c r="E35" i="2"/>
  <c r="H35" i="2" s="1"/>
  <c r="E34" i="2"/>
  <c r="D34" i="2"/>
  <c r="H34" i="2" s="1"/>
  <c r="E33" i="2"/>
  <c r="D33" i="2"/>
  <c r="H33" i="2" s="1"/>
  <c r="E32" i="2"/>
  <c r="H32" i="2" s="1"/>
  <c r="E31" i="2"/>
  <c r="H31" i="2" s="1"/>
  <c r="E30" i="2"/>
  <c r="H30" i="2" s="1"/>
  <c r="E26" i="2"/>
  <c r="H26" i="2" s="1"/>
  <c r="E25" i="2"/>
  <c r="H25" i="2" s="1"/>
  <c r="E21" i="2"/>
  <c r="H21" i="2" s="1"/>
  <c r="E20" i="2"/>
  <c r="H20" i="2" s="1"/>
  <c r="E19" i="2"/>
  <c r="H19" i="2" s="1"/>
  <c r="E18" i="2"/>
  <c r="H18" i="2" s="1"/>
  <c r="E15" i="2"/>
  <c r="H15" i="2" s="1"/>
  <c r="E14" i="2"/>
  <c r="H14" i="2" s="1"/>
  <c r="E11" i="2"/>
  <c r="H11" i="2" s="1"/>
  <c r="E10" i="2"/>
  <c r="H10" i="2" s="1"/>
  <c r="E9" i="2"/>
  <c r="H9" i="2" s="1"/>
  <c r="E8" i="2"/>
  <c r="H8" i="2" s="1"/>
  <c r="E7" i="2"/>
  <c r="H7" i="2" s="1"/>
  <c r="C38" i="1"/>
  <c r="D38" i="1" s="1"/>
  <c r="B38" i="1"/>
  <c r="C37" i="1"/>
  <c r="D37" i="1" s="1"/>
  <c r="B37" i="1"/>
  <c r="C36" i="1"/>
  <c r="D36" i="1" s="1"/>
  <c r="B36" i="1"/>
  <c r="C35" i="1"/>
  <c r="D35" i="1" s="1"/>
  <c r="B35" i="1"/>
  <c r="C34" i="1"/>
  <c r="D34" i="1" s="1"/>
  <c r="B34" i="1"/>
  <c r="C33" i="1"/>
  <c r="D33" i="1" s="1"/>
  <c r="B33" i="1"/>
  <c r="C32" i="1"/>
  <c r="D32" i="1" s="1"/>
  <c r="B32" i="1"/>
  <c r="C31" i="1"/>
  <c r="D31" i="1" s="1"/>
  <c r="B31" i="1"/>
  <c r="C30" i="1"/>
  <c r="D30" i="1" s="1"/>
  <c r="B30" i="1"/>
  <c r="C29" i="1"/>
  <c r="D29" i="1" s="1"/>
  <c r="B29" i="1"/>
  <c r="C28" i="1"/>
  <c r="D28" i="1" s="1"/>
  <c r="B28" i="1"/>
  <c r="C27" i="1"/>
  <c r="D27" i="1" s="1"/>
  <c r="B27" i="1"/>
  <c r="C26" i="1"/>
  <c r="D26" i="1" s="1"/>
  <c r="B26" i="1"/>
  <c r="C25" i="1"/>
  <c r="D25" i="1" s="1"/>
  <c r="B25" i="1"/>
  <c r="C24" i="1"/>
  <c r="D24" i="1" s="1"/>
  <c r="B24" i="1"/>
  <c r="C23" i="1"/>
  <c r="D23" i="1" s="1"/>
  <c r="B23" i="1"/>
  <c r="C22" i="1"/>
  <c r="D22" i="1" s="1"/>
  <c r="B22" i="1"/>
  <c r="C21" i="1"/>
  <c r="D21" i="1" s="1"/>
  <c r="B21" i="1"/>
  <c r="C20" i="1"/>
  <c r="D20" i="1" s="1"/>
  <c r="B20" i="1"/>
  <c r="C19" i="1"/>
  <c r="D19" i="1" s="1"/>
  <c r="B19" i="1"/>
  <c r="C18" i="1"/>
  <c r="D18" i="1" s="1"/>
  <c r="B18" i="1"/>
  <c r="C17" i="1"/>
  <c r="D17" i="1" s="1"/>
  <c r="B17" i="1"/>
  <c r="C16" i="1"/>
  <c r="D16" i="1" s="1"/>
  <c r="B16" i="1"/>
  <c r="C15" i="1"/>
  <c r="D15" i="1" s="1"/>
  <c r="B15" i="1"/>
  <c r="C14" i="1"/>
  <c r="D14" i="1" s="1"/>
  <c r="B14" i="1"/>
  <c r="C13" i="1"/>
  <c r="D13" i="1" s="1"/>
  <c r="B13" i="1"/>
  <c r="C12" i="1"/>
  <c r="D12" i="1" s="1"/>
  <c r="B12" i="1"/>
  <c r="C11" i="1"/>
  <c r="D11" i="1" s="1"/>
  <c r="B11" i="1"/>
  <c r="C10" i="1"/>
  <c r="D10" i="1" s="1"/>
  <c r="B10" i="1"/>
  <c r="C9" i="1"/>
  <c r="D9" i="1" s="1"/>
  <c r="B9" i="1"/>
  <c r="C8" i="1"/>
  <c r="D8" i="1" s="1"/>
  <c r="B8" i="1"/>
  <c r="C7" i="1"/>
  <c r="D7" i="1" s="1"/>
  <c r="B7" i="1"/>
  <c r="C6" i="1"/>
  <c r="D6" i="1" s="1"/>
  <c r="B6" i="1"/>
  <c r="H5" i="1"/>
  <c r="J26" i="3" l="1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H7" i="1"/>
  <c r="H6" i="1"/>
</calcChain>
</file>

<file path=xl/sharedStrings.xml><?xml version="1.0" encoding="utf-8"?>
<sst xmlns="http://schemas.openxmlformats.org/spreadsheetml/2006/main" count="281" uniqueCount="119">
  <si>
    <t>Caixa Individual 2025</t>
  </si>
  <si>
    <t>Nome</t>
  </si>
  <si>
    <t>Valor Arrecadado</t>
  </si>
  <si>
    <t>Faltante</t>
  </si>
  <si>
    <t>Valor arrecadado total:</t>
  </si>
  <si>
    <t>Valor restante total:</t>
  </si>
  <si>
    <t>Atletas com pendência:</t>
  </si>
  <si>
    <t>CPF</t>
  </si>
  <si>
    <t>Time</t>
  </si>
  <si>
    <t>Rifa 1 - 05/2025</t>
  </si>
  <si>
    <t>Rifa 2 - 06-2025</t>
  </si>
  <si>
    <t>Rifa 3 - 08-2025</t>
  </si>
  <si>
    <t>Rifa CF - 10/2025</t>
  </si>
  <si>
    <t>Total</t>
  </si>
  <si>
    <t>Meta</t>
  </si>
  <si>
    <t>Amanda  Santos</t>
  </si>
  <si>
    <t>446.928.320-70</t>
  </si>
  <si>
    <t>Phoenix</t>
  </si>
  <si>
    <t>Ana Guimarães</t>
  </si>
  <si>
    <t>640.535.130-06</t>
  </si>
  <si>
    <t>Antonio Gonçalves</t>
  </si>
  <si>
    <t>880.953.950-80</t>
  </si>
  <si>
    <t>Bruna Kiyono</t>
  </si>
  <si>
    <t>635.334.670-07</t>
  </si>
  <si>
    <t>Immortals</t>
  </si>
  <si>
    <t>Calebe de Oliveira</t>
  </si>
  <si>
    <t>649.424.580-30</t>
  </si>
  <si>
    <t>Daniel Hara</t>
  </si>
  <si>
    <t>983.954.920-06</t>
  </si>
  <si>
    <t>Edilson Junior</t>
  </si>
  <si>
    <t>543.590.700-47</t>
  </si>
  <si>
    <t>Felipe Soares</t>
  </si>
  <si>
    <t>152.503.150-38</t>
  </si>
  <si>
    <t>Gabriel Trigolo</t>
  </si>
  <si>
    <t>790.068.370-40</t>
  </si>
  <si>
    <t>Gabriel de Oliveira</t>
  </si>
  <si>
    <t>341.251.760-78</t>
  </si>
  <si>
    <t>Gustavo Ribeiro</t>
  </si>
  <si>
    <t>011.103.590-20</t>
  </si>
  <si>
    <t>Heloá Da Silva</t>
  </si>
  <si>
    <t>458.775.990-20</t>
  </si>
  <si>
    <t>Heloisa de Oliveira</t>
  </si>
  <si>
    <t>171.537.830-08</t>
  </si>
  <si>
    <t>Igor Sena</t>
  </si>
  <si>
    <t>113.551.300-77</t>
  </si>
  <si>
    <t>João Bento</t>
  </si>
  <si>
    <t>738.034.990-20</t>
  </si>
  <si>
    <t>João de Almeida</t>
  </si>
  <si>
    <t>848.802.760-57</t>
  </si>
  <si>
    <t>João Pinho</t>
  </si>
  <si>
    <t>707.683.290-94</t>
  </si>
  <si>
    <t>João Santos</t>
  </si>
  <si>
    <t>501.040.960-71</t>
  </si>
  <si>
    <t>Júlia Real</t>
  </si>
  <si>
    <t>905.346.880-39</t>
  </si>
  <si>
    <t>final de 07</t>
  </si>
  <si>
    <t>Kaue Nunes</t>
  </si>
  <si>
    <t>711.031.530-48</t>
  </si>
  <si>
    <t>Letícia Pereira</t>
  </si>
  <si>
    <t>975.524.820-01</t>
  </si>
  <si>
    <t>Luan Macedo</t>
  </si>
  <si>
    <t>454.648.920-01</t>
  </si>
  <si>
    <t>Luanda Vital</t>
  </si>
  <si>
    <t>216.652.530-02</t>
  </si>
  <si>
    <t>Lucas Bruck</t>
  </si>
  <si>
    <t>978.074.480-08</t>
  </si>
  <si>
    <t>Luiz Pinto</t>
  </si>
  <si>
    <t>290.456.840-98</t>
  </si>
  <si>
    <t>Marcelo Ruiz</t>
  </si>
  <si>
    <t>355.157.500-20</t>
  </si>
  <si>
    <t>Maria Santos</t>
  </si>
  <si>
    <t>352.057.710-03</t>
  </si>
  <si>
    <t>Mateus Pazinatto</t>
  </si>
  <si>
    <t>451.727.610-47</t>
  </si>
  <si>
    <t>Matheus Fenili</t>
  </si>
  <si>
    <t>102.590.770-11</t>
  </si>
  <si>
    <t>Natalia Massari</t>
  </si>
  <si>
    <t>036.678.680-65</t>
  </si>
  <si>
    <t>Nestor Junior</t>
  </si>
  <si>
    <t>504.682.600-30</t>
  </si>
  <si>
    <t>Rhafaela  Oliveira</t>
  </si>
  <si>
    <t>666.679.320-09</t>
  </si>
  <si>
    <t>Yaron Büchler</t>
  </si>
  <si>
    <t>591.381.000-70</t>
  </si>
  <si>
    <t>Categoria De Pagamento</t>
  </si>
  <si>
    <t>Valor  - 10/2025</t>
  </si>
  <si>
    <t>Valor  - 11/2025</t>
  </si>
  <si>
    <t>Valor -  12/2025</t>
  </si>
  <si>
    <t>Valor - 1/2026</t>
  </si>
  <si>
    <t>Total Arrecadado</t>
  </si>
  <si>
    <t>Total faltante</t>
  </si>
  <si>
    <t>VALOR MOSTRADO NO RELATORIO</t>
  </si>
  <si>
    <t>Pagara Total</t>
  </si>
  <si>
    <t>Valor Mês 10</t>
  </si>
  <si>
    <t>Valor Mês 11</t>
  </si>
  <si>
    <t>Valor Mês 12</t>
  </si>
  <si>
    <t>Valor Mês 1/26</t>
  </si>
  <si>
    <t>Pagara Parcial</t>
  </si>
  <si>
    <t xml:space="preserve">Amanda dos Anjos Santos  </t>
  </si>
  <si>
    <t>Antonio Totti Gonçalves</t>
  </si>
  <si>
    <t>NA</t>
  </si>
  <si>
    <t>Gabriel Marcondes Trigolo</t>
  </si>
  <si>
    <t>Júlia Pivello Vila Real</t>
  </si>
  <si>
    <t>Letícia Esteves Rosa Pereira</t>
  </si>
  <si>
    <t>Luanda Shibata de Jesus Vital</t>
  </si>
  <si>
    <t>Luiz Henrique Almeida Pinto</t>
  </si>
  <si>
    <t>Maria Gabriely dos Santos</t>
  </si>
  <si>
    <t xml:space="preserve">Ana Luiza de Moraes Guimarães  </t>
  </si>
  <si>
    <t xml:space="preserve">Calebe Fernandes de Oliveira  </t>
  </si>
  <si>
    <t>Felipe Lira do Carmo Soares</t>
  </si>
  <si>
    <t xml:space="preserve">Heloisa Prado de Oliveira  </t>
  </si>
  <si>
    <t>Igor Silva Sena</t>
  </si>
  <si>
    <t xml:space="preserve">João Pedro Bento  </t>
  </si>
  <si>
    <t xml:space="preserve">João Vitor de Oliveira Pinho  </t>
  </si>
  <si>
    <t xml:space="preserve">João Vitor Nogueira Santos  </t>
  </si>
  <si>
    <t>kaue kato nunes</t>
  </si>
  <si>
    <t>Luan Tarumoto de Macedo</t>
  </si>
  <si>
    <t xml:space="preserve">Mateus Pazinatto  </t>
  </si>
  <si>
    <t>Nestor da Silva Santos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</si>
</sst>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 &quot;* #,##0.00_-;&quot;-R$ &quot;* #,##0.00_-;_-&quot;R$ &quot;* \-??_-;_-@_-"/>
  </numFmts>
  <fonts count="11">
    <font>
      <sz val="11"/>
      <color theme="1"/>
      <name val="Aptos Narrow"/>
      <family val="2"/>
      <charset val="1"/>
    </font>
    <font>
      <sz val="11"/>
      <color theme="1"/>
      <name val="Bahnschrift SemiCondensed"/>
      <family val="2"/>
      <charset val="1"/>
    </font>
    <font>
      <b/>
      <sz val="24"/>
      <color theme="1"/>
      <name val="Bahnschrift SemiCondensed"/>
      <family val="2"/>
      <charset val="1"/>
    </font>
    <font>
      <b/>
      <sz val="16"/>
      <color theme="1"/>
      <name val="Bahnschrift SemiCondensed"/>
      <family val="2"/>
      <charset val="1"/>
    </font>
    <font>
      <b/>
      <sz val="14"/>
      <color theme="1"/>
      <name val="Bahnschrift SemiCondensed"/>
      <family val="2"/>
      <charset val="1"/>
    </font>
    <font>
      <sz val="14"/>
      <color theme="1"/>
      <name val="Bahnschrift SemiCondensed"/>
      <family val="2"/>
      <charset val="1"/>
    </font>
    <font>
      <sz val="14"/>
      <color rgb="FF000000"/>
      <name val="Bahnschrift SemiCondensed"/>
      <family val="2"/>
      <charset val="1"/>
    </font>
    <font>
      <u/>
      <sz val="11"/>
      <color theme="1"/>
      <name val="Bahnschrift SemiCondensed"/>
      <family val="2"/>
      <charset val="1"/>
    </font>
    <font>
      <sz val="11"/>
      <color rgb="FF202124"/>
      <name val="Arial"/>
      <family val="2"/>
      <charset val="1"/>
    </font>
    <font>
      <sz val="11"/>
      <color theme="1"/>
      <name val="Aptos Narrow"/>
      <family val="2"/>
      <charset val="1"/>
    </font>
    <font>
      <sz val="10"/>
      <color theme="1"/>
      <name val="Liberation Sans"/>
      <charset val="1"/>
    </font>
  </fonts>
  <fills count="4">
    <fill>
      <patternFill patternType="none"/>
    </fill>
    <fill>
      <patternFill patternType="gray125"/>
    </fill>
    <fill>
      <patternFill patternType="solid">
        <fgColor rgb="FFFFB909"/>
        <bgColor rgb="FFFF9900"/>
      </patternFill>
    </fill>
    <fill>
      <patternFill patternType="solid">
        <fgColor theme="1"/>
        <bgColor rgb="FF20212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4" fontId="9" fillId="0" borderId="0" applyBorder="0" applyProtection="0"/>
  </cellStyleXfs>
  <cellXfs count="2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4" fontId="5" fillId="0" borderId="0" xfId="1" applyFont="1" applyBorder="1" applyAlignment="1" applyProtection="1">
      <alignment horizontal="center" vertical="center"/>
    </xf>
    <xf numFmtId="0" fontId="6" fillId="0" borderId="0" xfId="0" applyFont="1"/>
    <xf numFmtId="164" fontId="5" fillId="0" borderId="0" xfId="1" applyFont="1" applyBorder="1" applyAlignment="1" applyProtection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164" fontId="5" fillId="0" borderId="0" xfId="0" applyNumberFormat="1" applyFont="1" applyAlignment="1">
      <alignment horizontal="center"/>
    </xf>
    <xf numFmtId="164" fontId="0" fillId="0" borderId="0" xfId="1" applyFont="1" applyBorder="1" applyProtection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8" fillId="0" borderId="4" xfId="0" applyFont="1" applyBorder="1" applyAlignment="1">
      <alignment vertical="center" wrapText="1"/>
    </xf>
    <xf numFmtId="164" fontId="0" fillId="0" borderId="4" xfId="1" applyFont="1" applyBorder="1" applyProtection="1"/>
    <xf numFmtId="164" fontId="0" fillId="0" borderId="5" xfId="1" applyFont="1" applyBorder="1" applyProtection="1"/>
    <xf numFmtId="0" fontId="8" fillId="0" borderId="6" xfId="0" applyFont="1" applyBorder="1" applyAlignment="1">
      <alignment vertical="center" wrapText="1"/>
    </xf>
    <xf numFmtId="164" fontId="0" fillId="0" borderId="6" xfId="1" applyFont="1" applyBorder="1" applyProtection="1"/>
    <xf numFmtId="164" fontId="0" fillId="0" borderId="7" xfId="1" applyFont="1" applyBorder="1" applyProtection="1"/>
    <xf numFmtId="0" fontId="3" fillId="0" borderId="0" xfId="0" applyFont="1" applyAlignment="1">
      <alignment horizontal="center"/>
    </xf>
    <xf numFmtId="0" fontId="10" fillId="0" borderId="0" xfId="0" applyFont="1"/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color rgb="FF7E370E"/>
      </font>
      <numFmt numFmtId="164" formatCode="_-&quot;R$ &quot;* #,##0.00_-;&quot;-R$ &quot;* #,##0.00_-;_-&quot;R$ &quot;* \-??_-;_-@_-"/>
      <fill>
        <patternFill>
          <bgColor theme="5" tint="0.79989013336588644"/>
        </patternFill>
      </fill>
      <border diagonalUp="0" diagonalDown="0">
        <left style="thin">
          <color theme="5" tint="-0.499984740745262"/>
        </left>
        <right style="thin">
          <color theme="5" tint="-0.499984740745262"/>
        </right>
        <top style="thin">
          <color theme="5" tint="-0.499984740745262"/>
        </top>
        <bottom style="thin">
          <color theme="5" tint="-0.499984740745262"/>
        </bottom>
      </border>
    </dxf>
    <dxf>
      <font>
        <b/>
        <i val="0"/>
        <color rgb="FF275417"/>
      </font>
      <fill>
        <patternFill>
          <bgColor theme="9" tint="0.79989013336588644"/>
        </patternFill>
      </fill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E3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909"/>
      <rgbColor rgb="FFFF9900"/>
      <rgbColor rgb="FFFF6600"/>
      <rgbColor rgb="FF666699"/>
      <rgbColor rgb="FF969696"/>
      <rgbColor rgb="FF003366"/>
      <rgbColor rgb="FF339966"/>
      <rgbColor rgb="FF003300"/>
      <rgbColor rgb="FF275417"/>
      <rgbColor rgb="FF7E370E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ED" displayName="COED" ref="B5:D38" totalsRowShown="0">
  <tableColumns count="3">
    <tableColumn id="1" xr3:uid="{00000000-0010-0000-0000-000001000000}" name="Nome"/>
    <tableColumn id="2" xr3:uid="{00000000-0010-0000-0000-000002000000}" name="Valor Arrecadado"/>
    <tableColumn id="3" xr3:uid="{00000000-0010-0000-0000-000003000000}" name="Faltante" totalsRowFunction="cou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ados" displayName="Dados" ref="A2:H36" totalsRowShown="0">
  <autoFilter ref="A2:H36" xr:uid="{00000000-0009-0000-0100-000002000000}"/>
  <tableColumns count="8">
    <tableColumn id="1" xr3:uid="{00000000-0010-0000-0100-000001000000}" name="Nome"/>
    <tableColumn id="7" xr3:uid="{C20AD917-5F49-44AE-98C4-CA599166DEC0}" name="CPF"/>
    <tableColumn id="2" xr3:uid="{00000000-0010-0000-0100-000002000000}" name="Time"/>
    <tableColumn id="3" xr3:uid="{00000000-0010-0000-0100-000003000000}" name="Rifa 1 - 05/2025"/>
    <tableColumn id="4" xr3:uid="{00000000-0010-0000-0100-000004000000}" name="Rifa 2 - 06-2025"/>
    <tableColumn id="5" xr3:uid="{00000000-0010-0000-0100-000005000000}" name="Rifa 3 - 08-2025"/>
    <tableColumn id="6" xr3:uid="{00000000-0010-0000-0100-000006000000}" name="Rifa CF - 10/2025"/>
    <tableColumn id="8" xr3:uid="{00000000-0010-0000-0100-000008000000}" name="Total">
      <calculatedColumnFormula>SUM(Dados[[#This Row],[Time]:[Rifa CF - 10/2025]])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agamentoIndividual" displayName="PagamentoIndividual" ref="A2:J26" totalsRowShown="0">
  <autoFilter ref="A2:J26" xr:uid="{00000000-0009-0000-0100-000003000000}"/>
  <tableColumns count="10">
    <tableColumn id="1" xr3:uid="{00000000-0010-0000-0200-000001000000}" name="Nome"/>
    <tableColumn id="9" xr3:uid="{41950F03-B6F5-45F6-9DC5-4DA4F85F7FCC}" name="CPF"/>
    <tableColumn id="10" xr3:uid="{43E347D7-6006-4F99-BA0E-7331B57D0421}" name="Time" dataDxfId="0"/>
    <tableColumn id="2" xr3:uid="{00000000-0010-0000-0200-000002000000}" name="Categoria De Pagamento"/>
    <tableColumn id="3" xr3:uid="{00000000-0010-0000-0200-000003000000}" name="Valor  - 10/2025"/>
    <tableColumn id="4" xr3:uid="{00000000-0010-0000-0200-000004000000}" name="Valor  - 11/2025"/>
    <tableColumn id="5" xr3:uid="{00000000-0010-0000-0200-000005000000}" name="Valor -  12/2025"/>
    <tableColumn id="6" xr3:uid="{00000000-0010-0000-0200-000006000000}" name="Valor - 1/2026"/>
    <tableColumn id="7" xr3:uid="{00000000-0010-0000-0200-000007000000}" name="Total Arrecadado"/>
    <tableColumn id="8" xr3:uid="{00000000-0010-0000-0200-000008000000}" name="Total faltan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8"/>
  <sheetViews>
    <sheetView showGridLines="0" zoomScaleNormal="100" workbookViewId="0">
      <selection activeCell="B19" sqref="B19"/>
    </sheetView>
  </sheetViews>
  <sheetFormatPr defaultColWidth="9" defaultRowHeight="14.25"/>
  <cols>
    <col min="1" max="1" width="9" style="1"/>
    <col min="2" max="2" width="45.85546875" style="1" customWidth="1"/>
    <col min="3" max="3" width="23.42578125" style="1" customWidth="1"/>
    <col min="4" max="5" width="16.42578125" style="1" customWidth="1"/>
    <col min="6" max="6" width="9" style="1"/>
    <col min="7" max="7" width="31.85546875" style="1" customWidth="1"/>
    <col min="8" max="8" width="23.42578125" style="1" customWidth="1"/>
    <col min="9" max="9" width="16.42578125" style="1" customWidth="1"/>
    <col min="10" max="16384" width="9" style="2"/>
  </cols>
  <sheetData>
    <row r="1" spans="1:9" s="1" customFormat="1" ht="6.75" customHeight="1">
      <c r="A1" s="3"/>
      <c r="B1" s="3"/>
      <c r="C1" s="3"/>
      <c r="D1" s="3"/>
      <c r="E1" s="3"/>
      <c r="F1" s="3"/>
      <c r="G1" s="3"/>
      <c r="H1" s="3"/>
      <c r="I1" s="3"/>
    </row>
    <row r="2" spans="1:9" s="1" customFormat="1" ht="30">
      <c r="A2" s="2"/>
      <c r="B2" s="4" t="s">
        <v>0</v>
      </c>
      <c r="C2" s="2"/>
      <c r="D2" s="2"/>
      <c r="E2" s="2"/>
      <c r="F2" s="2"/>
      <c r="G2" s="2"/>
      <c r="H2" s="2"/>
      <c r="I2" s="2"/>
    </row>
    <row r="3" spans="1:9" s="1" customFormat="1" ht="30" customHeight="1"/>
    <row r="4" spans="1:9" s="1" customFormat="1" ht="18" customHeight="1">
      <c r="B4" s="27"/>
      <c r="C4" s="27"/>
      <c r="D4" s="27"/>
      <c r="E4" s="27"/>
      <c r="H4" s="5"/>
    </row>
    <row r="5" spans="1:9" s="1" customFormat="1" ht="18">
      <c r="B5" s="6" t="s">
        <v>1</v>
      </c>
      <c r="C5" s="6" t="s">
        <v>2</v>
      </c>
      <c r="D5" s="6" t="s">
        <v>3</v>
      </c>
      <c r="G5" s="7" t="s">
        <v>4</v>
      </c>
      <c r="H5" s="8">
        <f>SUM(COED[Valor Arrecadado])</f>
        <v>6349.6344444444458</v>
      </c>
    </row>
    <row r="6" spans="1:9" s="1" customFormat="1" ht="18">
      <c r="B6" s="9" t="str">
        <f>IF(Dados!A3="","",Dados!A3)</f>
        <v>Amanda  Santos</v>
      </c>
      <c r="C6" s="10">
        <f>SUMIF(Dados[Nome],Dados!A3,Dados[Total]) + SUMIF(PagamentoIndividual[Nome],Dados!A3,PagamentoIndividual[Total Arrecadado])</f>
        <v>150</v>
      </c>
      <c r="D6" s="10">
        <f>IF(COED[[#This Row],[Valor Arrecadado]]&lt;Dados!$J$3,Dados!$J$3-COED[[#This Row],[Valor Arrecadado]],"OK")</f>
        <v>422</v>
      </c>
      <c r="G6" s="7" t="s">
        <v>5</v>
      </c>
      <c r="H6" s="8">
        <f>-SUM(COED[Faltante])</f>
        <v>-12526.365555555554</v>
      </c>
    </row>
    <row r="7" spans="1:9" s="1" customFormat="1" ht="18">
      <c r="B7" s="11" t="str">
        <f>IF(Dados!A4="","",Dados!A4)</f>
        <v>Ana Guimarães</v>
      </c>
      <c r="C7" s="10">
        <f>SUMIF(Dados[Nome],Dados!A4,Dados[Total]) + SUMIF(PagamentoIndividual[Nome],Dados!A4,PagamentoIndividual[Total Arrecadado])</f>
        <v>138.25</v>
      </c>
      <c r="D7" s="10">
        <f>IF(COED[[#This Row],[Valor Arrecadado]]&lt;Dados!$J$3,Dados!$J$3-COED[[#This Row],[Valor Arrecadado]],"OK")</f>
        <v>433.75</v>
      </c>
      <c r="G7" s="7" t="s">
        <v>6</v>
      </c>
      <c r="H7" s="12">
        <f>SUM(COUNTA(COED[Faltante])-COUNTIF(COED[Faltante],"OK"))</f>
        <v>31</v>
      </c>
    </row>
    <row r="8" spans="1:9" s="1" customFormat="1" ht="18">
      <c r="B8" s="11" t="str">
        <f>IF(Dados!A5="","",Dados!A5)</f>
        <v>Antonio Gonçalves</v>
      </c>
      <c r="C8" s="10">
        <f>SUMIF(Dados[Nome],Dados!A5,Dados[Total]) + SUMIF(PagamentoIndividual[Nome],Dados!A5,PagamentoIndividual[Total Arrecadado])</f>
        <v>300</v>
      </c>
      <c r="D8" s="10">
        <f>IF(COED[[#This Row],[Valor Arrecadado]]&lt;Dados!$J$3,Dados!$J$3-COED[[#This Row],[Valor Arrecadado]],"OK")</f>
        <v>272</v>
      </c>
    </row>
    <row r="9" spans="1:9" s="1" customFormat="1" ht="18">
      <c r="B9" s="11" t="str">
        <f>IF(Dados!A6="","",Dados!A6)</f>
        <v>Bruna Kiyono</v>
      </c>
      <c r="C9" s="10">
        <f>SUMIF(Dados[Nome],Dados!A6,Dados[Total]) + SUMIF(PagamentoIndividual[Nome],Dados!A6,PagamentoIndividual[Total Arrecadado])</f>
        <v>200</v>
      </c>
      <c r="D9" s="10">
        <f>IF(COED[[#This Row],[Valor Arrecadado]]&lt;Dados!$J$3,Dados!$J$3-COED[[#This Row],[Valor Arrecadado]],"OK")</f>
        <v>372</v>
      </c>
    </row>
    <row r="10" spans="1:9" s="1" customFormat="1" ht="18">
      <c r="B10" s="9" t="str">
        <f>IF(Dados!A7="","",Dados!A7)</f>
        <v>Calebe de Oliveira</v>
      </c>
      <c r="C10" s="10">
        <f>SUMIF(Dados[Nome],Dados!A7,Dados[Total]) + SUMIF(PagamentoIndividual[Nome],Dados!A7,PagamentoIndividual[Total Arrecadado])</f>
        <v>249.43</v>
      </c>
      <c r="D10" s="10">
        <f>IF(COED[[#This Row],[Valor Arrecadado]]&lt;Dados!$J$3,Dados!$J$3-COED[[#This Row],[Valor Arrecadado]],"OK")</f>
        <v>322.57</v>
      </c>
    </row>
    <row r="11" spans="1:9" s="1" customFormat="1" ht="18">
      <c r="B11" s="11" t="str">
        <f>IF(Dados!A8="","",Dados!A8)</f>
        <v>Daniel Hara</v>
      </c>
      <c r="C11" s="10">
        <f>SUMIF(Dados[Nome],Dados!A8,Dados[Total]) + SUMIF(PagamentoIndividual[Nome],Dados!A8,PagamentoIndividual[Total Arrecadado])</f>
        <v>572</v>
      </c>
      <c r="D11" s="10" t="str">
        <f>IF(COED[[#This Row],[Valor Arrecadado]]&lt;Dados!$J$3,Dados!$J$3-COED[[#This Row],[Valor Arrecadado]],"OK")</f>
        <v>OK</v>
      </c>
    </row>
    <row r="12" spans="1:9" s="1" customFormat="1" ht="18">
      <c r="B12" s="11" t="str">
        <f>IF(Dados!A9="","",Dados!A9)</f>
        <v>Edilson Junior</v>
      </c>
      <c r="C12" s="10">
        <f>SUMIF(Dados[Nome],Dados!A9,Dados[Total]) + SUMIF(PagamentoIndividual[Nome],Dados!A9,PagamentoIndividual[Total Arrecadado])</f>
        <v>159.43</v>
      </c>
      <c r="D12" s="10">
        <f>IF(COED[[#This Row],[Valor Arrecadado]]&lt;Dados!$J$3,Dados!$J$3-COED[[#This Row],[Valor Arrecadado]],"OK")</f>
        <v>412.57</v>
      </c>
    </row>
    <row r="13" spans="1:9" s="1" customFormat="1" ht="18">
      <c r="B13" s="11" t="str">
        <f>IF(Dados!A10="","",Dados!A10)</f>
        <v>Felipe Soares</v>
      </c>
      <c r="C13" s="10">
        <f>SUMIF(Dados[Nome],Dados!A10,Dados[Total]) + SUMIF(PagamentoIndividual[Nome],Dados!A10,PagamentoIndividual[Total Arrecadado])</f>
        <v>159.43</v>
      </c>
      <c r="D13" s="10">
        <f>IF(COED[[#This Row],[Valor Arrecadado]]&lt;Dados!$J$3,Dados!$J$3-COED[[#This Row],[Valor Arrecadado]],"OK")</f>
        <v>412.57</v>
      </c>
    </row>
    <row r="14" spans="1:9" s="1" customFormat="1" ht="18">
      <c r="B14" s="11" t="str">
        <f>IF(Dados!A11="","",Dados!A11)</f>
        <v>Gabriel Trigolo</v>
      </c>
      <c r="C14" s="10">
        <f>SUMIF(Dados[Nome],Dados!A11,Dados[Total]) + SUMIF(PagamentoIndividual[Nome],Dados!A11,PagamentoIndividual[Total Arrecadado])</f>
        <v>198.43</v>
      </c>
      <c r="D14" s="10">
        <f>IF(COED[[#This Row],[Valor Arrecadado]]&lt;Dados!$J$3,Dados!$J$3-COED[[#This Row],[Valor Arrecadado]],"OK")</f>
        <v>373.57</v>
      </c>
    </row>
    <row r="15" spans="1:9" s="1" customFormat="1" ht="18">
      <c r="B15" s="11" t="str">
        <f>IF(Dados!A12="","",Dados!A12)</f>
        <v>Gabriel de Oliveira</v>
      </c>
      <c r="C15" s="10">
        <f>SUMIF(Dados[Nome],Dados!A12,Dados[Total]) + SUMIF(PagamentoIndividual[Nome],Dados!A12,PagamentoIndividual[Total Arrecadado])</f>
        <v>200</v>
      </c>
      <c r="D15" s="10">
        <f>IF(COED[[#This Row],[Valor Arrecadado]]&lt;Dados!$J$3,Dados!$J$3-COED[[#This Row],[Valor Arrecadado]],"OK")</f>
        <v>372</v>
      </c>
      <c r="G15" s="13"/>
    </row>
    <row r="16" spans="1:9" s="1" customFormat="1" ht="18">
      <c r="B16" s="11" t="str">
        <f>IF(Dados!A13="","",Dados!A13)</f>
        <v>Gustavo Ribeiro</v>
      </c>
      <c r="C16" s="10">
        <f>SUMIF(Dados[Nome],Dados!A13,Dados[Total]) + SUMIF(PagamentoIndividual[Nome],Dados!A13,PagamentoIndividual[Total Arrecadado])</f>
        <v>150</v>
      </c>
      <c r="D16" s="10">
        <f>IF(COED[[#This Row],[Valor Arrecadado]]&lt;Dados!$J$3,Dados!$J$3-COED[[#This Row],[Valor Arrecadado]],"OK")</f>
        <v>422</v>
      </c>
    </row>
    <row r="17" spans="2:4" s="1" customFormat="1" ht="18">
      <c r="B17" s="11" t="str">
        <f>IF(Dados!A14="","",Dados!A14)</f>
        <v>Heloá Da Silva</v>
      </c>
      <c r="C17" s="10">
        <f>SUMIF(Dados[Nome],Dados!A14,Dados[Total]) + SUMIF(PagamentoIndividual[Nome],Dados!A14,PagamentoIndividual[Total Arrecadado])</f>
        <v>159.43</v>
      </c>
      <c r="D17" s="10">
        <f>IF(COED[[#This Row],[Valor Arrecadado]]&lt;Dados!$J$3,Dados!$J$3-COED[[#This Row],[Valor Arrecadado]],"OK")</f>
        <v>412.57</v>
      </c>
    </row>
    <row r="18" spans="2:4" s="1" customFormat="1" ht="18">
      <c r="B18" s="11" t="str">
        <f>IF(Dados!A15="","",Dados!A15)</f>
        <v>Heloisa de Oliveira</v>
      </c>
      <c r="C18" s="10">
        <f>SUMIF(Dados[Nome],Dados!A15,Dados[Total]) + SUMIF(PagamentoIndividual[Nome],Dados!A15,PagamentoIndividual[Total Arrecadado])</f>
        <v>159.43</v>
      </c>
      <c r="D18" s="10">
        <f>IF(COED[[#This Row],[Valor Arrecadado]]&lt;Dados!$J$3,Dados!$J$3-COED[[#This Row],[Valor Arrecadado]],"OK")</f>
        <v>412.57</v>
      </c>
    </row>
    <row r="19" spans="2:4" s="1" customFormat="1" ht="18">
      <c r="B19" s="11" t="str">
        <f>IF(Dados!A16="","",Dados!A16)</f>
        <v>Igor Sena</v>
      </c>
      <c r="C19" s="10">
        <f>SUMIF(Dados[Nome],Dados!A16,Dados[Total]) + SUMIF(PagamentoIndividual[Nome],Dados!A16,PagamentoIndividual[Total Arrecadado])</f>
        <v>411.84444444444438</v>
      </c>
      <c r="D19" s="10">
        <f>IF(COED[[#This Row],[Valor Arrecadado]]&lt;Dados!$J$3,Dados!$J$3-COED[[#This Row],[Valor Arrecadado]],"OK")</f>
        <v>160.15555555555562</v>
      </c>
    </row>
    <row r="20" spans="2:4" s="1" customFormat="1" ht="18">
      <c r="B20" s="11" t="str">
        <f>IF(Dados!A17="","",Dados!A17)</f>
        <v>João Bento</v>
      </c>
      <c r="C20" s="10">
        <f>SUMIF(Dados[Nome],Dados!A17,Dados[Total]) + SUMIF(PagamentoIndividual[Nome],Dados!A17,PagamentoIndividual[Total Arrecadado])</f>
        <v>150</v>
      </c>
      <c r="D20" s="10">
        <f>IF(COED[[#This Row],[Valor Arrecadado]]&lt;Dados!$J$3,Dados!$J$3-COED[[#This Row],[Valor Arrecadado]],"OK")</f>
        <v>422</v>
      </c>
    </row>
    <row r="21" spans="2:4" s="1" customFormat="1" ht="18">
      <c r="B21" s="11" t="str">
        <f>IF(Dados!A18="","",Dados!A18)</f>
        <v>João de Almeida</v>
      </c>
      <c r="C21" s="10">
        <f>SUMIF(Dados[Nome],Dados!A18,Dados[Total]) + SUMIF(PagamentoIndividual[Nome],Dados!A18,PagamentoIndividual[Total Arrecadado])</f>
        <v>147.68</v>
      </c>
      <c r="D21" s="10">
        <f>IF(COED[[#This Row],[Valor Arrecadado]]&lt;Dados!$J$3,Dados!$J$3-COED[[#This Row],[Valor Arrecadado]],"OK")</f>
        <v>424.32</v>
      </c>
    </row>
    <row r="22" spans="2:4" s="1" customFormat="1" ht="18">
      <c r="B22" s="11" t="str">
        <f>IF(Dados!A19="","",Dados!A19)</f>
        <v>João Pinho</v>
      </c>
      <c r="C22" s="10">
        <f>SUMIF(Dados[Nome],Dados!A19,Dados[Total]) + SUMIF(PagamentoIndividual[Nome],Dados!A19,PagamentoIndividual[Total Arrecadado])</f>
        <v>159.43</v>
      </c>
      <c r="D22" s="10">
        <f>IF(COED[[#This Row],[Valor Arrecadado]]&lt;Dados!$J$3,Dados!$J$3-COED[[#This Row],[Valor Arrecadado]],"OK")</f>
        <v>412.57</v>
      </c>
    </row>
    <row r="23" spans="2:4" s="1" customFormat="1" ht="18">
      <c r="B23" s="11" t="str">
        <f>IF(Dados!A20="","",Dados!A20)</f>
        <v>João Santos</v>
      </c>
      <c r="C23" s="10">
        <f>SUMIF(Dados[Nome],Dados!A20,Dados[Total]) + SUMIF(PagamentoIndividual[Nome],Dados!A20,PagamentoIndividual[Total Arrecadado])</f>
        <v>147.68</v>
      </c>
      <c r="D23" s="10">
        <f>IF(COED[[#This Row],[Valor Arrecadado]]&lt;Dados!$J$3,Dados!$J$3-COED[[#This Row],[Valor Arrecadado]],"OK")</f>
        <v>424.32</v>
      </c>
    </row>
    <row r="24" spans="2:4" s="1" customFormat="1" ht="18">
      <c r="B24" s="11" t="str">
        <f>IF(Dados!A21="","",Dados!A21)</f>
        <v>Júlia Real</v>
      </c>
      <c r="C24" s="14">
        <f>SUMIF(Dados[Nome],Dados!A21,Dados[Total]) + SUMIF(PagamentoIndividual[Nome],Dados!A21,PagamentoIndividual[Total Arrecadado])</f>
        <v>37.43</v>
      </c>
      <c r="D24" s="10">
        <f>IF(COED[[#This Row],[Valor Arrecadado]]&lt;Dados!$J$3,Dados!$J$3-COED[[#This Row],[Valor Arrecadado]],"OK")</f>
        <v>534.57000000000005</v>
      </c>
    </row>
    <row r="25" spans="2:4" s="1" customFormat="1" ht="18">
      <c r="B25" s="11" t="str">
        <f>IF(Dados!A22="","",Dados!A22)</f>
        <v>Kaue Nunes</v>
      </c>
      <c r="C25" s="14">
        <f>SUMIF(Dados[Nome],Dados!A22,Dados[Total]) + SUMIF(PagamentoIndividual[Nome],Dados!A22,PagamentoIndividual[Total Arrecadado])</f>
        <v>114.9</v>
      </c>
      <c r="D25" s="10">
        <f>IF(COED[[#This Row],[Valor Arrecadado]]&lt;Dados!$J$3,Dados!$J$3-COED[[#This Row],[Valor Arrecadado]],"OK")</f>
        <v>457.1</v>
      </c>
    </row>
    <row r="26" spans="2:4" s="1" customFormat="1" ht="18">
      <c r="B26" s="11" t="str">
        <f>IF(Dados!A23="","",Dados!A23)</f>
        <v>Letícia Pereira</v>
      </c>
      <c r="C26" s="14">
        <f>SUMIF(Dados[Nome],Dados!A23,Dados[Total]) + SUMIF(PagamentoIndividual[Nome],Dados!A23,PagamentoIndividual[Total Arrecadado])</f>
        <v>200</v>
      </c>
      <c r="D26" s="10">
        <f>IF(COED[[#This Row],[Valor Arrecadado]]&lt;Dados!$J$3,Dados!$J$3-COED[[#This Row],[Valor Arrecadado]],"OK")</f>
        <v>372</v>
      </c>
    </row>
    <row r="27" spans="2:4" s="1" customFormat="1" ht="18">
      <c r="B27" s="11" t="str">
        <f>IF(Dados!A24="","",Dados!A24)</f>
        <v>Luan Macedo</v>
      </c>
      <c r="C27" s="14">
        <f>SUMIF(Dados[Nome],Dados!A24,Dados[Total]) + SUMIF(PagamentoIndividual[Nome],Dados!A24,PagamentoIndividual[Total Arrecadado])</f>
        <v>200</v>
      </c>
      <c r="D27" s="10">
        <f>IF(COED[[#This Row],[Valor Arrecadado]]&lt;Dados!$J$3,Dados!$J$3-COED[[#This Row],[Valor Arrecadado]],"OK")</f>
        <v>372</v>
      </c>
    </row>
    <row r="28" spans="2:4" s="1" customFormat="1" ht="18">
      <c r="B28" s="11" t="str">
        <f>IF(Dados!A25="","",Dados!A25)</f>
        <v>Luanda Vital</v>
      </c>
      <c r="C28" s="14">
        <f>SUMIF(Dados[Nome],Dados!A25,Dados[Total]) + SUMIF(PagamentoIndividual[Nome],Dados!A25,PagamentoIndividual[Total Arrecadado])</f>
        <v>9.43</v>
      </c>
      <c r="D28" s="10">
        <f>IF(COED[[#This Row],[Valor Arrecadado]]&lt;Dados!$J$3,Dados!$J$3-COED[[#This Row],[Valor Arrecadado]],"OK")</f>
        <v>562.57000000000005</v>
      </c>
    </row>
    <row r="29" spans="2:4" s="1" customFormat="1" ht="18">
      <c r="B29" s="11" t="str">
        <f>IF(Dados!A26="","",Dados!A26)</f>
        <v>Lucas Bruck</v>
      </c>
      <c r="C29" s="14">
        <f>SUMIF(Dados[Nome],Dados!A26,Dados[Total]) + SUMIF(PagamentoIndividual[Nome],Dados!A26,PagamentoIndividual[Total Arrecadado])</f>
        <v>209.43</v>
      </c>
      <c r="D29" s="10">
        <f>IF(COED[[#This Row],[Valor Arrecadado]]&lt;Dados!$J$3,Dados!$J$3-COED[[#This Row],[Valor Arrecadado]],"OK")</f>
        <v>362.57</v>
      </c>
    </row>
    <row r="30" spans="2:4" s="1" customFormat="1" ht="18">
      <c r="B30" s="11" t="str">
        <f>IF(Dados!A27="","",Dados!A27)</f>
        <v>Luiz Pinto</v>
      </c>
      <c r="C30" s="14">
        <f>SUMIF(Dados[Nome],Dados!A27,Dados[Total]) + SUMIF(PagamentoIndividual[Nome],Dados!A27,PagamentoIndividual[Total Arrecadado])</f>
        <v>0</v>
      </c>
      <c r="D30" s="10">
        <f>IF(COED[[#This Row],[Valor Arrecadado]]&lt;Dados!$J$3,Dados!$J$3-COED[[#This Row],[Valor Arrecadado]],"OK")</f>
        <v>572</v>
      </c>
    </row>
    <row r="31" spans="2:4" s="1" customFormat="1" ht="18">
      <c r="B31" s="11" t="str">
        <f>IF(Dados!A28="","",Dados!A28)</f>
        <v>Marcelo Ruiz</v>
      </c>
      <c r="C31" s="14">
        <f>SUMIF(Dados[Nome],Dados!A28,Dados[Total]) + SUMIF(PagamentoIndividual[Nome],Dados!A28,PagamentoIndividual[Total Arrecadado])</f>
        <v>572</v>
      </c>
      <c r="D31" s="10" t="str">
        <f>IF(COED[[#This Row],[Valor Arrecadado]]&lt;Dados!$J$3,Dados!$J$3-COED[[#This Row],[Valor Arrecadado]],"OK")</f>
        <v>OK</v>
      </c>
    </row>
    <row r="32" spans="2:4" s="1" customFormat="1" ht="18">
      <c r="B32" s="11" t="str">
        <f>IF(Dados!A29="","",Dados!A29)</f>
        <v>Maria Santos</v>
      </c>
      <c r="C32" s="14">
        <f>SUMIF(Dados[Nome],Dados!A29,Dados[Total]) + SUMIF(PagamentoIndividual[Nome],Dados!A29,PagamentoIndividual[Total Arrecadado])</f>
        <v>300</v>
      </c>
      <c r="D32" s="10">
        <f>IF(COED[[#This Row],[Valor Arrecadado]]&lt;Dados!$J$3,Dados!$J$3-COED[[#This Row],[Valor Arrecadado]],"OK")</f>
        <v>272</v>
      </c>
    </row>
    <row r="33" spans="2:4" s="1" customFormat="1" ht="18">
      <c r="B33" s="11" t="str">
        <f>IF(Dados!A30="","",Dados!A30)</f>
        <v>Mateus Pazinatto</v>
      </c>
      <c r="C33" s="14">
        <f>SUMIF(Dados[Nome],Dados!A30,Dados[Total]) + SUMIF(PagamentoIndividual[Nome],Dados!A30,PagamentoIndividual[Total Arrecadado])</f>
        <v>159.43</v>
      </c>
      <c r="D33" s="10">
        <f>IF(COED[[#This Row],[Valor Arrecadado]]&lt;Dados!$J$3,Dados!$J$3-COED[[#This Row],[Valor Arrecadado]],"OK")</f>
        <v>412.57</v>
      </c>
    </row>
    <row r="34" spans="2:4" s="1" customFormat="1" ht="18">
      <c r="B34" s="11" t="str">
        <f>IF(Dados!A31="","",Dados!A31)</f>
        <v>Matheus Fenili</v>
      </c>
      <c r="C34" s="14">
        <f>SUMIF(Dados[Nome],Dados!A31,Dados[Total]) + SUMIF(PagamentoIndividual[Nome],Dados!A31,PagamentoIndividual[Total Arrecadado])</f>
        <v>159.43</v>
      </c>
      <c r="D34" s="10">
        <f>IF(COED[[#This Row],[Valor Arrecadado]]&lt;Dados!$J$3,Dados!$J$3-COED[[#This Row],[Valor Arrecadado]],"OK")</f>
        <v>412.57</v>
      </c>
    </row>
    <row r="35" spans="2:4" s="1" customFormat="1" ht="18">
      <c r="B35" s="11" t="str">
        <f>IF(Dados!A32="","",Dados!A32)</f>
        <v>Natalia Massari</v>
      </c>
      <c r="C35" s="14">
        <f>SUMIF(Dados[Nome],Dados!A32,Dados[Total]) + SUMIF(PagamentoIndividual[Nome],Dados!A32,PagamentoIndividual[Total Arrecadado])</f>
        <v>124.33000000000001</v>
      </c>
      <c r="D35" s="10">
        <f>IF(COED[[#This Row],[Valor Arrecadado]]&lt;Dados!$J$3,Dados!$J$3-COED[[#This Row],[Valor Arrecadado]],"OK")</f>
        <v>447.66999999999996</v>
      </c>
    </row>
    <row r="36" spans="2:4" s="1" customFormat="1" ht="18">
      <c r="B36" s="11" t="str">
        <f>IF(Dados!A33="","",Dados!A33)</f>
        <v>Nestor Junior</v>
      </c>
      <c r="C36" s="14">
        <f>SUMIF(Dados[Nome],Dados!A33,Dados[Total]) + SUMIF(PagamentoIndividual[Nome],Dados!A33,PagamentoIndividual[Total Arrecadado])</f>
        <v>139.68</v>
      </c>
      <c r="D36" s="10">
        <f>IF(COED[[#This Row],[Valor Arrecadado]]&lt;Dados!$J$3,Dados!$J$3-COED[[#This Row],[Valor Arrecadado]],"OK")</f>
        <v>432.32</v>
      </c>
    </row>
    <row r="37" spans="2:4" s="1" customFormat="1" ht="18">
      <c r="B37" s="11" t="str">
        <f>IF(Dados!A34="","",Dados!A34)</f>
        <v>Rhafaela  Oliveira</v>
      </c>
      <c r="C37" s="14">
        <f>SUMIF(Dados[Nome],Dados!A34,Dados[Total]) + SUMIF(PagamentoIndividual[Nome],Dados!A34,PagamentoIndividual[Total Arrecadado])</f>
        <v>151.68</v>
      </c>
      <c r="D37" s="10">
        <f>IF(COED[[#This Row],[Valor Arrecadado]]&lt;Dados!$J$3,Dados!$J$3-COED[[#This Row],[Valor Arrecadado]],"OK")</f>
        <v>420.32</v>
      </c>
    </row>
    <row r="38" spans="2:4" s="1" customFormat="1" ht="18">
      <c r="B38" s="11" t="str">
        <f>IF(Dados!A35="","",Dados!A35)</f>
        <v>Yaron Büchler</v>
      </c>
      <c r="C38" s="14">
        <f>SUMIF(Dados[Nome],Dados!A35,Dados[Total]) + SUMIF(PagamentoIndividual[Nome],Dados!A35,PagamentoIndividual[Total Arrecadado])</f>
        <v>159.43</v>
      </c>
      <c r="D38" s="10">
        <f>IF(COED[[#This Row],[Valor Arrecadado]]&lt;Dados!$J$3,Dados!$J$3-COED[[#This Row],[Valor Arrecadado]],"OK")</f>
        <v>412.57</v>
      </c>
    </row>
    <row r="39" spans="2:4" s="1" customFormat="1"/>
    <row r="40" spans="2:4" s="1" customFormat="1"/>
    <row r="41" spans="2:4" s="1" customFormat="1"/>
    <row r="42" spans="2:4" s="1" customFormat="1"/>
    <row r="43" spans="2:4" s="1" customFormat="1"/>
    <row r="44" spans="2:4" s="1" customFormat="1"/>
    <row r="45" spans="2:4" s="1" customFormat="1"/>
    <row r="46" spans="2:4" s="1" customFormat="1"/>
    <row r="47" spans="2:4" s="1" customFormat="1"/>
    <row r="48" spans="2:4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</sheetData>
  <mergeCells count="1">
    <mergeCell ref="B4:E4"/>
  </mergeCells>
  <conditionalFormatting sqref="D6:D38">
    <cfRule type="cellIs" dxfId="2" priority="2" operator="equal">
      <formula>"OK"</formula>
    </cfRule>
    <cfRule type="cellIs" dxfId="1" priority="3" operator="greaterThan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36"/>
  <sheetViews>
    <sheetView zoomScaleNormal="100" workbookViewId="0">
      <selection activeCell="G3" sqref="G3"/>
    </sheetView>
  </sheetViews>
  <sheetFormatPr defaultColWidth="8.5703125" defaultRowHeight="15"/>
  <cols>
    <col min="1" max="1" width="34.42578125" customWidth="1"/>
    <col min="2" max="2" width="6.7109375" customWidth="1"/>
    <col min="4" max="8" width="10.5703125" customWidth="1"/>
    <col min="9" max="10" width="14.140625" customWidth="1"/>
    <col min="11" max="11" width="16" customWidth="1"/>
    <col min="12" max="13" width="10.42578125" customWidth="1"/>
    <col min="14" max="14" width="9.42578125" customWidth="1"/>
    <col min="18" max="18" width="10.28515625" customWidth="1"/>
  </cols>
  <sheetData>
    <row r="2" spans="1:13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J2" t="s">
        <v>14</v>
      </c>
      <c r="M2" s="15"/>
    </row>
    <row r="3" spans="1:13">
      <c r="A3" t="s">
        <v>15</v>
      </c>
      <c r="B3" s="28" t="s">
        <v>16</v>
      </c>
      <c r="C3" s="16" t="s">
        <v>17</v>
      </c>
      <c r="D3" s="15">
        <v>100</v>
      </c>
      <c r="E3" s="15">
        <v>50</v>
      </c>
      <c r="F3" s="15"/>
      <c r="G3" s="15"/>
      <c r="H3" s="15">
        <f>SUM(Dados[[#This Row],[Time]:[Rifa CF - 10/2025]])</f>
        <v>150</v>
      </c>
      <c r="I3" s="15"/>
      <c r="J3" s="15">
        <v>572</v>
      </c>
      <c r="K3" s="15"/>
    </row>
    <row r="4" spans="1:13">
      <c r="A4" t="s">
        <v>18</v>
      </c>
      <c r="B4" s="28" t="s">
        <v>19</v>
      </c>
      <c r="C4" s="16" t="s">
        <v>17</v>
      </c>
      <c r="D4" s="15">
        <v>100</v>
      </c>
      <c r="E4" s="15">
        <v>38.25</v>
      </c>
      <c r="F4" s="15"/>
      <c r="G4" s="15"/>
      <c r="H4" s="15">
        <f>SUM(Dados[[#This Row],[Time]:[Rifa CF - 10/2025]])</f>
        <v>138.25</v>
      </c>
      <c r="I4" s="15"/>
    </row>
    <row r="5" spans="1:13">
      <c r="A5" t="s">
        <v>20</v>
      </c>
      <c r="B5" s="28" t="s">
        <v>21</v>
      </c>
      <c r="C5" s="16" t="s">
        <v>17</v>
      </c>
      <c r="D5" s="15">
        <v>150</v>
      </c>
      <c r="E5" s="15">
        <v>100</v>
      </c>
      <c r="F5" s="15">
        <v>50</v>
      </c>
      <c r="G5" s="15"/>
      <c r="H5" s="15">
        <f>SUM(Dados[[#This Row],[Time]:[Rifa CF - 10/2025]])</f>
        <v>300</v>
      </c>
      <c r="I5" s="15"/>
    </row>
    <row r="6" spans="1:13">
      <c r="A6" t="s">
        <v>22</v>
      </c>
      <c r="B6" s="28" t="s">
        <v>23</v>
      </c>
      <c r="C6" s="16" t="s">
        <v>24</v>
      </c>
      <c r="D6" s="15">
        <v>150</v>
      </c>
      <c r="E6" s="15">
        <v>50</v>
      </c>
      <c r="F6" s="15"/>
      <c r="G6" s="15"/>
      <c r="H6" s="15">
        <f>SUM(Dados[[#This Row],[Time]:[Rifa CF - 10/2025]])</f>
        <v>200</v>
      </c>
      <c r="I6" s="15"/>
    </row>
    <row r="7" spans="1:13">
      <c r="A7" t="s">
        <v>25</v>
      </c>
      <c r="B7" s="28" t="s">
        <v>26</v>
      </c>
      <c r="C7" s="16" t="s">
        <v>17</v>
      </c>
      <c r="D7" s="15">
        <v>50</v>
      </c>
      <c r="E7" s="15">
        <f>50+50+9.43</f>
        <v>109.43</v>
      </c>
      <c r="F7" s="15"/>
      <c r="G7" s="15"/>
      <c r="H7" s="15">
        <f>SUM(Dados[[#This Row],[Time]:[Rifa CF - 10/2025]])</f>
        <v>159.43</v>
      </c>
      <c r="I7" s="15"/>
    </row>
    <row r="8" spans="1:13">
      <c r="A8" t="s">
        <v>27</v>
      </c>
      <c r="B8" s="28" t="s">
        <v>28</v>
      </c>
      <c r="C8" s="16" t="s">
        <v>17</v>
      </c>
      <c r="D8" s="15">
        <v>100</v>
      </c>
      <c r="E8" s="15">
        <f>50+9.43</f>
        <v>59.43</v>
      </c>
      <c r="F8" s="15"/>
      <c r="G8" s="15"/>
      <c r="H8" s="15">
        <f>SUM(Dados[[#This Row],[Time]:[Rifa CF - 10/2025]])</f>
        <v>159.43</v>
      </c>
      <c r="I8" s="15"/>
    </row>
    <row r="9" spans="1:13">
      <c r="A9" t="s">
        <v>29</v>
      </c>
      <c r="B9" s="28" t="s">
        <v>30</v>
      </c>
      <c r="C9" s="16" t="s">
        <v>24</v>
      </c>
      <c r="D9" s="15">
        <v>150</v>
      </c>
      <c r="E9" s="15">
        <f>9.43</f>
        <v>9.43</v>
      </c>
      <c r="F9" s="15"/>
      <c r="G9" s="15"/>
      <c r="H9" s="15">
        <f>SUM(Dados[[#This Row],[Time]:[Rifa CF - 10/2025]])</f>
        <v>159.43</v>
      </c>
      <c r="I9" s="15"/>
    </row>
    <row r="10" spans="1:13">
      <c r="A10" t="s">
        <v>31</v>
      </c>
      <c r="B10" s="28" t="s">
        <v>32</v>
      </c>
      <c r="C10" s="16" t="s">
        <v>17</v>
      </c>
      <c r="D10" s="15">
        <v>100</v>
      </c>
      <c r="E10" s="15">
        <f>9.43+50</f>
        <v>59.43</v>
      </c>
      <c r="F10" s="15"/>
      <c r="G10" s="15"/>
      <c r="H10" s="15">
        <f>SUM(Dados[[#This Row],[Time]:[Rifa CF - 10/2025]])</f>
        <v>159.43</v>
      </c>
      <c r="I10" s="15"/>
    </row>
    <row r="11" spans="1:13">
      <c r="A11" t="s">
        <v>33</v>
      </c>
      <c r="B11" s="28" t="s">
        <v>34</v>
      </c>
      <c r="C11" s="16" t="s">
        <v>24</v>
      </c>
      <c r="D11" s="15">
        <v>150</v>
      </c>
      <c r="E11" s="15">
        <f>9.43+39</f>
        <v>48.43</v>
      </c>
      <c r="F11" s="15"/>
      <c r="G11" s="15"/>
      <c r="H11" s="15">
        <f>SUM(Dados[[#This Row],[Time]:[Rifa CF - 10/2025]])</f>
        <v>198.43</v>
      </c>
      <c r="I11" s="15"/>
    </row>
    <row r="12" spans="1:13">
      <c r="A12" t="s">
        <v>35</v>
      </c>
      <c r="B12" s="28" t="s">
        <v>36</v>
      </c>
      <c r="C12" s="16" t="s">
        <v>24</v>
      </c>
      <c r="D12" s="15">
        <v>150</v>
      </c>
      <c r="E12" s="15">
        <v>50</v>
      </c>
      <c r="F12" s="15"/>
      <c r="G12" s="15"/>
      <c r="H12" s="15">
        <f>SUM(Dados[[#This Row],[Time]:[Rifa CF - 10/2025]])</f>
        <v>200</v>
      </c>
      <c r="I12" s="15"/>
    </row>
    <row r="13" spans="1:13">
      <c r="A13" t="s">
        <v>37</v>
      </c>
      <c r="B13" s="28" t="s">
        <v>38</v>
      </c>
      <c r="C13" s="16" t="s">
        <v>17</v>
      </c>
      <c r="D13" s="15">
        <v>100</v>
      </c>
      <c r="E13" s="15">
        <v>50</v>
      </c>
      <c r="F13" s="15"/>
      <c r="G13" s="15"/>
      <c r="H13" s="15">
        <f>SUM(Dados[[#This Row],[Time]:[Rifa CF - 10/2025]])</f>
        <v>150</v>
      </c>
      <c r="I13" s="15"/>
    </row>
    <row r="14" spans="1:13">
      <c r="A14" t="s">
        <v>39</v>
      </c>
      <c r="B14" s="28" t="s">
        <v>40</v>
      </c>
      <c r="C14" s="16" t="s">
        <v>17</v>
      </c>
      <c r="D14" s="15">
        <v>100</v>
      </c>
      <c r="E14" s="15">
        <f>9.43+50</f>
        <v>59.43</v>
      </c>
      <c r="F14" s="15"/>
      <c r="G14" s="15"/>
      <c r="H14" s="15">
        <f>SUM(Dados[[#This Row],[Time]:[Rifa CF - 10/2025]])</f>
        <v>159.43</v>
      </c>
      <c r="I14" s="15"/>
    </row>
    <row r="15" spans="1:13">
      <c r="A15" t="s">
        <v>41</v>
      </c>
      <c r="B15" s="28" t="s">
        <v>42</v>
      </c>
      <c r="C15" s="16" t="s">
        <v>17</v>
      </c>
      <c r="D15" s="15">
        <v>100</v>
      </c>
      <c r="E15" s="15">
        <f>9.43+40+10</f>
        <v>59.43</v>
      </c>
      <c r="F15" s="15"/>
      <c r="G15" s="15"/>
      <c r="H15" s="15">
        <f>SUM(Dados[[#This Row],[Time]:[Rifa CF - 10/2025]])</f>
        <v>159.43</v>
      </c>
      <c r="I15" s="15"/>
    </row>
    <row r="16" spans="1:13">
      <c r="A16" t="s">
        <v>43</v>
      </c>
      <c r="B16" s="28" t="s">
        <v>44</v>
      </c>
      <c r="C16" s="16" t="s">
        <v>24</v>
      </c>
      <c r="D16" s="15">
        <v>150</v>
      </c>
      <c r="E16" s="15">
        <v>114.9</v>
      </c>
      <c r="F16" s="15">
        <v>50</v>
      </c>
      <c r="G16" s="15">
        <v>96.9444444444444</v>
      </c>
      <c r="H16" s="15">
        <f>SUM(Dados[[#This Row],[Time]:[Rifa CF - 10/2025]])</f>
        <v>411.84444444444438</v>
      </c>
      <c r="I16" s="15"/>
    </row>
    <row r="17" spans="1:17">
      <c r="A17" t="s">
        <v>45</v>
      </c>
      <c r="B17" s="28" t="s">
        <v>46</v>
      </c>
      <c r="C17" s="16" t="s">
        <v>17</v>
      </c>
      <c r="D17" s="15">
        <v>100</v>
      </c>
      <c r="E17" s="15">
        <v>50</v>
      </c>
      <c r="F17" s="15"/>
      <c r="G17" s="15"/>
      <c r="H17" s="15">
        <f>SUM(Dados[[#This Row],[Time]:[Rifa CF - 10/2025]])</f>
        <v>150</v>
      </c>
      <c r="I17" s="15"/>
    </row>
    <row r="18" spans="1:17">
      <c r="A18" t="s">
        <v>47</v>
      </c>
      <c r="B18" s="28" t="s">
        <v>48</v>
      </c>
      <c r="C18" s="16" t="s">
        <v>17</v>
      </c>
      <c r="D18" s="15">
        <v>100</v>
      </c>
      <c r="E18" s="15">
        <f>9.43+38.25</f>
        <v>47.68</v>
      </c>
      <c r="F18" s="15"/>
      <c r="G18" s="15"/>
      <c r="H18" s="15">
        <f>SUM(Dados[[#This Row],[Time]:[Rifa CF - 10/2025]])</f>
        <v>147.68</v>
      </c>
      <c r="I18" s="15"/>
    </row>
    <row r="19" spans="1:17">
      <c r="A19" t="s">
        <v>49</v>
      </c>
      <c r="B19" s="28" t="s">
        <v>50</v>
      </c>
      <c r="C19" s="16" t="s">
        <v>17</v>
      </c>
      <c r="D19" s="15">
        <v>100</v>
      </c>
      <c r="E19" s="15">
        <f>9.43+50</f>
        <v>59.43</v>
      </c>
      <c r="F19" s="15"/>
      <c r="G19" s="15"/>
      <c r="H19" s="15">
        <f>SUM(Dados[[#This Row],[Time]:[Rifa CF - 10/2025]])</f>
        <v>159.43</v>
      </c>
      <c r="I19" s="15"/>
    </row>
    <row r="20" spans="1:17">
      <c r="A20" t="s">
        <v>51</v>
      </c>
      <c r="B20" s="28" t="s">
        <v>52</v>
      </c>
      <c r="C20" s="16" t="s">
        <v>17</v>
      </c>
      <c r="D20" s="15">
        <v>100</v>
      </c>
      <c r="E20" s="15">
        <f>9.43+38.25</f>
        <v>47.68</v>
      </c>
      <c r="F20" s="15"/>
      <c r="G20" s="15"/>
      <c r="H20" s="15">
        <f>SUM(Dados[[#This Row],[Time]:[Rifa CF - 10/2025]])</f>
        <v>147.68</v>
      </c>
      <c r="I20" s="15"/>
    </row>
    <row r="21" spans="1:17">
      <c r="A21" t="s">
        <v>53</v>
      </c>
      <c r="B21" s="28" t="s">
        <v>54</v>
      </c>
      <c r="C21" s="16" t="s">
        <v>24</v>
      </c>
      <c r="D21" s="15" t="s">
        <v>55</v>
      </c>
      <c r="E21" s="15">
        <f>9.43</f>
        <v>9.43</v>
      </c>
      <c r="F21" s="15">
        <v>28</v>
      </c>
      <c r="G21" s="15"/>
      <c r="H21" s="15">
        <f>SUM(Dados[[#This Row],[Time]:[Rifa CF - 10/2025]])</f>
        <v>37.43</v>
      </c>
      <c r="I21" s="15"/>
    </row>
    <row r="22" spans="1:17">
      <c r="A22" t="s">
        <v>56</v>
      </c>
      <c r="B22" s="28" t="s">
        <v>57</v>
      </c>
      <c r="C22" s="16" t="s">
        <v>24</v>
      </c>
      <c r="D22" s="15">
        <v>114.9</v>
      </c>
      <c r="E22" s="15"/>
      <c r="F22" s="15"/>
      <c r="G22" s="15"/>
      <c r="H22" s="15">
        <f>SUM(Dados[[#This Row],[Time]:[Rifa CF - 10/2025]])</f>
        <v>114.9</v>
      </c>
    </row>
    <row r="23" spans="1:17">
      <c r="A23" t="s">
        <v>58</v>
      </c>
      <c r="B23" s="28" t="s">
        <v>59</v>
      </c>
      <c r="C23" s="16" t="s">
        <v>24</v>
      </c>
      <c r="D23" s="15">
        <v>150</v>
      </c>
      <c r="E23" s="15">
        <v>50</v>
      </c>
      <c r="F23" s="15"/>
      <c r="G23" s="15"/>
      <c r="H23" s="15">
        <f>SUM(Dados[[#This Row],[Time]:[Rifa CF - 10/2025]])</f>
        <v>200</v>
      </c>
    </row>
    <row r="24" spans="1:17">
      <c r="A24" t="s">
        <v>60</v>
      </c>
      <c r="B24" s="28" t="s">
        <v>61</v>
      </c>
      <c r="C24" s="16" t="s">
        <v>24</v>
      </c>
      <c r="D24" s="15">
        <v>150</v>
      </c>
      <c r="E24" s="15">
        <v>50</v>
      </c>
      <c r="F24" s="15"/>
      <c r="G24" s="15"/>
      <c r="H24" s="15">
        <f>SUM(Dados[[#This Row],[Time]:[Rifa CF - 10/2025]])</f>
        <v>200</v>
      </c>
    </row>
    <row r="25" spans="1:17">
      <c r="A25" t="s">
        <v>62</v>
      </c>
      <c r="B25" s="28" t="s">
        <v>63</v>
      </c>
      <c r="C25" s="16" t="s">
        <v>24</v>
      </c>
      <c r="D25" s="15" t="s">
        <v>55</v>
      </c>
      <c r="E25" s="15">
        <f>9.43</f>
        <v>9.43</v>
      </c>
      <c r="F25" s="15"/>
      <c r="G25" s="15"/>
      <c r="H25" s="15">
        <f>SUM(Dados[[#This Row],[Time]:[Rifa CF - 10/2025]])</f>
        <v>9.43</v>
      </c>
    </row>
    <row r="26" spans="1:17">
      <c r="A26" t="s">
        <v>64</v>
      </c>
      <c r="B26" s="28" t="s">
        <v>65</v>
      </c>
      <c r="C26" s="16" t="s">
        <v>24</v>
      </c>
      <c r="D26" s="15">
        <v>150</v>
      </c>
      <c r="E26" s="15">
        <f>9.43+50</f>
        <v>59.43</v>
      </c>
      <c r="F26" s="15"/>
      <c r="G26" s="15"/>
      <c r="H26" s="15">
        <f>SUM(Dados[[#This Row],[Time]:[Rifa CF - 10/2025]])</f>
        <v>209.43</v>
      </c>
    </row>
    <row r="27" spans="1:17">
      <c r="A27" t="s">
        <v>66</v>
      </c>
      <c r="B27" s="28" t="s">
        <v>67</v>
      </c>
      <c r="C27" s="16" t="s">
        <v>24</v>
      </c>
      <c r="D27" s="15"/>
      <c r="E27" s="15"/>
      <c r="F27" s="15"/>
      <c r="G27" s="15"/>
      <c r="H27" s="15">
        <f>SUM(Dados[[#This Row],[Time]:[Rifa CF - 10/2025]])</f>
        <v>0</v>
      </c>
    </row>
    <row r="28" spans="1:17">
      <c r="A28" t="s">
        <v>68</v>
      </c>
      <c r="B28" s="28" t="s">
        <v>69</v>
      </c>
      <c r="C28" s="16" t="s">
        <v>24</v>
      </c>
      <c r="D28" s="15">
        <v>150</v>
      </c>
      <c r="E28" s="15">
        <v>50</v>
      </c>
      <c r="F28" s="15"/>
      <c r="G28" s="15"/>
      <c r="H28" s="15">
        <f>SUM(Dados[[#This Row],[Time]:[Rifa CF - 10/2025]])</f>
        <v>200</v>
      </c>
    </row>
    <row r="29" spans="1:17">
      <c r="A29" t="s">
        <v>70</v>
      </c>
      <c r="B29" s="28" t="s">
        <v>71</v>
      </c>
      <c r="C29" s="16" t="s">
        <v>17</v>
      </c>
      <c r="D29" s="15">
        <v>150</v>
      </c>
      <c r="E29" s="15">
        <v>100</v>
      </c>
      <c r="F29" s="15">
        <v>50</v>
      </c>
      <c r="G29" s="15"/>
      <c r="H29" s="15">
        <f>SUM(Dados[[#This Row],[Time]:[Rifa CF - 10/2025]])</f>
        <v>300</v>
      </c>
      <c r="Q29" s="17"/>
    </row>
    <row r="30" spans="1:17">
      <c r="A30" t="s">
        <v>72</v>
      </c>
      <c r="B30" s="28" t="s">
        <v>73</v>
      </c>
      <c r="C30" s="16" t="s">
        <v>17</v>
      </c>
      <c r="D30" s="15">
        <v>100</v>
      </c>
      <c r="E30" s="15">
        <f>9.43+50</f>
        <v>59.43</v>
      </c>
      <c r="F30" s="15"/>
      <c r="G30" s="15"/>
      <c r="H30" s="15">
        <f>SUM(Dados[[#This Row],[Time]:[Rifa CF - 10/2025]])</f>
        <v>159.43</v>
      </c>
    </row>
    <row r="31" spans="1:17">
      <c r="A31" t="s">
        <v>74</v>
      </c>
      <c r="B31" s="28" t="s">
        <v>75</v>
      </c>
      <c r="C31" s="16" t="s">
        <v>17</v>
      </c>
      <c r="D31" s="15">
        <v>100</v>
      </c>
      <c r="E31" s="15">
        <f>9.43+50</f>
        <v>59.43</v>
      </c>
      <c r="F31" s="15"/>
      <c r="G31" s="15"/>
      <c r="H31" s="15">
        <f>SUM(Dados[[#This Row],[Time]:[Rifa CF - 10/2025]])</f>
        <v>159.43</v>
      </c>
    </row>
    <row r="32" spans="1:17">
      <c r="A32" t="s">
        <v>76</v>
      </c>
      <c r="B32" s="28" t="s">
        <v>77</v>
      </c>
      <c r="C32" s="16" t="s">
        <v>24</v>
      </c>
      <c r="D32" s="15">
        <v>114.9</v>
      </c>
      <c r="E32" s="15">
        <f>9.43</f>
        <v>9.43</v>
      </c>
      <c r="F32" s="15"/>
      <c r="G32" s="15"/>
      <c r="H32" s="15">
        <f>SUM(Dados[[#This Row],[Time]:[Rifa CF - 10/2025]])</f>
        <v>124.33000000000001</v>
      </c>
    </row>
    <row r="33" spans="1:8">
      <c r="A33" t="s">
        <v>78</v>
      </c>
      <c r="B33" s="28" t="s">
        <v>79</v>
      </c>
      <c r="C33" s="16" t="s">
        <v>24</v>
      </c>
      <c r="D33" s="15">
        <f>92</f>
        <v>92</v>
      </c>
      <c r="E33" s="15">
        <f>9.43+38.25</f>
        <v>47.68</v>
      </c>
      <c r="F33" s="15"/>
      <c r="G33" s="15"/>
      <c r="H33" s="15">
        <f>SUM(Dados[[#This Row],[Time]:[Rifa CF - 10/2025]])</f>
        <v>139.68</v>
      </c>
    </row>
    <row r="34" spans="1:8">
      <c r="A34" t="s">
        <v>80</v>
      </c>
      <c r="B34" s="28" t="s">
        <v>81</v>
      </c>
      <c r="C34" s="16" t="s">
        <v>17</v>
      </c>
      <c r="D34" s="15">
        <f>6+2+24+4+10+58</f>
        <v>104</v>
      </c>
      <c r="E34" s="15">
        <f>9.43</f>
        <v>9.43</v>
      </c>
      <c r="F34" s="15">
        <v>38.25</v>
      </c>
      <c r="G34" s="15"/>
      <c r="H34" s="15">
        <f>SUM(Dados[[#This Row],[Time]:[Rifa CF - 10/2025]])</f>
        <v>151.68</v>
      </c>
    </row>
    <row r="35" spans="1:8">
      <c r="A35" t="s">
        <v>82</v>
      </c>
      <c r="B35" s="28" t="s">
        <v>83</v>
      </c>
      <c r="C35" s="16" t="s">
        <v>17</v>
      </c>
      <c r="D35" s="15">
        <v>100</v>
      </c>
      <c r="E35" s="15">
        <f>9.43+50</f>
        <v>59.43</v>
      </c>
      <c r="F35" s="15"/>
      <c r="G35" s="15"/>
      <c r="H35" s="15">
        <f>SUM(Dados[[#This Row],[Time]:[Rifa CF - 10/2025]])</f>
        <v>159.43</v>
      </c>
    </row>
    <row r="36" spans="1:8">
      <c r="H36">
        <f>SUM(Dados[[#This Row],[Time]:[Rifa CF - 10/2025]])</f>
        <v>0</v>
      </c>
    </row>
  </sheetData>
  <dataValidations count="1">
    <dataValidation type="list" allowBlank="1" showInputMessage="1" showErrorMessage="1" sqref="C3:C36" xr:uid="{00000000-0002-0000-0100-000000000000}">
      <formula1>"Immortals,Phoenix,Extra"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V26"/>
  <sheetViews>
    <sheetView showGridLines="0" tabSelected="1" zoomScaleNormal="100" workbookViewId="0">
      <selection activeCell="G15" sqref="G15"/>
    </sheetView>
  </sheetViews>
  <sheetFormatPr defaultColWidth="8.5703125" defaultRowHeight="15"/>
  <cols>
    <col min="1" max="1" width="17.42578125" bestFit="1" customWidth="1"/>
    <col min="2" max="3" width="6.85546875" customWidth="1"/>
    <col min="4" max="4" width="25.85546875" customWidth="1"/>
    <col min="5" max="7" width="17" bestFit="1" customWidth="1"/>
    <col min="8" max="8" width="15.5703125" bestFit="1" customWidth="1"/>
    <col min="9" max="9" width="18.42578125" customWidth="1"/>
    <col min="10" max="10" width="10.140625" customWidth="1"/>
    <col min="11" max="11" width="15.140625" customWidth="1"/>
    <col min="12" max="12" width="10.5703125" customWidth="1"/>
    <col min="15" max="15" width="31.7109375" customWidth="1"/>
    <col min="16" max="16" width="22.42578125" customWidth="1"/>
    <col min="17" max="17" width="12.5703125" customWidth="1"/>
    <col min="18" max="18" width="10.140625" customWidth="1"/>
    <col min="19" max="19" width="12.5703125" customWidth="1"/>
    <col min="20" max="22" width="10.140625" customWidth="1"/>
  </cols>
  <sheetData>
    <row r="2" spans="1:22">
      <c r="A2" s="18" t="s">
        <v>1</v>
      </c>
      <c r="B2" s="18" t="s">
        <v>7</v>
      </c>
      <c r="C2" s="18" t="s">
        <v>8</v>
      </c>
      <c r="D2" s="19" t="s">
        <v>84</v>
      </c>
      <c r="E2" s="19" t="s">
        <v>85</v>
      </c>
      <c r="F2" s="19" t="s">
        <v>86</v>
      </c>
      <c r="G2" s="19" t="s">
        <v>87</v>
      </c>
      <c r="H2" s="19" t="s">
        <v>88</v>
      </c>
      <c r="I2" s="19" t="s">
        <v>89</v>
      </c>
      <c r="J2" s="20" t="s">
        <v>90</v>
      </c>
      <c r="O2" t="s">
        <v>91</v>
      </c>
    </row>
    <row r="3" spans="1:22">
      <c r="A3" t="s">
        <v>15</v>
      </c>
      <c r="B3" s="28" t="s">
        <v>16</v>
      </c>
      <c r="C3" s="16" t="s">
        <v>17</v>
      </c>
      <c r="D3" s="21" t="s">
        <v>92</v>
      </c>
      <c r="E3" s="22"/>
      <c r="F3" s="22"/>
      <c r="G3" s="22"/>
      <c r="H3" s="22"/>
      <c r="I3" s="22">
        <f>SUM(PagamentoIndividual[[#This Row],[Valor  - 10/2025]:[Valor - 1/2026]])</f>
        <v>0</v>
      </c>
      <c r="J3" s="23">
        <f>VLOOKUP(PagamentoIndividual[[#This Row],[Nome]],COED[],3,FALSE())</f>
        <v>422</v>
      </c>
      <c r="O3" t="s">
        <v>1</v>
      </c>
      <c r="P3" t="s">
        <v>84</v>
      </c>
      <c r="Q3" t="s">
        <v>93</v>
      </c>
      <c r="R3" t="s">
        <v>94</v>
      </c>
      <c r="S3" t="s">
        <v>95</v>
      </c>
      <c r="T3" t="s">
        <v>96</v>
      </c>
      <c r="U3" t="s">
        <v>89</v>
      </c>
      <c r="V3" t="s">
        <v>90</v>
      </c>
    </row>
    <row r="4" spans="1:22">
      <c r="A4" t="s">
        <v>18</v>
      </c>
      <c r="B4" s="28" t="s">
        <v>19</v>
      </c>
      <c r="C4" s="16" t="s">
        <v>17</v>
      </c>
      <c r="D4" s="21" t="s">
        <v>97</v>
      </c>
      <c r="E4" s="22"/>
      <c r="F4" s="22"/>
      <c r="G4" s="22"/>
      <c r="H4" s="22"/>
      <c r="I4" s="22">
        <f>SUM(PagamentoIndividual[[#This Row],[Valor  - 10/2025]:[Valor - 1/2026]])</f>
        <v>0</v>
      </c>
      <c r="J4" s="23">
        <f>VLOOKUP(PagamentoIndividual[[#This Row],[Nome]],COED[],3,FALSE())</f>
        <v>433.75</v>
      </c>
      <c r="O4" t="s">
        <v>98</v>
      </c>
      <c r="P4" t="s">
        <v>92</v>
      </c>
      <c r="Q4">
        <v>0</v>
      </c>
      <c r="U4">
        <v>0</v>
      </c>
      <c r="V4" t="e">
        <f>#N/A</f>
        <v>#N/A</v>
      </c>
    </row>
    <row r="5" spans="1:22">
      <c r="A5" t="s">
        <v>20</v>
      </c>
      <c r="B5" s="28" t="s">
        <v>21</v>
      </c>
      <c r="C5" s="16" t="s">
        <v>17</v>
      </c>
      <c r="D5" s="21" t="s">
        <v>92</v>
      </c>
      <c r="E5" s="22"/>
      <c r="F5" s="22"/>
      <c r="G5" s="22"/>
      <c r="H5" s="22"/>
      <c r="I5" s="22">
        <f>SUM(PagamentoIndividual[[#This Row],[Valor  - 10/2025]:[Valor - 1/2026]])</f>
        <v>0</v>
      </c>
      <c r="J5" s="23">
        <f>VLOOKUP(PagamentoIndividual[[#This Row],[Nome]],COED[],3,FALSE())</f>
        <v>272</v>
      </c>
      <c r="O5" t="s">
        <v>99</v>
      </c>
      <c r="P5" t="s">
        <v>92</v>
      </c>
      <c r="Q5" t="s">
        <v>100</v>
      </c>
      <c r="U5">
        <v>0</v>
      </c>
      <c r="V5" t="e">
        <f>#N/A</f>
        <v>#N/A</v>
      </c>
    </row>
    <row r="6" spans="1:22">
      <c r="A6" t="s">
        <v>25</v>
      </c>
      <c r="B6" s="28" t="s">
        <v>26</v>
      </c>
      <c r="C6" s="16" t="s">
        <v>17</v>
      </c>
      <c r="D6" s="21" t="s">
        <v>97</v>
      </c>
      <c r="E6" s="22">
        <v>90</v>
      </c>
      <c r="F6" s="22"/>
      <c r="G6" s="22"/>
      <c r="H6" s="22"/>
      <c r="I6" s="22">
        <f>SUM(PagamentoIndividual[[#This Row],[Valor  - 10/2025]:[Valor - 1/2026]])</f>
        <v>90</v>
      </c>
      <c r="J6" s="23">
        <f>VLOOKUP(PagamentoIndividual[[#This Row],[Nome]],COED[],3,FALSE())</f>
        <v>322.57</v>
      </c>
      <c r="O6" t="s">
        <v>101</v>
      </c>
      <c r="P6" t="s">
        <v>92</v>
      </c>
      <c r="U6">
        <v>0</v>
      </c>
      <c r="V6" t="e">
        <f>#N/A</f>
        <v>#N/A</v>
      </c>
    </row>
    <row r="7" spans="1:22">
      <c r="A7" t="s">
        <v>27</v>
      </c>
      <c r="B7" s="28" t="s">
        <v>28</v>
      </c>
      <c r="C7" s="16" t="s">
        <v>17</v>
      </c>
      <c r="D7" s="21" t="s">
        <v>92</v>
      </c>
      <c r="E7" s="22">
        <v>412.57</v>
      </c>
      <c r="F7" s="22"/>
      <c r="G7" s="22"/>
      <c r="H7" s="22"/>
      <c r="I7" s="22">
        <f>SUM(PagamentoIndividual[[#This Row],[Valor  - 10/2025]:[Valor - 1/2026]])</f>
        <v>412.57</v>
      </c>
      <c r="J7" s="23" t="str">
        <f>VLOOKUP(PagamentoIndividual[[#This Row],[Nome]],COED[],3,FALSE())</f>
        <v>OK</v>
      </c>
      <c r="O7" t="s">
        <v>102</v>
      </c>
      <c r="P7" t="s">
        <v>92</v>
      </c>
      <c r="Q7">
        <v>0</v>
      </c>
      <c r="U7">
        <v>0</v>
      </c>
      <c r="V7" t="e">
        <f>#N/A</f>
        <v>#N/A</v>
      </c>
    </row>
    <row r="8" spans="1:22">
      <c r="A8" t="s">
        <v>31</v>
      </c>
      <c r="B8" s="28" t="s">
        <v>32</v>
      </c>
      <c r="C8" s="16" t="s">
        <v>17</v>
      </c>
      <c r="D8" s="21" t="s">
        <v>97</v>
      </c>
      <c r="E8" s="22"/>
      <c r="F8" s="22"/>
      <c r="G8" s="22"/>
      <c r="H8" s="22"/>
      <c r="I8" s="22">
        <f>SUM(PagamentoIndividual[[#This Row],[Valor  - 10/2025]:[Valor - 1/2026]])</f>
        <v>0</v>
      </c>
      <c r="J8" s="23">
        <f>VLOOKUP(PagamentoIndividual[[#This Row],[Nome]],COED[],3,FALSE())</f>
        <v>412.57</v>
      </c>
      <c r="O8" t="s">
        <v>103</v>
      </c>
      <c r="P8" t="s">
        <v>92</v>
      </c>
      <c r="Q8">
        <v>200</v>
      </c>
      <c r="U8">
        <v>200</v>
      </c>
      <c r="V8" t="e">
        <f>#N/A</f>
        <v>#N/A</v>
      </c>
    </row>
    <row r="9" spans="1:22">
      <c r="A9" t="s">
        <v>33</v>
      </c>
      <c r="B9" s="28" t="s">
        <v>34</v>
      </c>
      <c r="C9" s="16" t="s">
        <v>24</v>
      </c>
      <c r="D9" s="21" t="s">
        <v>92</v>
      </c>
      <c r="E9" s="22"/>
      <c r="F9" s="22"/>
      <c r="G9" s="22"/>
      <c r="H9" s="22"/>
      <c r="I9" s="22">
        <f>SUM(PagamentoIndividual[[#This Row],[Valor  - 10/2025]:[Valor - 1/2026]])</f>
        <v>0</v>
      </c>
      <c r="J9" s="23">
        <f>VLOOKUP(PagamentoIndividual[[#This Row],[Nome]],COED[],3,FALSE())</f>
        <v>373.57</v>
      </c>
      <c r="O9" t="s">
        <v>104</v>
      </c>
      <c r="P9" t="s">
        <v>92</v>
      </c>
      <c r="Q9">
        <v>0</v>
      </c>
      <c r="U9">
        <v>0</v>
      </c>
      <c r="V9" t="e">
        <f>#N/A</f>
        <v>#N/A</v>
      </c>
    </row>
    <row r="10" spans="1:22">
      <c r="A10" t="s">
        <v>41</v>
      </c>
      <c r="B10" s="28" t="s">
        <v>42</v>
      </c>
      <c r="C10" s="16" t="s">
        <v>17</v>
      </c>
      <c r="D10" s="21" t="s">
        <v>97</v>
      </c>
      <c r="E10" s="22"/>
      <c r="F10" s="22"/>
      <c r="G10" s="22"/>
      <c r="H10" s="22"/>
      <c r="I10" s="22">
        <f>SUM(PagamentoIndividual[[#This Row],[Valor  - 10/2025]:[Valor - 1/2026]])</f>
        <v>0</v>
      </c>
      <c r="J10" s="23">
        <f>VLOOKUP(PagamentoIndividual[[#This Row],[Nome]],COED[],3,FALSE())</f>
        <v>412.57</v>
      </c>
      <c r="O10" t="s">
        <v>105</v>
      </c>
      <c r="P10" t="s">
        <v>92</v>
      </c>
      <c r="Q10">
        <v>100</v>
      </c>
      <c r="U10">
        <v>100</v>
      </c>
      <c r="V10" t="e">
        <f>#N/A</f>
        <v>#N/A</v>
      </c>
    </row>
    <row r="11" spans="1:22">
      <c r="A11" t="s">
        <v>43</v>
      </c>
      <c r="B11" s="28" t="s">
        <v>44</v>
      </c>
      <c r="C11" s="16" t="s">
        <v>24</v>
      </c>
      <c r="D11" s="21" t="s">
        <v>97</v>
      </c>
      <c r="E11" s="22"/>
      <c r="F11" s="22"/>
      <c r="G11" s="22"/>
      <c r="H11" s="22"/>
      <c r="I11" s="22">
        <f>SUM(PagamentoIndividual[[#This Row],[Valor  - 10/2025]:[Valor - 1/2026]])</f>
        <v>0</v>
      </c>
      <c r="J11" s="23">
        <f>VLOOKUP(PagamentoIndividual[[#This Row],[Nome]],COED[],3,FALSE())</f>
        <v>160.15555555555562</v>
      </c>
      <c r="O11" t="s">
        <v>106</v>
      </c>
      <c r="P11" t="s">
        <v>92</v>
      </c>
      <c r="Q11" t="s">
        <v>100</v>
      </c>
      <c r="U11">
        <v>0</v>
      </c>
      <c r="V11" t="e">
        <f>#N/A</f>
        <v>#N/A</v>
      </c>
    </row>
    <row r="12" spans="1:22">
      <c r="A12" t="s">
        <v>45</v>
      </c>
      <c r="B12" s="28" t="s">
        <v>46</v>
      </c>
      <c r="C12" s="16" t="s">
        <v>17</v>
      </c>
      <c r="D12" s="21" t="s">
        <v>97</v>
      </c>
      <c r="E12" s="22"/>
      <c r="F12" s="22"/>
      <c r="G12" s="22"/>
      <c r="H12" s="22"/>
      <c r="I12" s="22">
        <f>SUM(PagamentoIndividual[[#This Row],[Valor  - 10/2025]:[Valor - 1/2026]])</f>
        <v>0</v>
      </c>
      <c r="J12" s="23">
        <f>VLOOKUP(PagamentoIndividual[[#This Row],[Nome]],COED[],3,FALSE())</f>
        <v>422</v>
      </c>
      <c r="O12" t="s">
        <v>76</v>
      </c>
      <c r="P12" t="s">
        <v>92</v>
      </c>
      <c r="Q12">
        <v>0</v>
      </c>
      <c r="U12">
        <v>0</v>
      </c>
      <c r="V12">
        <v>447.67</v>
      </c>
    </row>
    <row r="13" spans="1:22">
      <c r="A13" t="s">
        <v>49</v>
      </c>
      <c r="B13" s="28" t="s">
        <v>50</v>
      </c>
      <c r="C13" s="16" t="s">
        <v>17</v>
      </c>
      <c r="D13" s="21" t="s">
        <v>97</v>
      </c>
      <c r="E13" s="22"/>
      <c r="F13" s="22"/>
      <c r="G13" s="22"/>
      <c r="H13" s="22"/>
      <c r="I13" s="22">
        <f>SUM(PagamentoIndividual[[#This Row],[Valor  - 10/2025]:[Valor - 1/2026]])</f>
        <v>0</v>
      </c>
      <c r="J13" s="23">
        <f>VLOOKUP(PagamentoIndividual[[#This Row],[Nome]],COED[],3,FALSE())</f>
        <v>412.57</v>
      </c>
      <c r="O13" t="s">
        <v>107</v>
      </c>
      <c r="P13" t="s">
        <v>97</v>
      </c>
      <c r="Q13">
        <v>0</v>
      </c>
      <c r="U13">
        <v>0</v>
      </c>
      <c r="V13" t="e">
        <f>#N/A</f>
        <v>#N/A</v>
      </c>
    </row>
    <row r="14" spans="1:22">
      <c r="A14" t="s">
        <v>51</v>
      </c>
      <c r="B14" s="28" t="s">
        <v>52</v>
      </c>
      <c r="C14" s="16" t="s">
        <v>17</v>
      </c>
      <c r="D14" s="21" t="s">
        <v>97</v>
      </c>
      <c r="E14" s="22"/>
      <c r="F14" s="22"/>
      <c r="G14" s="22"/>
      <c r="H14" s="22"/>
      <c r="I14" s="22">
        <f>SUM(PagamentoIndividual[[#This Row],[Valor  - 10/2025]:[Valor - 1/2026]])</f>
        <v>0</v>
      </c>
      <c r="J14" s="23">
        <f>VLOOKUP(PagamentoIndividual[[#This Row],[Nome]],COED[],3,FALSE())</f>
        <v>424.32</v>
      </c>
      <c r="O14" t="s">
        <v>108</v>
      </c>
      <c r="P14" t="s">
        <v>97</v>
      </c>
      <c r="Q14">
        <v>90</v>
      </c>
      <c r="U14">
        <v>90</v>
      </c>
      <c r="V14" t="e">
        <f>#N/A</f>
        <v>#N/A</v>
      </c>
    </row>
    <row r="15" spans="1:22">
      <c r="A15" t="s">
        <v>53</v>
      </c>
      <c r="B15" s="28" t="s">
        <v>54</v>
      </c>
      <c r="C15" s="16" t="s">
        <v>24</v>
      </c>
      <c r="D15" s="21" t="s">
        <v>92</v>
      </c>
      <c r="E15" s="22"/>
      <c r="F15" s="22"/>
      <c r="G15" s="22"/>
      <c r="H15" s="22"/>
      <c r="I15" s="22">
        <f>SUM(PagamentoIndividual[[#This Row],[Valor  - 10/2025]:[Valor - 1/2026]])</f>
        <v>0</v>
      </c>
      <c r="J15" s="23">
        <f>VLOOKUP(PagamentoIndividual[[#This Row],[Nome]],COED[],3,FALSE())</f>
        <v>534.57000000000005</v>
      </c>
      <c r="O15" t="s">
        <v>109</v>
      </c>
      <c r="P15" t="s">
        <v>97</v>
      </c>
      <c r="Q15">
        <v>0</v>
      </c>
      <c r="U15">
        <v>0</v>
      </c>
      <c r="V15" t="e">
        <f>#N/A</f>
        <v>#N/A</v>
      </c>
    </row>
    <row r="16" spans="1:22">
      <c r="A16" t="s">
        <v>56</v>
      </c>
      <c r="B16" s="28" t="s">
        <v>57</v>
      </c>
      <c r="C16" s="16" t="s">
        <v>24</v>
      </c>
      <c r="D16" s="21" t="s">
        <v>97</v>
      </c>
      <c r="E16" s="22"/>
      <c r="F16" s="22"/>
      <c r="G16" s="22"/>
      <c r="H16" s="22"/>
      <c r="I16" s="22">
        <f>SUM(PagamentoIndividual[[#This Row],[Valor  - 10/2025]:[Valor - 1/2026]])</f>
        <v>0</v>
      </c>
      <c r="J16" s="23">
        <f>VLOOKUP(PagamentoIndividual[[#This Row],[Nome]],COED[],3,FALSE())</f>
        <v>457.1</v>
      </c>
      <c r="O16" t="s">
        <v>110</v>
      </c>
      <c r="P16" t="s">
        <v>97</v>
      </c>
      <c r="Q16">
        <v>100</v>
      </c>
      <c r="U16">
        <v>100</v>
      </c>
      <c r="V16" t="e">
        <f>#N/A</f>
        <v>#N/A</v>
      </c>
    </row>
    <row r="17" spans="1:22">
      <c r="A17" t="s">
        <v>58</v>
      </c>
      <c r="B17" s="28" t="s">
        <v>59</v>
      </c>
      <c r="C17" s="16" t="s">
        <v>24</v>
      </c>
      <c r="D17" s="24" t="s">
        <v>92</v>
      </c>
      <c r="E17" s="25"/>
      <c r="F17" s="25"/>
      <c r="G17" s="25"/>
      <c r="H17" s="25"/>
      <c r="I17" s="25">
        <f>SUM(PagamentoIndividual[[#This Row],[Valor  - 10/2025]:[Valor - 1/2026]])</f>
        <v>0</v>
      </c>
      <c r="J17" s="23">
        <f>VLOOKUP(PagamentoIndividual[[#This Row],[Nome]],COED[],3,FALSE())</f>
        <v>372</v>
      </c>
      <c r="O17" t="s">
        <v>111</v>
      </c>
      <c r="P17" t="s">
        <v>97</v>
      </c>
      <c r="U17">
        <v>0</v>
      </c>
      <c r="V17" t="e">
        <f>#N/A</f>
        <v>#N/A</v>
      </c>
    </row>
    <row r="18" spans="1:22">
      <c r="A18" t="s">
        <v>60</v>
      </c>
      <c r="B18" s="28" t="s">
        <v>61</v>
      </c>
      <c r="C18" s="16" t="s">
        <v>24</v>
      </c>
      <c r="D18" s="24" t="s">
        <v>97</v>
      </c>
      <c r="E18" s="25"/>
      <c r="F18" s="25"/>
      <c r="G18" s="25"/>
      <c r="H18" s="25"/>
      <c r="I18" s="25">
        <f>SUM(PagamentoIndividual[[#This Row],[Valor  - 10/2025]:[Valor - 1/2026]])</f>
        <v>0</v>
      </c>
      <c r="J18" s="26">
        <f>VLOOKUP(PagamentoIndividual[[#This Row],[Nome]],COED[],3,FALSE())</f>
        <v>372</v>
      </c>
      <c r="O18" t="s">
        <v>112</v>
      </c>
      <c r="P18" t="s">
        <v>97</v>
      </c>
      <c r="Q18">
        <v>0</v>
      </c>
      <c r="U18">
        <v>0</v>
      </c>
      <c r="V18" t="e">
        <f>#N/A</f>
        <v>#N/A</v>
      </c>
    </row>
    <row r="19" spans="1:22">
      <c r="A19" t="s">
        <v>62</v>
      </c>
      <c r="B19" s="28" t="s">
        <v>63</v>
      </c>
      <c r="C19" s="16" t="s">
        <v>24</v>
      </c>
      <c r="D19" s="24" t="s">
        <v>92</v>
      </c>
      <c r="E19" s="25"/>
      <c r="F19" s="25"/>
      <c r="G19" s="25"/>
      <c r="H19" s="25"/>
      <c r="I19" s="25">
        <f>SUM(PagamentoIndividual[[#This Row],[Valor  - 10/2025]:[Valor - 1/2026]])</f>
        <v>0</v>
      </c>
      <c r="J19" s="26">
        <f>VLOOKUP(PagamentoIndividual[[#This Row],[Nome]],COED[],3,FALSE())</f>
        <v>562.57000000000005</v>
      </c>
      <c r="O19" t="s">
        <v>113</v>
      </c>
      <c r="P19" t="s">
        <v>97</v>
      </c>
      <c r="Q19" t="s">
        <v>100</v>
      </c>
      <c r="U19">
        <v>0</v>
      </c>
      <c r="V19" t="e">
        <f>#N/A</f>
        <v>#N/A</v>
      </c>
    </row>
    <row r="20" spans="1:22">
      <c r="A20" t="s">
        <v>64</v>
      </c>
      <c r="B20" s="28" t="s">
        <v>65</v>
      </c>
      <c r="C20" s="16" t="s">
        <v>24</v>
      </c>
      <c r="D20" s="24" t="s">
        <v>97</v>
      </c>
      <c r="E20" s="25"/>
      <c r="F20" s="25"/>
      <c r="G20" s="25"/>
      <c r="H20" s="25"/>
      <c r="I20" s="25">
        <f>SUM(PagamentoIndividual[[#This Row],[Valor  - 10/2025]:[Valor - 1/2026]])</f>
        <v>0</v>
      </c>
      <c r="J20" s="26">
        <f>VLOOKUP(PagamentoIndividual[[#This Row],[Nome]],COED[],3,FALSE())</f>
        <v>362.57</v>
      </c>
      <c r="O20" t="s">
        <v>114</v>
      </c>
      <c r="P20" t="s">
        <v>97</v>
      </c>
      <c r="Q20" t="s">
        <v>100</v>
      </c>
      <c r="U20">
        <v>0</v>
      </c>
      <c r="V20" t="e">
        <f>#N/A</f>
        <v>#N/A</v>
      </c>
    </row>
    <row r="21" spans="1:22">
      <c r="A21" t="s">
        <v>66</v>
      </c>
      <c r="B21" s="28" t="s">
        <v>67</v>
      </c>
      <c r="C21" s="16" t="s">
        <v>24</v>
      </c>
      <c r="D21" s="24" t="s">
        <v>92</v>
      </c>
      <c r="E21" s="25"/>
      <c r="F21" s="25"/>
      <c r="G21" s="25"/>
      <c r="H21" s="25"/>
      <c r="I21" s="25">
        <f>SUM(PagamentoIndividual[[#This Row],[Valor  - 10/2025]:[Valor - 1/2026]])</f>
        <v>0</v>
      </c>
      <c r="J21" s="26">
        <f>VLOOKUP(PagamentoIndividual[[#This Row],[Nome]],COED[],3,FALSE())</f>
        <v>572</v>
      </c>
      <c r="O21" t="s">
        <v>115</v>
      </c>
      <c r="P21" t="s">
        <v>97</v>
      </c>
      <c r="Q21" t="s">
        <v>100</v>
      </c>
      <c r="U21">
        <v>0</v>
      </c>
      <c r="V21" t="e">
        <f>#N/A</f>
        <v>#N/A</v>
      </c>
    </row>
    <row r="22" spans="1:22">
      <c r="A22" t="s">
        <v>68</v>
      </c>
      <c r="B22" s="28" t="s">
        <v>69</v>
      </c>
      <c r="C22" s="16" t="s">
        <v>24</v>
      </c>
      <c r="D22" s="24" t="s">
        <v>92</v>
      </c>
      <c r="E22" s="25">
        <v>372</v>
      </c>
      <c r="F22" s="25"/>
      <c r="G22" s="25"/>
      <c r="H22" s="25"/>
      <c r="I22" s="25">
        <f>SUM(PagamentoIndividual[[#This Row],[Valor  - 10/2025]:[Valor - 1/2026]])</f>
        <v>372</v>
      </c>
      <c r="J22" s="26" t="str">
        <f>VLOOKUP(PagamentoIndividual[[#This Row],[Nome]],COED[],3,FALSE())</f>
        <v>OK</v>
      </c>
      <c r="O22" t="s">
        <v>116</v>
      </c>
      <c r="P22" t="s">
        <v>97</v>
      </c>
      <c r="Q22">
        <v>0</v>
      </c>
      <c r="U22">
        <v>0</v>
      </c>
      <c r="V22" t="e">
        <f>#N/A</f>
        <v>#N/A</v>
      </c>
    </row>
    <row r="23" spans="1:22">
      <c r="A23" t="s">
        <v>70</v>
      </c>
      <c r="B23" s="28" t="s">
        <v>71</v>
      </c>
      <c r="C23" s="16" t="s">
        <v>17</v>
      </c>
      <c r="D23" s="24" t="s">
        <v>92</v>
      </c>
      <c r="E23" s="25"/>
      <c r="F23" s="25"/>
      <c r="G23" s="25"/>
      <c r="H23" s="25"/>
      <c r="I23" s="25">
        <f>SUM(PagamentoIndividual[[#This Row],[Valor  - 10/2025]:[Valor - 1/2026]])</f>
        <v>0</v>
      </c>
      <c r="J23" s="26">
        <f>VLOOKUP(PagamentoIndividual[[#This Row],[Nome]],COED[],3,FALSE())</f>
        <v>272</v>
      </c>
      <c r="O23" t="s">
        <v>64</v>
      </c>
      <c r="P23" t="s">
        <v>97</v>
      </c>
      <c r="Q23">
        <v>0</v>
      </c>
      <c r="U23">
        <v>0</v>
      </c>
      <c r="V23">
        <v>362.57</v>
      </c>
    </row>
    <row r="24" spans="1:22">
      <c r="A24" t="s">
        <v>72</v>
      </c>
      <c r="B24" s="28" t="s">
        <v>73</v>
      </c>
      <c r="C24" s="16" t="s">
        <v>17</v>
      </c>
      <c r="D24" s="24" t="s">
        <v>97</v>
      </c>
      <c r="E24" s="25"/>
      <c r="F24" s="25"/>
      <c r="G24" s="25"/>
      <c r="H24" s="25"/>
      <c r="I24" s="25">
        <f>SUM(PagamentoIndividual[[#This Row],[Valor  - 10/2025]:[Valor - 1/2026]])</f>
        <v>0</v>
      </c>
      <c r="J24" s="26">
        <f>VLOOKUP(PagamentoIndividual[[#This Row],[Nome]],COED[],3,FALSE())</f>
        <v>412.57</v>
      </c>
      <c r="O24" t="s">
        <v>117</v>
      </c>
      <c r="P24" t="s">
        <v>97</v>
      </c>
      <c r="Q24">
        <v>0</v>
      </c>
      <c r="U24">
        <v>0</v>
      </c>
      <c r="V24" t="e">
        <f>#N/A</f>
        <v>#N/A</v>
      </c>
    </row>
    <row r="25" spans="1:22">
      <c r="A25" t="s">
        <v>76</v>
      </c>
      <c r="B25" s="28" t="s">
        <v>77</v>
      </c>
      <c r="C25" s="16" t="s">
        <v>24</v>
      </c>
      <c r="D25" s="24" t="s">
        <v>92</v>
      </c>
      <c r="E25" s="25"/>
      <c r="F25" s="25"/>
      <c r="G25" s="25"/>
      <c r="H25" s="25"/>
      <c r="I25" s="25">
        <f>SUM(PagamentoIndividual[[#This Row],[Valor  - 10/2025]:[Valor - 1/2026]])</f>
        <v>0</v>
      </c>
      <c r="J25" s="26">
        <f>VLOOKUP(PagamentoIndividual[[#This Row],[Nome]],COED[],3,FALSE())</f>
        <v>447.66999999999996</v>
      </c>
      <c r="O25" t="s">
        <v>118</v>
      </c>
      <c r="P25" t="s">
        <v>97</v>
      </c>
      <c r="U25">
        <v>0</v>
      </c>
      <c r="V25" t="e">
        <f>#N/A</f>
        <v>#N/A</v>
      </c>
    </row>
    <row r="26" spans="1:22">
      <c r="A26" t="s">
        <v>78</v>
      </c>
      <c r="B26" s="28" t="s">
        <v>79</v>
      </c>
      <c r="C26" s="16" t="s">
        <v>24</v>
      </c>
      <c r="D26" s="24" t="s">
        <v>97</v>
      </c>
      <c r="E26" s="25"/>
      <c r="F26" s="25"/>
      <c r="G26" s="25"/>
      <c r="H26" s="25"/>
      <c r="I26" s="25">
        <f>SUM(PagamentoIndividual[[#This Row],[Valor  - 10/2025]:[Valor - 1/2026]])</f>
        <v>0</v>
      </c>
      <c r="J26" s="26">
        <f>VLOOKUP(PagamentoIndividual[[#This Row],[Nome]],COED[],3,FALSE())</f>
        <v>432.32</v>
      </c>
    </row>
  </sheetData>
  <dataValidations count="2">
    <dataValidation type="list" allowBlank="1" showInputMessage="1" showErrorMessage="1" sqref="D3:D26" xr:uid="{00000000-0002-0000-0200-000000000000}">
      <formula1>"Pagara Total,Pagara Parcial"</formula1>
      <formula2>0</formula2>
    </dataValidation>
    <dataValidation type="list" allowBlank="1" showInputMessage="1" showErrorMessage="1" sqref="C3:C26" xr:uid="{8D351F4D-7CAF-4D19-8DC4-D4DD3EE3625A}">
      <formula1>"Immortals,Phoenix,Extra"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2025-02-26T22:11:57Z</dcterms:created>
  <dcterms:modified xsi:type="dcterms:W3CDTF">2025-10-30T20:49:27Z</dcterms:modified>
  <cp:category/>
  <cp:contentStatus/>
</cp:coreProperties>
</file>