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EstaPastaDeTrabalho"/>
  <mc:AlternateContent xmlns:mc="http://schemas.openxmlformats.org/markup-compatibility/2006">
    <mc:Choice Requires="x15">
      <x15ac:absPath xmlns:x15ac="http://schemas.microsoft.com/office/spreadsheetml/2010/11/ac" url="F:\Particular\Luís Fernando\4 - Super Planilhas do LuDGeR\Obsoletos\Notas\2024\"/>
    </mc:Choice>
  </mc:AlternateContent>
  <xr:revisionPtr revIDLastSave="0" documentId="13_ncr:1_{AEF7605F-C1A0-4CA6-A117-F4632B78D753}" xr6:coauthVersionLast="47" xr6:coauthVersionMax="47" xr10:uidLastSave="{00000000-0000-0000-0000-000000000000}"/>
  <bookViews>
    <workbookView xWindow="-120" yWindow="-120" windowWidth="20730" windowHeight="11310" tabRatio="392" firstSheet="2" activeTab="2" xr2:uid="{00000000-000D-0000-FFFF-FFFF00000000}"/>
  </bookViews>
  <sheets>
    <sheet name="Meta" sheetId="4" state="hidden" r:id="rId1"/>
    <sheet name="Emolumentos" sheetId="18" state="hidden" r:id="rId2"/>
    <sheet name="Notas" sheetId="16" r:id="rId3"/>
    <sheet name="Despesas" sheetId="17" state="hidden" r:id="rId4"/>
  </sheets>
  <definedNames>
    <definedName name="_xlnm.Print_Area" localSheetId="3">Despesas!$B$1:$E$14</definedName>
    <definedName name="_xlnm.Print_Area" localSheetId="2">Notas!$A$1:$AA$29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Q9" i="16" l="1"/>
  <c r="V26" i="16" l="1"/>
  <c r="AF72" i="4"/>
  <c r="AG72" i="4"/>
  <c r="AH72" i="4"/>
  <c r="AI72" i="4"/>
  <c r="AF73" i="4"/>
  <c r="AG73" i="4"/>
  <c r="AH73" i="4"/>
  <c r="AI73" i="4"/>
  <c r="AF74" i="4"/>
  <c r="AG74" i="4"/>
  <c r="AH74" i="4"/>
  <c r="AI74" i="4"/>
  <c r="AF75" i="4"/>
  <c r="AG75" i="4"/>
  <c r="AH75" i="4"/>
  <c r="AI75" i="4"/>
  <c r="AF76" i="4"/>
  <c r="AG76" i="4"/>
  <c r="AH76" i="4"/>
  <c r="AI76" i="4"/>
  <c r="AF77" i="4"/>
  <c r="AG77" i="4"/>
  <c r="AH77" i="4"/>
  <c r="AI77" i="4"/>
  <c r="AF78" i="4"/>
  <c r="AG78" i="4"/>
  <c r="AH78" i="4"/>
  <c r="AI78" i="4"/>
  <c r="AF79" i="4"/>
  <c r="AG79" i="4"/>
  <c r="AH79" i="4"/>
  <c r="AI79" i="4"/>
  <c r="AF80" i="4"/>
  <c r="AG80" i="4"/>
  <c r="AH80" i="4"/>
  <c r="AI80" i="4"/>
  <c r="AF81" i="4"/>
  <c r="AG81" i="4"/>
  <c r="AH81" i="4"/>
  <c r="AI81" i="4"/>
  <c r="AF82" i="4"/>
  <c r="AG82" i="4"/>
  <c r="AH82" i="4"/>
  <c r="AI82" i="4"/>
  <c r="AF83" i="4"/>
  <c r="AG83" i="4"/>
  <c r="AH83" i="4"/>
  <c r="AI83" i="4"/>
  <c r="AF84" i="4"/>
  <c r="AG84" i="4"/>
  <c r="AH84" i="4"/>
  <c r="AI84" i="4"/>
  <c r="AF85" i="4"/>
  <c r="AG85" i="4"/>
  <c r="AH85" i="4"/>
  <c r="AI85" i="4"/>
  <c r="AF86" i="4"/>
  <c r="AG86" i="4"/>
  <c r="AH86" i="4"/>
  <c r="AI86" i="4"/>
  <c r="AF87" i="4"/>
  <c r="AG87" i="4"/>
  <c r="AH87" i="4"/>
  <c r="AI87" i="4"/>
  <c r="AF88" i="4"/>
  <c r="AG88" i="4"/>
  <c r="AH88" i="4"/>
  <c r="AI88" i="4"/>
  <c r="AF89" i="4"/>
  <c r="AG89" i="4"/>
  <c r="AH89" i="4"/>
  <c r="AI89" i="4"/>
  <c r="AF90" i="4"/>
  <c r="AG90" i="4"/>
  <c r="AH90" i="4"/>
  <c r="AI90" i="4"/>
  <c r="AF91" i="4"/>
  <c r="AG91" i="4"/>
  <c r="AH91" i="4"/>
  <c r="AI91" i="4"/>
  <c r="AF92" i="4"/>
  <c r="AG92" i="4"/>
  <c r="AH92" i="4"/>
  <c r="AI92" i="4"/>
  <c r="AF93" i="4"/>
  <c r="AG93" i="4"/>
  <c r="AH93" i="4"/>
  <c r="AI93" i="4"/>
  <c r="AF94" i="4"/>
  <c r="AG94" i="4"/>
  <c r="AH94" i="4"/>
  <c r="AI94" i="4"/>
  <c r="AF95" i="4"/>
  <c r="AG95" i="4"/>
  <c r="AH95" i="4"/>
  <c r="AI95" i="4"/>
  <c r="AF96" i="4"/>
  <c r="AG96" i="4"/>
  <c r="AH96" i="4"/>
  <c r="AI96" i="4"/>
  <c r="AF97" i="4"/>
  <c r="AG97" i="4"/>
  <c r="AH97" i="4"/>
  <c r="AI97" i="4"/>
  <c r="AF98" i="4"/>
  <c r="AG98" i="4"/>
  <c r="AH98" i="4"/>
  <c r="AI98" i="4"/>
  <c r="AF99" i="4"/>
  <c r="AG99" i="4"/>
  <c r="AH99" i="4"/>
  <c r="AI99" i="4"/>
  <c r="AF100" i="4"/>
  <c r="AG100" i="4"/>
  <c r="AH100" i="4"/>
  <c r="AI100" i="4"/>
  <c r="AF101" i="4"/>
  <c r="AG101" i="4"/>
  <c r="AH101" i="4"/>
  <c r="AI101" i="4"/>
  <c r="AF102" i="4"/>
  <c r="AG102" i="4"/>
  <c r="AH102" i="4"/>
  <c r="AI102" i="4"/>
  <c r="AF103" i="4"/>
  <c r="AG103" i="4"/>
  <c r="AH103" i="4"/>
  <c r="AI103" i="4"/>
  <c r="AF104" i="4"/>
  <c r="AG104" i="4"/>
  <c r="AH104" i="4"/>
  <c r="AI104" i="4"/>
  <c r="AF105" i="4"/>
  <c r="AG105" i="4"/>
  <c r="AH105" i="4"/>
  <c r="AI105" i="4"/>
  <c r="AF106" i="4"/>
  <c r="AG106" i="4"/>
  <c r="AH106" i="4"/>
  <c r="AI106" i="4"/>
  <c r="AF107" i="4"/>
  <c r="AG107" i="4"/>
  <c r="AH107" i="4"/>
  <c r="AI107" i="4"/>
  <c r="AF108" i="4"/>
  <c r="AG108" i="4"/>
  <c r="AH108" i="4"/>
  <c r="AI108" i="4"/>
  <c r="AF109" i="4"/>
  <c r="AG109" i="4"/>
  <c r="AH109" i="4"/>
  <c r="AI109" i="4"/>
  <c r="AF110" i="4"/>
  <c r="AG110" i="4"/>
  <c r="AH110" i="4"/>
  <c r="AI110" i="4"/>
  <c r="AF111" i="4"/>
  <c r="AG111" i="4"/>
  <c r="AH111" i="4"/>
  <c r="AI111" i="4"/>
  <c r="AF112" i="4"/>
  <c r="AG112" i="4"/>
  <c r="AH112" i="4"/>
  <c r="AI112" i="4"/>
  <c r="AF113" i="4"/>
  <c r="AG113" i="4"/>
  <c r="AH113" i="4"/>
  <c r="AI113" i="4"/>
  <c r="AF114" i="4"/>
  <c r="AG114" i="4"/>
  <c r="AH114" i="4"/>
  <c r="AI114" i="4"/>
  <c r="AF115" i="4"/>
  <c r="AG115" i="4"/>
  <c r="AH115" i="4"/>
  <c r="AI115" i="4"/>
  <c r="AF116" i="4"/>
  <c r="AG116" i="4"/>
  <c r="AH116" i="4"/>
  <c r="AI116" i="4"/>
  <c r="AF117" i="4"/>
  <c r="AG117" i="4"/>
  <c r="AH117" i="4"/>
  <c r="AI117" i="4"/>
  <c r="AF118" i="4"/>
  <c r="AG118" i="4"/>
  <c r="AH118" i="4"/>
  <c r="AI118" i="4"/>
  <c r="AF119" i="4"/>
  <c r="AG119" i="4"/>
  <c r="AH119" i="4"/>
  <c r="AI119" i="4"/>
  <c r="AF120" i="4"/>
  <c r="AG120" i="4"/>
  <c r="AH120" i="4"/>
  <c r="AI120" i="4"/>
  <c r="AF51" i="4"/>
  <c r="AG51" i="4"/>
  <c r="AH51" i="4"/>
  <c r="AI51" i="4"/>
  <c r="AF52" i="4"/>
  <c r="AG52" i="4"/>
  <c r="AH52" i="4"/>
  <c r="AI52" i="4"/>
  <c r="AF53" i="4"/>
  <c r="AG53" i="4"/>
  <c r="AH53" i="4"/>
  <c r="AI53" i="4"/>
  <c r="AF54" i="4"/>
  <c r="AG54" i="4"/>
  <c r="AH54" i="4"/>
  <c r="AI54" i="4"/>
  <c r="AF55" i="4"/>
  <c r="AG55" i="4"/>
  <c r="AH55" i="4"/>
  <c r="AI55" i="4"/>
  <c r="AF56" i="4"/>
  <c r="AG56" i="4"/>
  <c r="AH56" i="4"/>
  <c r="AI56" i="4"/>
  <c r="AF57" i="4"/>
  <c r="AG57" i="4"/>
  <c r="AH57" i="4"/>
  <c r="AI57" i="4"/>
  <c r="AF58" i="4"/>
  <c r="AG58" i="4"/>
  <c r="AH58" i="4"/>
  <c r="AI58" i="4"/>
  <c r="AF59" i="4"/>
  <c r="AG59" i="4"/>
  <c r="AH59" i="4"/>
  <c r="AI59" i="4"/>
  <c r="AF60" i="4"/>
  <c r="AG60" i="4"/>
  <c r="AH60" i="4"/>
  <c r="AI60" i="4"/>
  <c r="AF61" i="4"/>
  <c r="AG61" i="4"/>
  <c r="AH61" i="4"/>
  <c r="AI61" i="4"/>
  <c r="AF62" i="4"/>
  <c r="AG62" i="4"/>
  <c r="AH62" i="4"/>
  <c r="AI62" i="4"/>
  <c r="AF63" i="4"/>
  <c r="AG63" i="4"/>
  <c r="AH63" i="4"/>
  <c r="AI63" i="4"/>
  <c r="AF64" i="4"/>
  <c r="AG64" i="4"/>
  <c r="AH64" i="4"/>
  <c r="AI64" i="4"/>
  <c r="AF65" i="4"/>
  <c r="AG65" i="4"/>
  <c r="AH65" i="4"/>
  <c r="AI65" i="4"/>
  <c r="AF66" i="4"/>
  <c r="AG66" i="4"/>
  <c r="AH66" i="4"/>
  <c r="AI66" i="4"/>
  <c r="AF67" i="4"/>
  <c r="AG67" i="4"/>
  <c r="AH67" i="4"/>
  <c r="AI67" i="4"/>
  <c r="AF68" i="4"/>
  <c r="AG68" i="4"/>
  <c r="AH68" i="4"/>
  <c r="AI68" i="4"/>
  <c r="AF69" i="4"/>
  <c r="AG69" i="4"/>
  <c r="AH69" i="4"/>
  <c r="AI69" i="4"/>
  <c r="AF70" i="4"/>
  <c r="AG70" i="4"/>
  <c r="AH70" i="4"/>
  <c r="AI70" i="4"/>
  <c r="AF71" i="4"/>
  <c r="AG71" i="4"/>
  <c r="AH71" i="4"/>
  <c r="AI71" i="4"/>
  <c r="AG50" i="4"/>
  <c r="AH50" i="4"/>
  <c r="AI50" i="4"/>
  <c r="AF50" i="4"/>
  <c r="N28" i="17"/>
  <c r="K28" i="17"/>
  <c r="Z28" i="17"/>
  <c r="EM29" i="16" l="1"/>
  <c r="EP5" i="16" s="1"/>
  <c r="FC29" i="16"/>
  <c r="FF8" i="16" s="1"/>
  <c r="FS29" i="16"/>
  <c r="FV2" i="16" s="1"/>
  <c r="GI29" i="16"/>
  <c r="GL2" i="16" s="1"/>
  <c r="GY29" i="16"/>
  <c r="HB9" i="16" s="1"/>
  <c r="DW29" i="16"/>
  <c r="DZ8" i="16" s="1"/>
  <c r="FF22" i="16"/>
  <c r="FF23" i="16"/>
  <c r="FF26" i="16"/>
  <c r="DG29" i="16"/>
  <c r="DJ2" i="16" s="1"/>
  <c r="CQ29" i="16"/>
  <c r="CT3" i="16" s="1"/>
  <c r="CA29" i="16"/>
  <c r="CD2" i="16" s="1"/>
  <c r="BK29" i="16"/>
  <c r="BN2" i="16" s="1"/>
  <c r="AU29" i="16"/>
  <c r="AX2" i="16" s="1"/>
  <c r="AE29" i="16"/>
  <c r="AH2" i="16" s="1"/>
  <c r="R27" i="17"/>
  <c r="R26" i="17"/>
  <c r="R25" i="17"/>
  <c r="R24" i="17"/>
  <c r="R23" i="17"/>
  <c r="R22" i="17"/>
  <c r="R21" i="17"/>
  <c r="R20" i="17"/>
  <c r="R19" i="17"/>
  <c r="R18" i="17"/>
  <c r="R17" i="17"/>
  <c r="R16" i="17"/>
  <c r="R15" i="17"/>
  <c r="R14" i="17"/>
  <c r="R13" i="17"/>
  <c r="R12" i="17"/>
  <c r="R11" i="17"/>
  <c r="Z11" i="17" s="1"/>
  <c r="R10" i="17"/>
  <c r="R9" i="17"/>
  <c r="R8" i="17"/>
  <c r="Y7" i="17"/>
  <c r="Y28" i="17" s="1"/>
  <c r="X7" i="17"/>
  <c r="X28" i="17" s="1"/>
  <c r="W7" i="17"/>
  <c r="W28" i="17" s="1"/>
  <c r="V7" i="17"/>
  <c r="V28" i="17" s="1"/>
  <c r="U7" i="17"/>
  <c r="U28" i="17" s="1"/>
  <c r="T7" i="17"/>
  <c r="T28" i="17" s="1"/>
  <c r="EP12" i="16" l="1"/>
  <c r="FF20" i="16"/>
  <c r="FF15" i="16"/>
  <c r="FF14" i="16"/>
  <c r="FF6" i="16"/>
  <c r="FF4" i="16"/>
  <c r="GL24" i="16"/>
  <c r="GL23" i="16"/>
  <c r="GL7" i="16"/>
  <c r="EP20" i="16"/>
  <c r="EP17" i="16"/>
  <c r="EP11" i="16"/>
  <c r="GL25" i="16"/>
  <c r="EP19" i="16"/>
  <c r="GL17" i="16"/>
  <c r="EP9" i="16"/>
  <c r="GL9" i="16"/>
  <c r="CT25" i="16"/>
  <c r="CT24" i="16"/>
  <c r="CT20" i="16"/>
  <c r="CD25" i="16"/>
  <c r="CT17" i="16"/>
  <c r="CD24" i="16"/>
  <c r="CD17" i="16"/>
  <c r="CT9" i="16"/>
  <c r="AH25" i="16"/>
  <c r="CD8" i="16"/>
  <c r="CT8" i="16"/>
  <c r="AH21" i="16"/>
  <c r="CD6" i="16"/>
  <c r="AX14" i="16"/>
  <c r="CD9" i="16"/>
  <c r="CT16" i="16"/>
  <c r="GL8" i="16"/>
  <c r="AH8" i="16"/>
  <c r="CD16" i="16"/>
  <c r="CD14" i="16"/>
  <c r="AH24" i="16"/>
  <c r="AH6" i="16"/>
  <c r="AX8" i="16"/>
  <c r="CT4" i="16"/>
  <c r="HB16" i="16"/>
  <c r="AH22" i="16"/>
  <c r="AH5" i="16"/>
  <c r="AX6" i="16"/>
  <c r="AH17" i="16"/>
  <c r="AX24" i="16"/>
  <c r="BN24" i="16"/>
  <c r="AH14" i="16"/>
  <c r="AX22" i="16"/>
  <c r="BN22" i="16"/>
  <c r="AH13" i="16"/>
  <c r="AX20" i="16"/>
  <c r="BN14" i="16"/>
  <c r="AH9" i="16"/>
  <c r="AX16" i="16"/>
  <c r="BN9" i="16"/>
  <c r="HB15" i="16"/>
  <c r="AX12" i="16"/>
  <c r="BN17" i="16"/>
  <c r="CT12" i="16"/>
  <c r="EP27" i="16"/>
  <c r="EP4" i="16"/>
  <c r="FF12" i="16"/>
  <c r="GL16" i="16"/>
  <c r="HB21" i="16"/>
  <c r="HB5" i="16"/>
  <c r="AH16" i="16"/>
  <c r="AX25" i="16"/>
  <c r="AX9" i="16"/>
  <c r="BN16" i="16"/>
  <c r="CD22" i="16"/>
  <c r="CT26" i="16"/>
  <c r="CT10" i="16"/>
  <c r="EP25" i="16"/>
  <c r="EP3" i="16"/>
  <c r="FF7" i="16"/>
  <c r="GL15" i="16"/>
  <c r="HB19" i="16"/>
  <c r="HB3" i="16"/>
  <c r="BN8" i="16"/>
  <c r="HB13" i="16"/>
  <c r="AX17" i="16"/>
  <c r="BN25" i="16"/>
  <c r="BN6" i="16"/>
  <c r="CT18" i="16"/>
  <c r="CT2" i="16"/>
  <c r="HB27" i="16"/>
  <c r="HB11" i="16"/>
  <c r="HB24" i="16"/>
  <c r="HB8" i="16"/>
  <c r="HB23" i="16"/>
  <c r="HB7" i="16"/>
  <c r="W26" i="17"/>
  <c r="Z26" i="17"/>
  <c r="Y26" i="17"/>
  <c r="T26" i="17"/>
  <c r="X26" i="17"/>
  <c r="V26" i="17"/>
  <c r="U26" i="17"/>
  <c r="Y8" i="17"/>
  <c r="U8" i="17"/>
  <c r="V8" i="17"/>
  <c r="W8" i="17"/>
  <c r="Z8" i="17"/>
  <c r="X8" i="17"/>
  <c r="T8" i="17"/>
  <c r="Z16" i="17"/>
  <c r="U16" i="17"/>
  <c r="T16" i="17"/>
  <c r="V16" i="17"/>
  <c r="X16" i="17"/>
  <c r="W16" i="17"/>
  <c r="Y16" i="17"/>
  <c r="Z24" i="17"/>
  <c r="T24" i="17"/>
  <c r="U24" i="17"/>
  <c r="V24" i="17"/>
  <c r="W24" i="17"/>
  <c r="X24" i="17"/>
  <c r="Y24" i="17"/>
  <c r="W9" i="17"/>
  <c r="Z9" i="17"/>
  <c r="X9" i="17"/>
  <c r="Y9" i="17"/>
  <c r="T9" i="17"/>
  <c r="U9" i="17"/>
  <c r="V9" i="17"/>
  <c r="U17" i="17"/>
  <c r="Z17" i="17"/>
  <c r="V17" i="17"/>
  <c r="W17" i="17"/>
  <c r="X17" i="17"/>
  <c r="Y17" i="17"/>
  <c r="T17" i="17"/>
  <c r="U25" i="17"/>
  <c r="T25" i="17"/>
  <c r="Z25" i="17"/>
  <c r="V25" i="17"/>
  <c r="W25" i="17"/>
  <c r="X25" i="17"/>
  <c r="Y25" i="17"/>
  <c r="Y19" i="17"/>
  <c r="Z19" i="17"/>
  <c r="T19" i="17"/>
  <c r="V19" i="17"/>
  <c r="U19" i="17"/>
  <c r="W19" i="17"/>
  <c r="X19" i="17"/>
  <c r="Y27" i="17"/>
  <c r="Z27" i="17"/>
  <c r="T27" i="17"/>
  <c r="V27" i="17"/>
  <c r="U27" i="17"/>
  <c r="X27" i="17"/>
  <c r="W27" i="17"/>
  <c r="T12" i="17"/>
  <c r="U12" i="17"/>
  <c r="V12" i="17"/>
  <c r="X12" i="17"/>
  <c r="Z12" i="17"/>
  <c r="W12" i="17"/>
  <c r="Y12" i="17"/>
  <c r="U20" i="17"/>
  <c r="T20" i="17"/>
  <c r="V20" i="17"/>
  <c r="Z20" i="17"/>
  <c r="W20" i="17"/>
  <c r="X20" i="17"/>
  <c r="Y20" i="17"/>
  <c r="W18" i="17"/>
  <c r="Z18" i="17"/>
  <c r="X18" i="17"/>
  <c r="Y18" i="17"/>
  <c r="T18" i="17"/>
  <c r="U18" i="17"/>
  <c r="V18" i="17"/>
  <c r="U13" i="17"/>
  <c r="W13" i="17"/>
  <c r="V13" i="17"/>
  <c r="X13" i="17"/>
  <c r="Z13" i="17"/>
  <c r="Y13" i="17"/>
  <c r="T13" i="17"/>
  <c r="U21" i="17"/>
  <c r="V21" i="17"/>
  <c r="W21" i="17"/>
  <c r="T21" i="17"/>
  <c r="X21" i="17"/>
  <c r="Y21" i="17"/>
  <c r="Z21" i="17"/>
  <c r="Y10" i="17"/>
  <c r="Z10" i="17"/>
  <c r="T10" i="17"/>
  <c r="U10" i="17"/>
  <c r="V10" i="17"/>
  <c r="W10" i="17"/>
  <c r="X10" i="17"/>
  <c r="W14" i="17"/>
  <c r="X14" i="17"/>
  <c r="Y14" i="17"/>
  <c r="T14" i="17"/>
  <c r="Z14" i="17"/>
  <c r="U14" i="17"/>
  <c r="V14" i="17"/>
  <c r="W22" i="17"/>
  <c r="Y22" i="17"/>
  <c r="X22" i="17"/>
  <c r="T22" i="17"/>
  <c r="Z22" i="17"/>
  <c r="U22" i="17"/>
  <c r="V22" i="17"/>
  <c r="Y15" i="17"/>
  <c r="T15" i="17"/>
  <c r="V15" i="17"/>
  <c r="U15" i="17"/>
  <c r="W15" i="17"/>
  <c r="Z15" i="17"/>
  <c r="X15" i="17"/>
  <c r="Y23" i="17"/>
  <c r="V23" i="17"/>
  <c r="T23" i="17"/>
  <c r="U23" i="17"/>
  <c r="X23" i="17"/>
  <c r="W23" i="17"/>
  <c r="Z23" i="17"/>
  <c r="V11" i="17"/>
  <c r="W11" i="17"/>
  <c r="X11" i="17"/>
  <c r="Y11" i="17"/>
  <c r="T11" i="17"/>
  <c r="U11" i="17"/>
  <c r="EP26" i="16"/>
  <c r="EP18" i="16"/>
  <c r="EP10" i="16"/>
  <c r="EP2" i="16"/>
  <c r="EP24" i="16"/>
  <c r="EP16" i="16"/>
  <c r="EP8" i="16"/>
  <c r="EP23" i="16"/>
  <c r="EP15" i="16"/>
  <c r="EP7" i="16"/>
  <c r="EP22" i="16"/>
  <c r="EP14" i="16"/>
  <c r="EP6" i="16"/>
  <c r="EP21" i="16"/>
  <c r="EP13" i="16"/>
  <c r="FF21" i="16"/>
  <c r="FF13" i="16"/>
  <c r="FF5" i="16"/>
  <c r="FF27" i="16"/>
  <c r="FF19" i="16"/>
  <c r="FF11" i="16"/>
  <c r="FF3" i="16"/>
  <c r="FF18" i="16"/>
  <c r="FF10" i="16"/>
  <c r="FF2" i="16"/>
  <c r="FF25" i="16"/>
  <c r="FF17" i="16"/>
  <c r="FF9" i="16"/>
  <c r="FF24" i="16"/>
  <c r="FF16" i="16"/>
  <c r="FV23" i="16"/>
  <c r="FV15" i="16"/>
  <c r="FV7" i="16"/>
  <c r="FV22" i="16"/>
  <c r="FV14" i="16"/>
  <c r="FV6" i="16"/>
  <c r="FV20" i="16"/>
  <c r="FV12" i="16"/>
  <c r="FV4" i="16"/>
  <c r="FV16" i="16"/>
  <c r="FV21" i="16"/>
  <c r="FV27" i="16"/>
  <c r="FV19" i="16"/>
  <c r="FV11" i="16"/>
  <c r="FV3" i="16"/>
  <c r="FV24" i="16"/>
  <c r="FV8" i="16"/>
  <c r="FV13" i="16"/>
  <c r="FV5" i="16"/>
  <c r="FV26" i="16"/>
  <c r="FV18" i="16"/>
  <c r="FV10" i="16"/>
  <c r="FV25" i="16"/>
  <c r="FV17" i="16"/>
  <c r="FV9" i="16"/>
  <c r="GL22" i="16"/>
  <c r="GL14" i="16"/>
  <c r="GL6" i="16"/>
  <c r="GL21" i="16"/>
  <c r="GL13" i="16"/>
  <c r="GL5" i="16"/>
  <c r="GL20" i="16"/>
  <c r="GL12" i="16"/>
  <c r="GL4" i="16"/>
  <c r="GL27" i="16"/>
  <c r="GL19" i="16"/>
  <c r="GL11" i="16"/>
  <c r="GL3" i="16"/>
  <c r="GL26" i="16"/>
  <c r="GL18" i="16"/>
  <c r="GL10" i="16"/>
  <c r="HB22" i="16"/>
  <c r="HB14" i="16"/>
  <c r="HB6" i="16"/>
  <c r="HB20" i="16"/>
  <c r="HB12" i="16"/>
  <c r="HB4" i="16"/>
  <c r="HB26" i="16"/>
  <c r="HB18" i="16"/>
  <c r="HB10" i="16"/>
  <c r="HB2" i="16"/>
  <c r="HB25" i="16"/>
  <c r="HB17" i="16"/>
  <c r="DZ22" i="16"/>
  <c r="DZ14" i="16"/>
  <c r="DZ6" i="16"/>
  <c r="DZ21" i="16"/>
  <c r="DZ13" i="16"/>
  <c r="DZ5" i="16"/>
  <c r="DZ23" i="16"/>
  <c r="DZ19" i="16"/>
  <c r="DZ11" i="16"/>
  <c r="DZ3" i="16"/>
  <c r="DZ7" i="16"/>
  <c r="DZ4" i="16"/>
  <c r="DZ18" i="16"/>
  <c r="DZ2" i="16"/>
  <c r="DZ25" i="16"/>
  <c r="DZ17" i="16"/>
  <c r="DZ9" i="16"/>
  <c r="DZ15" i="16"/>
  <c r="DZ20" i="16"/>
  <c r="DZ12" i="16"/>
  <c r="DZ27" i="16"/>
  <c r="DZ26" i="16"/>
  <c r="DZ10" i="16"/>
  <c r="DZ24" i="16"/>
  <c r="DZ16" i="16"/>
  <c r="DJ9" i="16"/>
  <c r="DJ16" i="16"/>
  <c r="DJ23" i="16"/>
  <c r="DJ7" i="16"/>
  <c r="DJ22" i="16"/>
  <c r="DJ14" i="16"/>
  <c r="DJ6" i="16"/>
  <c r="DJ8" i="16"/>
  <c r="DJ15" i="16"/>
  <c r="DJ21" i="16"/>
  <c r="DJ13" i="16"/>
  <c r="DJ5" i="16"/>
  <c r="DJ25" i="16"/>
  <c r="DJ12" i="16"/>
  <c r="DJ27" i="16"/>
  <c r="DJ19" i="16"/>
  <c r="DJ11" i="16"/>
  <c r="DJ3" i="16"/>
  <c r="DJ17" i="16"/>
  <c r="DJ24" i="16"/>
  <c r="DJ20" i="16"/>
  <c r="DJ4" i="16"/>
  <c r="DJ26" i="16"/>
  <c r="DJ18" i="16"/>
  <c r="DJ10" i="16"/>
  <c r="CT23" i="16"/>
  <c r="CT15" i="16"/>
  <c r="CT7" i="16"/>
  <c r="CT22" i="16"/>
  <c r="CT14" i="16"/>
  <c r="CT6" i="16"/>
  <c r="CT21" i="16"/>
  <c r="CT13" i="16"/>
  <c r="CT5" i="16"/>
  <c r="CT27" i="16"/>
  <c r="CT19" i="16"/>
  <c r="CT11" i="16"/>
  <c r="CD23" i="16"/>
  <c r="CD15" i="16"/>
  <c r="CD7" i="16"/>
  <c r="CD21" i="16"/>
  <c r="CD13" i="16"/>
  <c r="CD5" i="16"/>
  <c r="CD20" i="16"/>
  <c r="CD12" i="16"/>
  <c r="CD4" i="16"/>
  <c r="CD27" i="16"/>
  <c r="CD19" i="16"/>
  <c r="CD11" i="16"/>
  <c r="CD3" i="16"/>
  <c r="CD26" i="16"/>
  <c r="CD18" i="16"/>
  <c r="CD10" i="16"/>
  <c r="BN23" i="16"/>
  <c r="BN15" i="16"/>
  <c r="BN7" i="16"/>
  <c r="BN21" i="16"/>
  <c r="BN13" i="16"/>
  <c r="BN5" i="16"/>
  <c r="BN20" i="16"/>
  <c r="BN12" i="16"/>
  <c r="BN4" i="16"/>
  <c r="BN27" i="16"/>
  <c r="BN19" i="16"/>
  <c r="BN11" i="16"/>
  <c r="BN3" i="16"/>
  <c r="BN26" i="16"/>
  <c r="BN18" i="16"/>
  <c r="BN10" i="16"/>
  <c r="AX23" i="16"/>
  <c r="AX15" i="16"/>
  <c r="AX7" i="16"/>
  <c r="AX21" i="16"/>
  <c r="AX13" i="16"/>
  <c r="AX5" i="16"/>
  <c r="AX4" i="16"/>
  <c r="AX27" i="16"/>
  <c r="AX19" i="16"/>
  <c r="AX11" i="16"/>
  <c r="AX3" i="16"/>
  <c r="AX26" i="16"/>
  <c r="AX18" i="16"/>
  <c r="AX10" i="16"/>
  <c r="AH23" i="16"/>
  <c r="AH15" i="16"/>
  <c r="AH7" i="16"/>
  <c r="AH20" i="16"/>
  <c r="AH12" i="16"/>
  <c r="AH4" i="16"/>
  <c r="AH27" i="16"/>
  <c r="AH19" i="16"/>
  <c r="AH11" i="16"/>
  <c r="AH3" i="16"/>
  <c r="AH26" i="16"/>
  <c r="AH18" i="16"/>
  <c r="AH10" i="16"/>
  <c r="H28" i="17"/>
  <c r="C28" i="17" l="1"/>
  <c r="B28" i="16"/>
  <c r="B27" i="16"/>
  <c r="B26" i="16"/>
  <c r="B25" i="16"/>
  <c r="B24" i="16"/>
  <c r="B23" i="16"/>
  <c r="B22" i="16"/>
  <c r="B21" i="16"/>
  <c r="B20" i="16"/>
  <c r="B19" i="16"/>
  <c r="B18" i="16"/>
  <c r="B17" i="16"/>
  <c r="P28" i="16"/>
  <c r="P27" i="16"/>
  <c r="P26" i="16"/>
  <c r="P25" i="16"/>
  <c r="P24" i="16"/>
  <c r="P23" i="16"/>
  <c r="P22" i="16"/>
  <c r="P21" i="16"/>
  <c r="P20" i="16"/>
  <c r="P19" i="16"/>
  <c r="P18" i="16"/>
  <c r="P17" i="16"/>
  <c r="P13" i="16"/>
  <c r="P12" i="16"/>
  <c r="P11" i="16"/>
  <c r="P10" i="16"/>
  <c r="P9" i="16"/>
  <c r="P8" i="16"/>
  <c r="P7" i="16"/>
  <c r="P6" i="16"/>
  <c r="P5" i="16"/>
  <c r="P4" i="16"/>
  <c r="P3" i="16"/>
  <c r="P2" i="16"/>
  <c r="Q1" i="16"/>
  <c r="R1" i="16"/>
  <c r="R4" i="16" s="1"/>
  <c r="S1" i="16"/>
  <c r="S2" i="16" s="1"/>
  <c r="T1" i="16"/>
  <c r="U1" i="16"/>
  <c r="V1" i="16"/>
  <c r="V3" i="16" s="1"/>
  <c r="W1" i="16"/>
  <c r="W3" i="16" s="1"/>
  <c r="X1" i="16"/>
  <c r="X8" i="16" s="1"/>
  <c r="B2" i="16"/>
  <c r="T2" i="16"/>
  <c r="Y2" i="16"/>
  <c r="B3" i="16"/>
  <c r="Y3" i="16"/>
  <c r="B4" i="16"/>
  <c r="V4" i="16"/>
  <c r="Y4" i="16"/>
  <c r="B5" i="16"/>
  <c r="V5" i="16"/>
  <c r="Y5" i="16"/>
  <c r="B6" i="16"/>
  <c r="V6" i="16"/>
  <c r="Y6" i="16"/>
  <c r="B7" i="16"/>
  <c r="T7" i="16"/>
  <c r="V7" i="16"/>
  <c r="Y7" i="16"/>
  <c r="B8" i="16"/>
  <c r="U8" i="16"/>
  <c r="V8" i="16"/>
  <c r="Y8" i="16"/>
  <c r="B9" i="16"/>
  <c r="V9" i="16"/>
  <c r="Y9" i="16"/>
  <c r="B10" i="16"/>
  <c r="Q10" i="16"/>
  <c r="T10" i="16"/>
  <c r="U10" i="16"/>
  <c r="V10" i="16"/>
  <c r="W10" i="16"/>
  <c r="X10" i="16"/>
  <c r="Y10" i="16"/>
  <c r="B11" i="16"/>
  <c r="Q11" i="16"/>
  <c r="R11" i="16"/>
  <c r="S11" i="16"/>
  <c r="T11" i="16"/>
  <c r="U11" i="16"/>
  <c r="V11" i="16"/>
  <c r="W11" i="16"/>
  <c r="X11" i="16"/>
  <c r="Y11" i="16"/>
  <c r="B12" i="16"/>
  <c r="Q12" i="16"/>
  <c r="R12" i="16"/>
  <c r="S12" i="16"/>
  <c r="T12" i="16"/>
  <c r="U12" i="16"/>
  <c r="V12" i="16"/>
  <c r="W12" i="16"/>
  <c r="X12" i="16"/>
  <c r="Y12" i="16"/>
  <c r="B13" i="16"/>
  <c r="Q13" i="16"/>
  <c r="R13" i="16"/>
  <c r="S13" i="16"/>
  <c r="T13" i="16"/>
  <c r="U13" i="16"/>
  <c r="V13" i="16"/>
  <c r="W13" i="16"/>
  <c r="X13" i="16"/>
  <c r="Y13" i="16"/>
  <c r="V17" i="16"/>
  <c r="W17" i="16"/>
  <c r="X17" i="16"/>
  <c r="V18" i="16"/>
  <c r="W18" i="16"/>
  <c r="X18" i="16"/>
  <c r="V19" i="16"/>
  <c r="W19" i="16"/>
  <c r="X19" i="16"/>
  <c r="V20" i="16"/>
  <c r="W20" i="16"/>
  <c r="X20" i="16"/>
  <c r="V21" i="16"/>
  <c r="W21" i="16"/>
  <c r="X21" i="16"/>
  <c r="V22" i="16"/>
  <c r="W22" i="16"/>
  <c r="X22" i="16"/>
  <c r="V23" i="16"/>
  <c r="W23" i="16"/>
  <c r="X23" i="16"/>
  <c r="V24" i="16"/>
  <c r="W24" i="16"/>
  <c r="X24" i="16"/>
  <c r="V25" i="16"/>
  <c r="W25" i="16"/>
  <c r="X25" i="16"/>
  <c r="S26" i="16"/>
  <c r="W26" i="16"/>
  <c r="Y26" i="16" s="1"/>
  <c r="X26" i="16"/>
  <c r="S27" i="16"/>
  <c r="V27" i="16"/>
  <c r="Y27" i="16" s="1"/>
  <c r="W27" i="16"/>
  <c r="X27" i="16"/>
  <c r="S28" i="16"/>
  <c r="V28" i="16"/>
  <c r="Y28" i="16" s="1"/>
  <c r="W28" i="16"/>
  <c r="X28" i="16"/>
  <c r="AD28" i="16"/>
  <c r="AE28" i="16"/>
  <c r="D2" i="16" s="1"/>
  <c r="AK28" i="16"/>
  <c r="AO28" i="16"/>
  <c r="AT28" i="16"/>
  <c r="AU28" i="16"/>
  <c r="BA28" i="16"/>
  <c r="BE28" i="16"/>
  <c r="BJ28" i="16"/>
  <c r="BK28" i="16"/>
  <c r="BQ28" i="16"/>
  <c r="BU28" i="16"/>
  <c r="BZ28" i="16"/>
  <c r="CA28" i="16"/>
  <c r="D5" i="16" s="1"/>
  <c r="CG28" i="16"/>
  <c r="CK28" i="16"/>
  <c r="CP28" i="16"/>
  <c r="CQ28" i="16"/>
  <c r="D6" i="16" s="1"/>
  <c r="CW28" i="16"/>
  <c r="DA28" i="16"/>
  <c r="DF28" i="16"/>
  <c r="DG28" i="16"/>
  <c r="D7" i="16" s="1"/>
  <c r="DM28" i="16"/>
  <c r="DQ28" i="16"/>
  <c r="DV28" i="16"/>
  <c r="DW28" i="16"/>
  <c r="EC28" i="16"/>
  <c r="EG28" i="16"/>
  <c r="EL28" i="16"/>
  <c r="EM28" i="16"/>
  <c r="ES28" i="16"/>
  <c r="EW28" i="16"/>
  <c r="FB28" i="16"/>
  <c r="FC28" i="16"/>
  <c r="FI28" i="16"/>
  <c r="FM28" i="16"/>
  <c r="FR28" i="16"/>
  <c r="FS28" i="16"/>
  <c r="FY28" i="16"/>
  <c r="GC28" i="16"/>
  <c r="GH28" i="16"/>
  <c r="GI28" i="16"/>
  <c r="GO28" i="16"/>
  <c r="GS28" i="16"/>
  <c r="GX28" i="16"/>
  <c r="GY28" i="16"/>
  <c r="HE28" i="16"/>
  <c r="HI28" i="16"/>
  <c r="Z26" i="16" l="1"/>
  <c r="L26" i="16" s="1"/>
  <c r="M26" i="16" s="1"/>
  <c r="R26" i="16"/>
  <c r="Q26" i="16" s="1"/>
  <c r="Z11" i="16"/>
  <c r="Z27" i="16"/>
  <c r="L27" i="16" s="1"/>
  <c r="K27" i="16" s="1"/>
  <c r="Z12" i="16"/>
  <c r="R27" i="16"/>
  <c r="Q27" i="16" s="1"/>
  <c r="Z28" i="16"/>
  <c r="L28" i="16" s="1"/>
  <c r="K28" i="16" s="1"/>
  <c r="R28" i="16"/>
  <c r="Q28" i="16" s="1"/>
  <c r="Z13" i="16"/>
  <c r="F13" i="16"/>
  <c r="D13" i="16"/>
  <c r="D12" i="16"/>
  <c r="F12" i="16"/>
  <c r="D11" i="16"/>
  <c r="F11" i="16"/>
  <c r="H11" i="16"/>
  <c r="F10" i="16"/>
  <c r="D10" i="16"/>
  <c r="D4" i="16"/>
  <c r="D3" i="16"/>
  <c r="D8" i="16"/>
  <c r="D9" i="16"/>
  <c r="U2" i="16"/>
  <c r="U9" i="16"/>
  <c r="T3" i="16"/>
  <c r="T9" i="16"/>
  <c r="W6" i="16"/>
  <c r="W8" i="16"/>
  <c r="W4" i="16"/>
  <c r="W9" i="16"/>
  <c r="W7" i="16"/>
  <c r="W5" i="16"/>
  <c r="U4" i="16"/>
  <c r="T6" i="16"/>
  <c r="T4" i="16"/>
  <c r="X9" i="16"/>
  <c r="T5" i="16"/>
  <c r="T8" i="16"/>
  <c r="Y14" i="16"/>
  <c r="Q2" i="16"/>
  <c r="U5" i="16"/>
  <c r="U6" i="16"/>
  <c r="U3" i="16"/>
  <c r="U7" i="16"/>
  <c r="Q5" i="16"/>
  <c r="R2" i="16"/>
  <c r="Q4" i="16"/>
  <c r="Q3" i="16"/>
  <c r="Q8" i="16"/>
  <c r="S8" i="16"/>
  <c r="R6" i="16"/>
  <c r="R8" i="16"/>
  <c r="R7" i="16"/>
  <c r="Y24" i="16"/>
  <c r="Z24" i="16" s="1"/>
  <c r="L24" i="16" s="1"/>
  <c r="K24" i="16" s="1"/>
  <c r="S10" i="16"/>
  <c r="R3" i="16"/>
  <c r="R10" i="16"/>
  <c r="S9" i="16"/>
  <c r="R9" i="16"/>
  <c r="S5" i="16"/>
  <c r="Y25" i="16"/>
  <c r="Z25" i="16" s="1"/>
  <c r="L25" i="16" s="1"/>
  <c r="K25" i="16" s="1"/>
  <c r="Y23" i="16"/>
  <c r="Z23" i="16" s="1"/>
  <c r="L23" i="16" s="1"/>
  <c r="W2" i="16"/>
  <c r="Q7" i="16"/>
  <c r="Q6" i="16"/>
  <c r="R5" i="16"/>
  <c r="V2" i="16"/>
  <c r="V14" i="16" s="1"/>
  <c r="AG18" i="16"/>
  <c r="EQ26" i="16"/>
  <c r="DI27" i="16"/>
  <c r="DK27" i="16"/>
  <c r="CC27" i="16"/>
  <c r="CE27" i="16"/>
  <c r="AW27" i="16"/>
  <c r="AY27" i="16"/>
  <c r="FU26" i="16"/>
  <c r="FW26" i="16"/>
  <c r="V29" i="16"/>
  <c r="S3" i="16"/>
  <c r="S6" i="16"/>
  <c r="AG22" i="16"/>
  <c r="Y18" i="16"/>
  <c r="Z18" i="16" s="1"/>
  <c r="L18" i="16" s="1"/>
  <c r="X29" i="16"/>
  <c r="S4" i="16"/>
  <c r="S7" i="16"/>
  <c r="W29" i="16"/>
  <c r="AI18" i="16"/>
  <c r="AG14" i="16"/>
  <c r="AG25" i="16"/>
  <c r="AI24" i="16"/>
  <c r="BM22" i="16"/>
  <c r="BO22" i="16"/>
  <c r="M27" i="16"/>
  <c r="FE24" i="16"/>
  <c r="FG24" i="16"/>
  <c r="GK24" i="16"/>
  <c r="GM24" i="16"/>
  <c r="AG26" i="16"/>
  <c r="AI26" i="16"/>
  <c r="CS26" i="16"/>
  <c r="CU26" i="16"/>
  <c r="HC8" i="16"/>
  <c r="HA8" i="16"/>
  <c r="X6" i="16"/>
  <c r="X5" i="16"/>
  <c r="X4" i="16"/>
  <c r="X3" i="16"/>
  <c r="X2" i="16"/>
  <c r="X7" i="16"/>
  <c r="EO26" i="16"/>
  <c r="AI25" i="16"/>
  <c r="Y22" i="16"/>
  <c r="Y21" i="16"/>
  <c r="Y20" i="16"/>
  <c r="Y19" i="16"/>
  <c r="EQ8" i="16"/>
  <c r="EO8" i="16"/>
  <c r="AG24" i="16"/>
  <c r="Y17" i="16"/>
  <c r="J11" i="16" l="1"/>
  <c r="K11" i="16" s="1"/>
  <c r="M11" i="16" s="1"/>
  <c r="U26" i="16"/>
  <c r="K26" i="16"/>
  <c r="T26" i="16"/>
  <c r="J26" i="16"/>
  <c r="J12" i="16"/>
  <c r="K12" i="16" s="1"/>
  <c r="M12" i="16" s="1"/>
  <c r="U27" i="16"/>
  <c r="H12" i="16"/>
  <c r="T27" i="16"/>
  <c r="J27" i="16"/>
  <c r="J13" i="16"/>
  <c r="K13" i="16" s="1"/>
  <c r="M13" i="16" s="1"/>
  <c r="U28" i="16"/>
  <c r="H13" i="16"/>
  <c r="M28" i="16"/>
  <c r="T28" i="16"/>
  <c r="J28" i="16"/>
  <c r="W14" i="16"/>
  <c r="T14" i="16"/>
  <c r="Z9" i="16"/>
  <c r="U14" i="16"/>
  <c r="Z3" i="16"/>
  <c r="R17" i="16"/>
  <c r="H2" i="16" s="1"/>
  <c r="Z8" i="16"/>
  <c r="R23" i="16"/>
  <c r="H8" i="16" s="1"/>
  <c r="R18" i="16"/>
  <c r="H3" i="16" s="1"/>
  <c r="Z10" i="16"/>
  <c r="R14" i="16"/>
  <c r="Z4" i="16"/>
  <c r="R19" i="16"/>
  <c r="H4" i="16" s="1"/>
  <c r="Z5" i="16"/>
  <c r="R25" i="16"/>
  <c r="H10" i="16" s="1"/>
  <c r="K23" i="16"/>
  <c r="M23" i="16"/>
  <c r="R21" i="16"/>
  <c r="H6" i="16" s="1"/>
  <c r="Z6" i="16"/>
  <c r="R24" i="16"/>
  <c r="H9" i="16" s="1"/>
  <c r="R22" i="16"/>
  <c r="H7" i="16" s="1"/>
  <c r="Z7" i="16"/>
  <c r="R20" i="16"/>
  <c r="H5" i="16" s="1"/>
  <c r="Z2" i="16"/>
  <c r="M25" i="16"/>
  <c r="J25" i="16"/>
  <c r="J23" i="16"/>
  <c r="J24" i="16"/>
  <c r="M24" i="16"/>
  <c r="Q14" i="16"/>
  <c r="AI14" i="16"/>
  <c r="AI22" i="16"/>
  <c r="S14" i="16"/>
  <c r="HA26" i="16"/>
  <c r="HC26" i="16"/>
  <c r="HA27" i="16"/>
  <c r="HC27" i="16"/>
  <c r="AG19" i="16"/>
  <c r="AI19" i="16"/>
  <c r="AG23" i="16"/>
  <c r="AI23" i="16"/>
  <c r="FU27" i="16"/>
  <c r="FW27" i="16"/>
  <c r="J18" i="16"/>
  <c r="AG20" i="16"/>
  <c r="AI20" i="16"/>
  <c r="AG21" i="16"/>
  <c r="AI21" i="16"/>
  <c r="EO27" i="16"/>
  <c r="EQ27" i="16"/>
  <c r="GM22" i="16"/>
  <c r="GK22" i="16"/>
  <c r="FE9" i="16"/>
  <c r="FG9" i="16"/>
  <c r="CC17" i="16"/>
  <c r="CE17" i="16"/>
  <c r="EO25" i="16"/>
  <c r="EQ25" i="16"/>
  <c r="HC24" i="16"/>
  <c r="HA24" i="16"/>
  <c r="BM13" i="16"/>
  <c r="BO13" i="16"/>
  <c r="M18" i="16"/>
  <c r="K18" i="16"/>
  <c r="Z22" i="16"/>
  <c r="L22" i="16" s="1"/>
  <c r="FE15" i="16"/>
  <c r="FG15" i="16"/>
  <c r="CS22" i="16"/>
  <c r="CU22" i="16"/>
  <c r="AW22" i="16"/>
  <c r="AY22" i="16"/>
  <c r="AY15" i="16"/>
  <c r="AW15" i="16"/>
  <c r="AW13" i="16"/>
  <c r="AY13" i="16"/>
  <c r="CC24" i="16"/>
  <c r="CE24" i="16"/>
  <c r="CC16" i="16"/>
  <c r="CE16" i="16"/>
  <c r="CC4" i="16"/>
  <c r="CE4" i="16"/>
  <c r="DI24" i="16"/>
  <c r="DK24" i="16"/>
  <c r="DI17" i="16"/>
  <c r="DK17" i="16"/>
  <c r="DI3" i="16"/>
  <c r="DK3" i="16"/>
  <c r="EQ24" i="16"/>
  <c r="EO24" i="16"/>
  <c r="EO16" i="16"/>
  <c r="EQ16" i="16"/>
  <c r="EO4" i="16"/>
  <c r="EQ4" i="16"/>
  <c r="FW23" i="16"/>
  <c r="FU23" i="16"/>
  <c r="FW16" i="16"/>
  <c r="FU16" i="16"/>
  <c r="FU4" i="16"/>
  <c r="FW4" i="16"/>
  <c r="HA23" i="16"/>
  <c r="HC23" i="16"/>
  <c r="HA15" i="16"/>
  <c r="HC15" i="16"/>
  <c r="HA13" i="16"/>
  <c r="HC13" i="16"/>
  <c r="GM25" i="16"/>
  <c r="GK25" i="16"/>
  <c r="GK21" i="16"/>
  <c r="GM21" i="16"/>
  <c r="BM5" i="16"/>
  <c r="BO5" i="16"/>
  <c r="BO3" i="16"/>
  <c r="BM3" i="16"/>
  <c r="DY21" i="16"/>
  <c r="EA21" i="16"/>
  <c r="DY14" i="16"/>
  <c r="EA14" i="16"/>
  <c r="DY2" i="16"/>
  <c r="EA2" i="16"/>
  <c r="DZ28" i="16"/>
  <c r="F8" i="16" s="1"/>
  <c r="CS13" i="16"/>
  <c r="CU13" i="16"/>
  <c r="FE16" i="16"/>
  <c r="FG16" i="16"/>
  <c r="AW16" i="16"/>
  <c r="AY16" i="16"/>
  <c r="DI12" i="16"/>
  <c r="DK12" i="16"/>
  <c r="FU12" i="16"/>
  <c r="FW12" i="16"/>
  <c r="GK18" i="16"/>
  <c r="GM18" i="16"/>
  <c r="AI11" i="16"/>
  <c r="AG11" i="16"/>
  <c r="CS5" i="16"/>
  <c r="CU5" i="16"/>
  <c r="CU3" i="16"/>
  <c r="CS3" i="16"/>
  <c r="GK20" i="16"/>
  <c r="GM20" i="16"/>
  <c r="GK7" i="16"/>
  <c r="GM7" i="16"/>
  <c r="FE10" i="16"/>
  <c r="FG10" i="16"/>
  <c r="BO25" i="16"/>
  <c r="BM25" i="16"/>
  <c r="FG27" i="16"/>
  <c r="FE27" i="16"/>
  <c r="AG5" i="16"/>
  <c r="AI5" i="16"/>
  <c r="AI3" i="16"/>
  <c r="AG3" i="16"/>
  <c r="CS17" i="16"/>
  <c r="CU17" i="16"/>
  <c r="CS6" i="16"/>
  <c r="CU6" i="16"/>
  <c r="BO17" i="16"/>
  <c r="BM17" i="16"/>
  <c r="GK14" i="16"/>
  <c r="GM14" i="16"/>
  <c r="GK8" i="16"/>
  <c r="GM8" i="16"/>
  <c r="FE18" i="16"/>
  <c r="FG18" i="16"/>
  <c r="DY23" i="16"/>
  <c r="EA23" i="16"/>
  <c r="FG4" i="16"/>
  <c r="FE4" i="16"/>
  <c r="FE2" i="16"/>
  <c r="FG2" i="16"/>
  <c r="FF28" i="16"/>
  <c r="CS23" i="16"/>
  <c r="CU23" i="16"/>
  <c r="AY21" i="16"/>
  <c r="AW21" i="16"/>
  <c r="AW14" i="16"/>
  <c r="AY14" i="16"/>
  <c r="AW5" i="16"/>
  <c r="AY5" i="16"/>
  <c r="CE23" i="16"/>
  <c r="CC23" i="16"/>
  <c r="CC15" i="16"/>
  <c r="CE15" i="16"/>
  <c r="CC13" i="16"/>
  <c r="CE13" i="16"/>
  <c r="DI23" i="16"/>
  <c r="DK23" i="16"/>
  <c r="DI16" i="16"/>
  <c r="DK16" i="16"/>
  <c r="DI4" i="16"/>
  <c r="DK4" i="16"/>
  <c r="EO23" i="16"/>
  <c r="EQ23" i="16"/>
  <c r="EQ15" i="16"/>
  <c r="EO15" i="16"/>
  <c r="EO13" i="16"/>
  <c r="EQ13" i="16"/>
  <c r="FU22" i="16"/>
  <c r="FW22" i="16"/>
  <c r="FW15" i="16"/>
  <c r="FU15" i="16"/>
  <c r="FU13" i="16"/>
  <c r="FW13" i="16"/>
  <c r="HA22" i="16"/>
  <c r="HC22" i="16"/>
  <c r="HC14" i="16"/>
  <c r="HA14" i="16"/>
  <c r="HA5" i="16"/>
  <c r="HC5" i="16"/>
  <c r="FE22" i="16"/>
  <c r="FG22" i="16"/>
  <c r="BM6" i="16"/>
  <c r="BO6" i="16"/>
  <c r="CU24" i="16"/>
  <c r="CS24" i="16"/>
  <c r="DY13" i="16"/>
  <c r="EA13" i="16"/>
  <c r="EA11" i="16"/>
  <c r="DY11" i="16"/>
  <c r="AI16" i="16"/>
  <c r="AG16" i="16"/>
  <c r="AW4" i="16"/>
  <c r="AY4" i="16"/>
  <c r="BO11" i="16"/>
  <c r="BM11" i="16"/>
  <c r="GM27" i="16"/>
  <c r="GK27" i="16"/>
  <c r="CS7" i="16"/>
  <c r="CU7" i="16"/>
  <c r="EA17" i="16"/>
  <c r="DY17" i="16"/>
  <c r="GK16" i="16"/>
  <c r="GM16" i="16"/>
  <c r="GK9" i="16"/>
  <c r="GM9" i="16"/>
  <c r="Z19" i="16"/>
  <c r="L19" i="16" s="1"/>
  <c r="FE13" i="16"/>
  <c r="FG13" i="16"/>
  <c r="FG11" i="16"/>
  <c r="FE11" i="16"/>
  <c r="AY20" i="16"/>
  <c r="AW20" i="16"/>
  <c r="AW9" i="16"/>
  <c r="AY9" i="16"/>
  <c r="AW6" i="16"/>
  <c r="AY6" i="16"/>
  <c r="CC22" i="16"/>
  <c r="CE22" i="16"/>
  <c r="CE14" i="16"/>
  <c r="CC14" i="16"/>
  <c r="CC5" i="16"/>
  <c r="CE5" i="16"/>
  <c r="DI22" i="16"/>
  <c r="DK22" i="16"/>
  <c r="DI15" i="16"/>
  <c r="DK15" i="16"/>
  <c r="DI13" i="16"/>
  <c r="DK13" i="16"/>
  <c r="EO22" i="16"/>
  <c r="EQ22" i="16"/>
  <c r="EO14" i="16"/>
  <c r="EQ14" i="16"/>
  <c r="EO5" i="16"/>
  <c r="EQ5" i="16"/>
  <c r="FW21" i="16"/>
  <c r="FU21" i="16"/>
  <c r="FU14" i="16"/>
  <c r="FW14" i="16"/>
  <c r="FU5" i="16"/>
  <c r="FW5" i="16"/>
  <c r="HC21" i="16"/>
  <c r="HA21" i="16"/>
  <c r="HA9" i="16"/>
  <c r="HC9" i="16"/>
  <c r="HA6" i="16"/>
  <c r="HC6" i="16"/>
  <c r="X14" i="16"/>
  <c r="CU25" i="16"/>
  <c r="CS25" i="16"/>
  <c r="BM7" i="16"/>
  <c r="BO7" i="16"/>
  <c r="FG25" i="16"/>
  <c r="FE25" i="16"/>
  <c r="DY5" i="16"/>
  <c r="EA5" i="16"/>
  <c r="EA3" i="16"/>
  <c r="DY3" i="16"/>
  <c r="AW23" i="16"/>
  <c r="AY23" i="16"/>
  <c r="DI25" i="16"/>
  <c r="DK25" i="16"/>
  <c r="FW24" i="16"/>
  <c r="FU24" i="16"/>
  <c r="DY24" i="16"/>
  <c r="EA24" i="16"/>
  <c r="EA12" i="16"/>
  <c r="DY12" i="16"/>
  <c r="GM23" i="16"/>
  <c r="GK23" i="16"/>
  <c r="CS16" i="16"/>
  <c r="CU16" i="16"/>
  <c r="AI12" i="16"/>
  <c r="AG12" i="16"/>
  <c r="CS15" i="16"/>
  <c r="CU15" i="16"/>
  <c r="CS8" i="16"/>
  <c r="CU8" i="16"/>
  <c r="GK17" i="16"/>
  <c r="GM17" i="16"/>
  <c r="GK10" i="16"/>
  <c r="GM10" i="16"/>
  <c r="FE19" i="16"/>
  <c r="FG19" i="16"/>
  <c r="BM26" i="16"/>
  <c r="BO26" i="16"/>
  <c r="FE5" i="16"/>
  <c r="FG5" i="16"/>
  <c r="FG3" i="16"/>
  <c r="FE3" i="16"/>
  <c r="AY8" i="16"/>
  <c r="AW8" i="16"/>
  <c r="AY19" i="16"/>
  <c r="AW19" i="16"/>
  <c r="AW10" i="16"/>
  <c r="AY10" i="16"/>
  <c r="AY7" i="16"/>
  <c r="AW7" i="16"/>
  <c r="CE21" i="16"/>
  <c r="CC21" i="16"/>
  <c r="CC9" i="16"/>
  <c r="CE9" i="16"/>
  <c r="CC6" i="16"/>
  <c r="CE6" i="16"/>
  <c r="DK21" i="16"/>
  <c r="DI21" i="16"/>
  <c r="DK14" i="16"/>
  <c r="DI14" i="16"/>
  <c r="DI5" i="16"/>
  <c r="DK5" i="16"/>
  <c r="EQ21" i="16"/>
  <c r="EO21" i="16"/>
  <c r="EO9" i="16"/>
  <c r="EQ9" i="16"/>
  <c r="EO6" i="16"/>
  <c r="EQ6" i="16"/>
  <c r="FW20" i="16"/>
  <c r="FU20" i="16"/>
  <c r="FU9" i="16"/>
  <c r="FW9" i="16"/>
  <c r="FU6" i="16"/>
  <c r="FW6" i="16"/>
  <c r="HC20" i="16"/>
  <c r="HA20" i="16"/>
  <c r="HA10" i="16"/>
  <c r="HC10" i="16"/>
  <c r="HC7" i="16"/>
  <c r="HA7" i="16"/>
  <c r="BM14" i="16"/>
  <c r="BO14" i="16"/>
  <c r="BM8" i="16"/>
  <c r="BO8" i="16"/>
  <c r="DY6" i="16"/>
  <c r="EA6" i="16"/>
  <c r="CU27" i="16"/>
  <c r="CS27" i="16"/>
  <c r="GK6" i="16"/>
  <c r="GM6" i="16"/>
  <c r="BM21" i="16"/>
  <c r="BO21" i="16"/>
  <c r="CC3" i="16"/>
  <c r="CE3" i="16"/>
  <c r="EO17" i="16"/>
  <c r="EQ17" i="16"/>
  <c r="FU3" i="16"/>
  <c r="FW3" i="16"/>
  <c r="DY20" i="16"/>
  <c r="EA20" i="16"/>
  <c r="EA27" i="16"/>
  <c r="DY27" i="16"/>
  <c r="CS18" i="16"/>
  <c r="CU18" i="16"/>
  <c r="AG7" i="16"/>
  <c r="AI7" i="16"/>
  <c r="GM12" i="16"/>
  <c r="GK12" i="16"/>
  <c r="Y29" i="16"/>
  <c r="H2" i="17" s="1"/>
  <c r="K29" i="17" s="1"/>
  <c r="Z17" i="16"/>
  <c r="J17" i="16" s="1"/>
  <c r="CS19" i="16"/>
  <c r="CU19" i="16"/>
  <c r="GM26" i="16"/>
  <c r="GK26" i="16"/>
  <c r="AI4" i="16"/>
  <c r="AG4" i="16"/>
  <c r="AG8" i="16"/>
  <c r="AI8" i="16"/>
  <c r="CU12" i="16"/>
  <c r="CS12" i="16"/>
  <c r="CS9" i="16"/>
  <c r="CU9" i="16"/>
  <c r="DY22" i="16"/>
  <c r="EA22" i="16"/>
  <c r="GK15" i="16"/>
  <c r="GM15" i="16"/>
  <c r="GK2" i="16"/>
  <c r="GM2" i="16"/>
  <c r="GL28" i="16"/>
  <c r="Z20" i="16"/>
  <c r="L20" i="16" s="1"/>
  <c r="BO24" i="16"/>
  <c r="BM24" i="16"/>
  <c r="FE6" i="16"/>
  <c r="FG6" i="16"/>
  <c r="BM18" i="16"/>
  <c r="BO18" i="16"/>
  <c r="AW26" i="16"/>
  <c r="AY26" i="16"/>
  <c r="AY18" i="16"/>
  <c r="AW18" i="16"/>
  <c r="AW2" i="16"/>
  <c r="AY2" i="16"/>
  <c r="AX28" i="16"/>
  <c r="F3" i="16" s="1"/>
  <c r="CC12" i="16"/>
  <c r="CE12" i="16"/>
  <c r="CE20" i="16"/>
  <c r="CC20" i="16"/>
  <c r="CC10" i="16"/>
  <c r="CE10" i="16"/>
  <c r="CE7" i="16"/>
  <c r="CC7" i="16"/>
  <c r="DK20" i="16"/>
  <c r="DI20" i="16"/>
  <c r="DI9" i="16"/>
  <c r="DK9" i="16"/>
  <c r="DI6" i="16"/>
  <c r="DK6" i="16"/>
  <c r="EQ20" i="16"/>
  <c r="EO20" i="16"/>
  <c r="EO10" i="16"/>
  <c r="EQ10" i="16"/>
  <c r="EQ7" i="16"/>
  <c r="EO7" i="16"/>
  <c r="FW19" i="16"/>
  <c r="FU19" i="16"/>
  <c r="FU10" i="16"/>
  <c r="FW10" i="16"/>
  <c r="FW7" i="16"/>
  <c r="FU7" i="16"/>
  <c r="HC19" i="16"/>
  <c r="HA19" i="16"/>
  <c r="HA2" i="16"/>
  <c r="HC2" i="16"/>
  <c r="HB28" i="16"/>
  <c r="GM4" i="16"/>
  <c r="GK4" i="16"/>
  <c r="BO12" i="16"/>
  <c r="BM12" i="16"/>
  <c r="BM9" i="16"/>
  <c r="BO9" i="16"/>
  <c r="DY16" i="16"/>
  <c r="EA16" i="16"/>
  <c r="DY7" i="16"/>
  <c r="EA7" i="16"/>
  <c r="CU11" i="16"/>
  <c r="CS11" i="16"/>
  <c r="FE21" i="16"/>
  <c r="FG21" i="16"/>
  <c r="CC25" i="16"/>
  <c r="CE25" i="16"/>
  <c r="DK11" i="16"/>
  <c r="DI11" i="16"/>
  <c r="HA16" i="16"/>
  <c r="HC16" i="16"/>
  <c r="EA26" i="16"/>
  <c r="DY26" i="16"/>
  <c r="CS20" i="16"/>
  <c r="CU20" i="16"/>
  <c r="AI27" i="16"/>
  <c r="AG27" i="16"/>
  <c r="AG15" i="16"/>
  <c r="AI15" i="16"/>
  <c r="AG9" i="16"/>
  <c r="AI9" i="16"/>
  <c r="EA25" i="16"/>
  <c r="DY25" i="16"/>
  <c r="CU4" i="16"/>
  <c r="CS4" i="16"/>
  <c r="CS10" i="16"/>
  <c r="CU10" i="16"/>
  <c r="FE23" i="16"/>
  <c r="FG23" i="16"/>
  <c r="GK13" i="16"/>
  <c r="GM13" i="16"/>
  <c r="GM11" i="16"/>
  <c r="GK11" i="16"/>
  <c r="FE20" i="16"/>
  <c r="FG20" i="16"/>
  <c r="FE14" i="16"/>
  <c r="FG14" i="16"/>
  <c r="FE7" i="16"/>
  <c r="FG7" i="16"/>
  <c r="BM19" i="16"/>
  <c r="BO19" i="16"/>
  <c r="AY25" i="16"/>
  <c r="AW25" i="16"/>
  <c r="AW12" i="16"/>
  <c r="AY12" i="16"/>
  <c r="AY11" i="16"/>
  <c r="AW11" i="16"/>
  <c r="CE8" i="16"/>
  <c r="CC8" i="16"/>
  <c r="CE19" i="16"/>
  <c r="CC19" i="16"/>
  <c r="CC2" i="16"/>
  <c r="CE2" i="16"/>
  <c r="CD28" i="16"/>
  <c r="F5" i="16" s="1"/>
  <c r="DK8" i="16"/>
  <c r="DI8" i="16"/>
  <c r="DK19" i="16"/>
  <c r="DI19" i="16"/>
  <c r="DI10" i="16"/>
  <c r="DK10" i="16"/>
  <c r="DK7" i="16"/>
  <c r="DI7" i="16"/>
  <c r="EQ19" i="16"/>
  <c r="EO19" i="16"/>
  <c r="EO2" i="16"/>
  <c r="EQ2" i="16"/>
  <c r="EP28" i="16"/>
  <c r="F9" i="16" s="1"/>
  <c r="FW8" i="16"/>
  <c r="FU8" i="16"/>
  <c r="FW18" i="16"/>
  <c r="FU18" i="16"/>
  <c r="FU2" i="16"/>
  <c r="FW2" i="16"/>
  <c r="FV28" i="16"/>
  <c r="HA12" i="16"/>
  <c r="HC12" i="16"/>
  <c r="HC18" i="16"/>
  <c r="HA18" i="16"/>
  <c r="HC11" i="16"/>
  <c r="HA11" i="16"/>
  <c r="FE17" i="16"/>
  <c r="FG17" i="16"/>
  <c r="BO4" i="16"/>
  <c r="BM4" i="16"/>
  <c r="BM10" i="16"/>
  <c r="BO10" i="16"/>
  <c r="DY18" i="16"/>
  <c r="EA18" i="16"/>
  <c r="GK19" i="16"/>
  <c r="GM19" i="16"/>
  <c r="DY8" i="16"/>
  <c r="EA8" i="16"/>
  <c r="AG2" i="16"/>
  <c r="AI2" i="16"/>
  <c r="AH28" i="16"/>
  <c r="F2" i="16" s="1"/>
  <c r="EO3" i="16"/>
  <c r="EQ3" i="16"/>
  <c r="HA4" i="16"/>
  <c r="HC4" i="16"/>
  <c r="DY10" i="16"/>
  <c r="EA10" i="16"/>
  <c r="AG13" i="16"/>
  <c r="AI13" i="16"/>
  <c r="AG6" i="16"/>
  <c r="AI6" i="16"/>
  <c r="FG26" i="16"/>
  <c r="FE26" i="16"/>
  <c r="CS21" i="16"/>
  <c r="CU21" i="16"/>
  <c r="BO27" i="16"/>
  <c r="BM27" i="16"/>
  <c r="AI17" i="16"/>
  <c r="AG17" i="16"/>
  <c r="AG10" i="16"/>
  <c r="AI10" i="16"/>
  <c r="EA4" i="16"/>
  <c r="DY4" i="16"/>
  <c r="CS14" i="16"/>
  <c r="CU14" i="16"/>
  <c r="CS2" i="16"/>
  <c r="CU2" i="16"/>
  <c r="CT28" i="16"/>
  <c r="F6" i="16" s="1"/>
  <c r="BO16" i="16"/>
  <c r="BM16" i="16"/>
  <c r="GK5" i="16"/>
  <c r="GM5" i="16"/>
  <c r="GM3" i="16"/>
  <c r="GK3" i="16"/>
  <c r="Z21" i="16"/>
  <c r="L21" i="16" s="1"/>
  <c r="FG12" i="16"/>
  <c r="FE12" i="16"/>
  <c r="FE8" i="16"/>
  <c r="FG8" i="16"/>
  <c r="BM20" i="16"/>
  <c r="BO20" i="16"/>
  <c r="AW24" i="16"/>
  <c r="AY24" i="16"/>
  <c r="AW17" i="16"/>
  <c r="AY17" i="16"/>
  <c r="AW3" i="16"/>
  <c r="AY3" i="16"/>
  <c r="CE26" i="16"/>
  <c r="CC26" i="16"/>
  <c r="CE18" i="16"/>
  <c r="CC18" i="16"/>
  <c r="CE11" i="16"/>
  <c r="CC11" i="16"/>
  <c r="DI26" i="16"/>
  <c r="DK26" i="16"/>
  <c r="DK18" i="16"/>
  <c r="DI18" i="16"/>
  <c r="DI2" i="16"/>
  <c r="DK2" i="16"/>
  <c r="DJ28" i="16"/>
  <c r="F7" i="16" s="1"/>
  <c r="EO12" i="16"/>
  <c r="EQ12" i="16"/>
  <c r="EQ18" i="16"/>
  <c r="EO18" i="16"/>
  <c r="EQ11" i="16"/>
  <c r="EO11" i="16"/>
  <c r="FU25" i="16"/>
  <c r="FW25" i="16"/>
  <c r="FW17" i="16"/>
  <c r="FU17" i="16"/>
  <c r="FW11" i="16"/>
  <c r="FU11" i="16"/>
  <c r="HC25" i="16"/>
  <c r="HA25" i="16"/>
  <c r="HC17" i="16"/>
  <c r="HA17" i="16"/>
  <c r="HA3" i="16"/>
  <c r="HC3" i="16"/>
  <c r="BO23" i="16"/>
  <c r="BM23" i="16"/>
  <c r="BM15" i="16"/>
  <c r="BO15" i="16"/>
  <c r="BM2" i="16"/>
  <c r="BO2" i="16"/>
  <c r="BN28" i="16"/>
  <c r="F4" i="16" s="1"/>
  <c r="DY19" i="16"/>
  <c r="EA19" i="16"/>
  <c r="DY15" i="16"/>
  <c r="EA15" i="16"/>
  <c r="DY9" i="16"/>
  <c r="EA9" i="16"/>
  <c r="T24" i="16" l="1"/>
  <c r="T25" i="16"/>
  <c r="T23" i="16"/>
  <c r="FG28" i="16"/>
  <c r="S25" i="16" s="1"/>
  <c r="Q25" i="16" s="1"/>
  <c r="J10" i="16" s="1"/>
  <c r="K10" i="16" s="1"/>
  <c r="EQ28" i="16"/>
  <c r="S24" i="16" s="1"/>
  <c r="Q24" i="16" s="1"/>
  <c r="J9" i="16" s="1"/>
  <c r="K9" i="16" s="1"/>
  <c r="FW28" i="16"/>
  <c r="GC29" i="16" s="1"/>
  <c r="GD29" i="16" s="1" a="1"/>
  <c r="GD29" i="16" s="1"/>
  <c r="GM28" i="16"/>
  <c r="GS29" i="16" s="1"/>
  <c r="GT29" i="16" s="1" a="1"/>
  <c r="GT29" i="16" s="1"/>
  <c r="HC28" i="16"/>
  <c r="HI29" i="16" s="1"/>
  <c r="HJ29" i="16" s="1" a="1"/>
  <c r="HJ29" i="16" s="1"/>
  <c r="EA28" i="16"/>
  <c r="S23" i="16" s="1"/>
  <c r="Q23" i="16" s="1"/>
  <c r="DK28" i="16"/>
  <c r="CE28" i="16"/>
  <c r="BO28" i="16"/>
  <c r="AY28" i="16"/>
  <c r="CU28" i="16"/>
  <c r="AI28" i="16"/>
  <c r="S17" i="16" s="1"/>
  <c r="Q17" i="16" s="1"/>
  <c r="T17" i="16"/>
  <c r="T22" i="16"/>
  <c r="T20" i="16"/>
  <c r="T19" i="16"/>
  <c r="T18" i="16"/>
  <c r="R29" i="16"/>
  <c r="FE28" i="16"/>
  <c r="AG28" i="16"/>
  <c r="J22" i="16"/>
  <c r="CC28" i="16"/>
  <c r="GK28" i="16"/>
  <c r="AW28" i="16"/>
  <c r="L17" i="16"/>
  <c r="Z29" i="16"/>
  <c r="L29" i="16" s="1"/>
  <c r="DY28" i="16"/>
  <c r="M22" i="16"/>
  <c r="K22" i="16"/>
  <c r="BM28" i="16"/>
  <c r="J21" i="16"/>
  <c r="HA28" i="16"/>
  <c r="J30" i="16"/>
  <c r="J19" i="16"/>
  <c r="DI28" i="16"/>
  <c r="M19" i="16"/>
  <c r="K19" i="16"/>
  <c r="M21" i="16"/>
  <c r="K21" i="16"/>
  <c r="EO28" i="16"/>
  <c r="CS28" i="16"/>
  <c r="FU28" i="16"/>
  <c r="J20" i="16"/>
  <c r="K20" i="16"/>
  <c r="M20" i="16"/>
  <c r="M10" i="16" l="1"/>
  <c r="M9" i="16"/>
  <c r="J8" i="16"/>
  <c r="K8" i="16" s="1"/>
  <c r="FM29" i="16"/>
  <c r="FN29" i="16" s="1" a="1"/>
  <c r="FN29" i="16" s="1"/>
  <c r="EW29" i="16"/>
  <c r="EX29" i="16" s="1" a="1"/>
  <c r="EX29" i="16" s="1"/>
  <c r="EG29" i="16"/>
  <c r="EH29" i="16" s="1" a="1"/>
  <c r="EH29" i="16" s="1"/>
  <c r="AO29" i="16"/>
  <c r="AP29" i="16" s="1"/>
  <c r="U25" i="16"/>
  <c r="J29" i="16"/>
  <c r="K29" i="16"/>
  <c r="M29" i="16"/>
  <c r="S21" i="16"/>
  <c r="Q21" i="16" s="1"/>
  <c r="DA29" i="16"/>
  <c r="DB29" i="16" s="1" a="1"/>
  <c r="DB29" i="16" s="1"/>
  <c r="S22" i="16"/>
  <c r="Q22" i="16" s="1"/>
  <c r="DQ29" i="16"/>
  <c r="DR29" i="16" s="1" a="1"/>
  <c r="DR29" i="16" s="1"/>
  <c r="S20" i="16"/>
  <c r="Q20" i="16" s="1"/>
  <c r="CK29" i="16"/>
  <c r="CL29" i="16" s="1" a="1"/>
  <c r="CL29" i="16" s="1"/>
  <c r="S18" i="16"/>
  <c r="Q18" i="16" s="1"/>
  <c r="BE29" i="16"/>
  <c r="BF29" i="16" s="1" a="1"/>
  <c r="BF29" i="16" s="1"/>
  <c r="K17" i="16"/>
  <c r="M17" i="16"/>
  <c r="S19" i="16"/>
  <c r="Q19" i="16" s="1"/>
  <c r="BU29" i="16"/>
  <c r="BV29" i="16" s="1" a="1"/>
  <c r="BV29" i="16" s="1"/>
  <c r="M8" i="16" l="1"/>
  <c r="U23" i="16"/>
  <c r="U24" i="16"/>
  <c r="U17" i="16"/>
  <c r="J4" i="16"/>
  <c r="K4" i="16" s="1"/>
  <c r="U19" i="16"/>
  <c r="J7" i="16"/>
  <c r="K7" i="16" s="1"/>
  <c r="U22" i="16"/>
  <c r="S29" i="16"/>
  <c r="J6" i="16"/>
  <c r="K6" i="16" s="1"/>
  <c r="J3" i="16"/>
  <c r="K3" i="16" s="1"/>
  <c r="U18" i="16"/>
  <c r="J2" i="16"/>
  <c r="K2" i="16" s="1"/>
  <c r="Q29" i="16"/>
  <c r="J5" i="16"/>
  <c r="K5" i="16" s="1"/>
  <c r="U20" i="16"/>
  <c r="M6" i="16" l="1"/>
  <c r="M7" i="16"/>
  <c r="M3" i="16"/>
  <c r="M5" i="16"/>
  <c r="M4" i="16"/>
  <c r="J14" i="16"/>
  <c r="D14" i="16" l="1"/>
  <c r="F14" i="16"/>
  <c r="H14" i="16"/>
  <c r="M2" i="16"/>
  <c r="K14" i="16"/>
  <c r="F13" i="17" l="1"/>
  <c r="F12" i="17"/>
  <c r="F11" i="17"/>
  <c r="F10" i="17"/>
  <c r="F9" i="17"/>
  <c r="F8" i="17"/>
  <c r="F7" i="17"/>
  <c r="F6" i="17"/>
  <c r="F5" i="17"/>
  <c r="F4" i="17"/>
  <c r="F3" i="17"/>
  <c r="AA17" i="17" l="1"/>
  <c r="AA9" i="17"/>
  <c r="AA14" i="17"/>
  <c r="AA18" i="17"/>
  <c r="AA12" i="17"/>
  <c r="AA8" i="17"/>
  <c r="AA11" i="17"/>
  <c r="AA10" i="17"/>
  <c r="AA16" i="17"/>
  <c r="AA15" i="17"/>
  <c r="AA13" i="17"/>
  <c r="AF199" i="4"/>
  <c r="AG199" i="4"/>
  <c r="AH199" i="4"/>
  <c r="AI199" i="4"/>
  <c r="AF200" i="4"/>
  <c r="AG200" i="4"/>
  <c r="AH200" i="4"/>
  <c r="AI200" i="4"/>
  <c r="AF201" i="4"/>
  <c r="AG201" i="4"/>
  <c r="AH201" i="4"/>
  <c r="AI201" i="4"/>
  <c r="AF202" i="4"/>
  <c r="AG202" i="4"/>
  <c r="AH202" i="4"/>
  <c r="AI202" i="4"/>
  <c r="AF203" i="4"/>
  <c r="AG203" i="4"/>
  <c r="AH203" i="4"/>
  <c r="AI203" i="4"/>
  <c r="AF204" i="4"/>
  <c r="AG204" i="4"/>
  <c r="AH204" i="4"/>
  <c r="AI204" i="4"/>
  <c r="AF205" i="4"/>
  <c r="AG205" i="4"/>
  <c r="AH205" i="4"/>
  <c r="AI205" i="4"/>
  <c r="AF206" i="4"/>
  <c r="AG206" i="4"/>
  <c r="AH206" i="4"/>
  <c r="AI206" i="4"/>
  <c r="AF207" i="4"/>
  <c r="AG207" i="4"/>
  <c r="AH207" i="4"/>
  <c r="AI207" i="4"/>
  <c r="AF208" i="4"/>
  <c r="AG208" i="4"/>
  <c r="AH208" i="4"/>
  <c r="AI208" i="4"/>
  <c r="AF209" i="4"/>
  <c r="AG209" i="4"/>
  <c r="AH209" i="4"/>
  <c r="AI209" i="4"/>
  <c r="AF210" i="4"/>
  <c r="AG210" i="4"/>
  <c r="AH210" i="4"/>
  <c r="AI210" i="4"/>
  <c r="AF211" i="4"/>
  <c r="AG211" i="4"/>
  <c r="AH211" i="4"/>
  <c r="AI211" i="4"/>
  <c r="AF212" i="4"/>
  <c r="AG212" i="4"/>
  <c r="AH212" i="4"/>
  <c r="AI212" i="4"/>
  <c r="AF213" i="4"/>
  <c r="AG213" i="4"/>
  <c r="AH213" i="4"/>
  <c r="AI213" i="4"/>
  <c r="AF214" i="4"/>
  <c r="AG214" i="4"/>
  <c r="AH214" i="4"/>
  <c r="AI214" i="4"/>
  <c r="AF215" i="4"/>
  <c r="AG215" i="4"/>
  <c r="AH215" i="4"/>
  <c r="AI215" i="4"/>
  <c r="AF216" i="4"/>
  <c r="AG216" i="4"/>
  <c r="AH216" i="4"/>
  <c r="AI216" i="4"/>
  <c r="AF217" i="4"/>
  <c r="AG217" i="4"/>
  <c r="AH217" i="4"/>
  <c r="AI217" i="4"/>
  <c r="AF218" i="4"/>
  <c r="AG218" i="4"/>
  <c r="AH218" i="4"/>
  <c r="AI218" i="4"/>
  <c r="AF219" i="4"/>
  <c r="AG219" i="4"/>
  <c r="AH219" i="4"/>
  <c r="AI219" i="4"/>
  <c r="AF220" i="4"/>
  <c r="AG220" i="4"/>
  <c r="AH220" i="4"/>
  <c r="AI220" i="4"/>
  <c r="AF221" i="4"/>
  <c r="AG221" i="4"/>
  <c r="AH221" i="4"/>
  <c r="AI221" i="4"/>
  <c r="AF222" i="4"/>
  <c r="AG222" i="4"/>
  <c r="AH222" i="4"/>
  <c r="AI222" i="4"/>
  <c r="AF223" i="4"/>
  <c r="AG223" i="4"/>
  <c r="AH223" i="4"/>
  <c r="AI223" i="4"/>
  <c r="AF224" i="4"/>
  <c r="AG224" i="4"/>
  <c r="AH224" i="4"/>
  <c r="AI224" i="4"/>
  <c r="AF225" i="4"/>
  <c r="AG225" i="4"/>
  <c r="AH225" i="4"/>
  <c r="AI225" i="4"/>
  <c r="AF226" i="4"/>
  <c r="AG226" i="4"/>
  <c r="AH226" i="4"/>
  <c r="AI226" i="4"/>
  <c r="AF227" i="4"/>
  <c r="AG227" i="4"/>
  <c r="AH227" i="4"/>
  <c r="AI227" i="4"/>
  <c r="AF228" i="4"/>
  <c r="AG228" i="4"/>
  <c r="AH228" i="4"/>
  <c r="AI228" i="4"/>
  <c r="AF229" i="4"/>
  <c r="AG229" i="4"/>
  <c r="AH229" i="4"/>
  <c r="AI229" i="4"/>
  <c r="AF230" i="4"/>
  <c r="AG230" i="4"/>
  <c r="AH230" i="4"/>
  <c r="AI230" i="4"/>
  <c r="AF231" i="4"/>
  <c r="AG231" i="4"/>
  <c r="AH231" i="4"/>
  <c r="AI231" i="4"/>
  <c r="AF232" i="4"/>
  <c r="AG232" i="4"/>
  <c r="AH232" i="4"/>
  <c r="AI232" i="4"/>
  <c r="AF233" i="4"/>
  <c r="AG233" i="4"/>
  <c r="AH233" i="4"/>
  <c r="AI233" i="4"/>
  <c r="AF234" i="4"/>
  <c r="AG234" i="4"/>
  <c r="AH234" i="4"/>
  <c r="AI234" i="4"/>
  <c r="AF235" i="4"/>
  <c r="AG235" i="4"/>
  <c r="AH235" i="4"/>
  <c r="AI235" i="4"/>
  <c r="AF236" i="4"/>
  <c r="AG236" i="4"/>
  <c r="AH236" i="4"/>
  <c r="AI236" i="4"/>
  <c r="AF237" i="4"/>
  <c r="AG237" i="4"/>
  <c r="AH237" i="4"/>
  <c r="AI237" i="4"/>
  <c r="AF238" i="4"/>
  <c r="AG238" i="4"/>
  <c r="AH238" i="4"/>
  <c r="AI238" i="4"/>
  <c r="AF239" i="4"/>
  <c r="AG239" i="4"/>
  <c r="AH239" i="4"/>
  <c r="AI239" i="4"/>
  <c r="AF240" i="4"/>
  <c r="AG240" i="4"/>
  <c r="AH240" i="4"/>
  <c r="AI240" i="4"/>
  <c r="AF241" i="4"/>
  <c r="AG241" i="4"/>
  <c r="AH241" i="4"/>
  <c r="AI241" i="4"/>
  <c r="AF242" i="4"/>
  <c r="AG242" i="4"/>
  <c r="AH242" i="4"/>
  <c r="AI242" i="4"/>
  <c r="AF243" i="4"/>
  <c r="AG243" i="4"/>
  <c r="AH243" i="4"/>
  <c r="AI243" i="4"/>
  <c r="AF244" i="4"/>
  <c r="AG244" i="4"/>
  <c r="AH244" i="4"/>
  <c r="AI244" i="4"/>
  <c r="AF245" i="4"/>
  <c r="AG245" i="4"/>
  <c r="AH245" i="4"/>
  <c r="AI245" i="4"/>
  <c r="AF246" i="4"/>
  <c r="AG246" i="4"/>
  <c r="AH246" i="4"/>
  <c r="AI246" i="4"/>
  <c r="AF247" i="4"/>
  <c r="AG247" i="4"/>
  <c r="AH247" i="4"/>
  <c r="AI247" i="4"/>
  <c r="AF248" i="4"/>
  <c r="AG248" i="4"/>
  <c r="AH248" i="4"/>
  <c r="AI248" i="4"/>
  <c r="AF249" i="4"/>
  <c r="AG249" i="4"/>
  <c r="AH249" i="4"/>
  <c r="AI249" i="4"/>
  <c r="AF250" i="4"/>
  <c r="AG250" i="4"/>
  <c r="AH250" i="4"/>
  <c r="AI250" i="4"/>
  <c r="AF251" i="4"/>
  <c r="AG251" i="4"/>
  <c r="AH251" i="4"/>
  <c r="AI251" i="4"/>
  <c r="AF252" i="4"/>
  <c r="AG252" i="4"/>
  <c r="AH252" i="4"/>
  <c r="AI252" i="4"/>
  <c r="AF253" i="4"/>
  <c r="AG253" i="4"/>
  <c r="AH253" i="4"/>
  <c r="AI253" i="4"/>
  <c r="AF254" i="4"/>
  <c r="AG254" i="4"/>
  <c r="AH254" i="4"/>
  <c r="AI254" i="4"/>
  <c r="AF255" i="4"/>
  <c r="AG255" i="4"/>
  <c r="AH255" i="4"/>
  <c r="AI255" i="4"/>
  <c r="AF256" i="4"/>
  <c r="AG256" i="4"/>
  <c r="AH256" i="4"/>
  <c r="AI256" i="4"/>
  <c r="AG198" i="4"/>
  <c r="AH198" i="4"/>
  <c r="AI198" i="4"/>
  <c r="AF198" i="4"/>
  <c r="AF180" i="4"/>
  <c r="AG180" i="4"/>
  <c r="AH180" i="4"/>
  <c r="AI180" i="4"/>
  <c r="AF181" i="4"/>
  <c r="AG181" i="4"/>
  <c r="AH181" i="4"/>
  <c r="AI181" i="4"/>
  <c r="AF182" i="4"/>
  <c r="AG182" i="4"/>
  <c r="AH182" i="4"/>
  <c r="AI182" i="4"/>
  <c r="AF183" i="4"/>
  <c r="AG183" i="4"/>
  <c r="AH183" i="4"/>
  <c r="AI183" i="4"/>
  <c r="AF184" i="4"/>
  <c r="AG184" i="4"/>
  <c r="AH184" i="4"/>
  <c r="AI184" i="4"/>
  <c r="AF185" i="4"/>
  <c r="AG185" i="4"/>
  <c r="AH185" i="4"/>
  <c r="AI185" i="4"/>
  <c r="AF186" i="4"/>
  <c r="AG186" i="4"/>
  <c r="AH186" i="4"/>
  <c r="AI186" i="4"/>
  <c r="AF187" i="4"/>
  <c r="AG187" i="4"/>
  <c r="AH187" i="4"/>
  <c r="AI187" i="4"/>
  <c r="AF188" i="4"/>
  <c r="AG188" i="4"/>
  <c r="AH188" i="4"/>
  <c r="AI188" i="4"/>
  <c r="AF189" i="4"/>
  <c r="AG189" i="4"/>
  <c r="AH189" i="4"/>
  <c r="AI189" i="4"/>
  <c r="AF190" i="4"/>
  <c r="AG190" i="4"/>
  <c r="AH190" i="4"/>
  <c r="AI190" i="4"/>
  <c r="AF191" i="4"/>
  <c r="AG191" i="4"/>
  <c r="AH191" i="4"/>
  <c r="AI191" i="4"/>
  <c r="AF192" i="4"/>
  <c r="AG192" i="4"/>
  <c r="AH192" i="4"/>
  <c r="AI192" i="4"/>
  <c r="AF193" i="4"/>
  <c r="AG193" i="4"/>
  <c r="AH193" i="4"/>
  <c r="AI193" i="4"/>
  <c r="AF194" i="4"/>
  <c r="AG194" i="4"/>
  <c r="AH194" i="4"/>
  <c r="AI194" i="4"/>
  <c r="AF195" i="4"/>
  <c r="AG195" i="4"/>
  <c r="AH195" i="4"/>
  <c r="AI195" i="4"/>
  <c r="AF196" i="4"/>
  <c r="AG196" i="4"/>
  <c r="AH196" i="4"/>
  <c r="AI196" i="4"/>
  <c r="AF197" i="4"/>
  <c r="AG197" i="4"/>
  <c r="AH197" i="4"/>
  <c r="AI197" i="4"/>
  <c r="AG179" i="4"/>
  <c r="AH179" i="4"/>
  <c r="AI179" i="4"/>
  <c r="AF179" i="4"/>
  <c r="AF161" i="4"/>
  <c r="AG161" i="4"/>
  <c r="AH161" i="4"/>
  <c r="AI161" i="4"/>
  <c r="AF162" i="4"/>
  <c r="AG162" i="4"/>
  <c r="AH162" i="4"/>
  <c r="AI162" i="4"/>
  <c r="AF163" i="4"/>
  <c r="AG163" i="4"/>
  <c r="AH163" i="4"/>
  <c r="AI163" i="4"/>
  <c r="AF164" i="4"/>
  <c r="AG164" i="4"/>
  <c r="AH164" i="4"/>
  <c r="AI164" i="4"/>
  <c r="AF165" i="4"/>
  <c r="AG165" i="4"/>
  <c r="AH165" i="4"/>
  <c r="AI165" i="4"/>
  <c r="AF166" i="4"/>
  <c r="AG166" i="4"/>
  <c r="AH166" i="4"/>
  <c r="AI166" i="4"/>
  <c r="AF167" i="4"/>
  <c r="AG167" i="4"/>
  <c r="AH167" i="4"/>
  <c r="AI167" i="4"/>
  <c r="AF168" i="4"/>
  <c r="AG168" i="4"/>
  <c r="AH168" i="4"/>
  <c r="AI168" i="4"/>
  <c r="AF169" i="4"/>
  <c r="AG169" i="4"/>
  <c r="AH169" i="4"/>
  <c r="AI169" i="4"/>
  <c r="AF170" i="4"/>
  <c r="AG170" i="4"/>
  <c r="AH170" i="4"/>
  <c r="AI170" i="4"/>
  <c r="AF171" i="4"/>
  <c r="AG171" i="4"/>
  <c r="AH171" i="4"/>
  <c r="AI171" i="4"/>
  <c r="AF172" i="4"/>
  <c r="AG172" i="4"/>
  <c r="AH172" i="4"/>
  <c r="AI172" i="4"/>
  <c r="AF173" i="4"/>
  <c r="AG173" i="4"/>
  <c r="AH173" i="4"/>
  <c r="AI173" i="4"/>
  <c r="AF174" i="4"/>
  <c r="AG174" i="4"/>
  <c r="AH174" i="4"/>
  <c r="AI174" i="4"/>
  <c r="AF175" i="4"/>
  <c r="AG175" i="4"/>
  <c r="AH175" i="4"/>
  <c r="AI175" i="4"/>
  <c r="AF176" i="4"/>
  <c r="AG176" i="4"/>
  <c r="AH176" i="4"/>
  <c r="AI176" i="4"/>
  <c r="AF177" i="4"/>
  <c r="AG177" i="4"/>
  <c r="AH177" i="4"/>
  <c r="AI177" i="4"/>
  <c r="AF178" i="4"/>
  <c r="AG178" i="4"/>
  <c r="AH178" i="4"/>
  <c r="AI178" i="4"/>
  <c r="AG160" i="4"/>
  <c r="AH160" i="4"/>
  <c r="AI160" i="4"/>
  <c r="AF160" i="4"/>
  <c r="AF122" i="4"/>
  <c r="AG122" i="4"/>
  <c r="AH122" i="4"/>
  <c r="AI122" i="4"/>
  <c r="AF123" i="4"/>
  <c r="AG123" i="4"/>
  <c r="AH123" i="4"/>
  <c r="AI123" i="4"/>
  <c r="AF124" i="4"/>
  <c r="AG124" i="4"/>
  <c r="AH124" i="4"/>
  <c r="AI124" i="4"/>
  <c r="AF125" i="4"/>
  <c r="AG125" i="4"/>
  <c r="AH125" i="4"/>
  <c r="AI125" i="4"/>
  <c r="AF126" i="4"/>
  <c r="AG126" i="4"/>
  <c r="AH126" i="4"/>
  <c r="AI126" i="4"/>
  <c r="AF127" i="4"/>
  <c r="AG127" i="4"/>
  <c r="AH127" i="4"/>
  <c r="AI127" i="4"/>
  <c r="AF128" i="4"/>
  <c r="AG128" i="4"/>
  <c r="AH128" i="4"/>
  <c r="AI128" i="4"/>
  <c r="AF129" i="4"/>
  <c r="AG129" i="4"/>
  <c r="AH129" i="4"/>
  <c r="AI129" i="4"/>
  <c r="AF130" i="4"/>
  <c r="AG130" i="4"/>
  <c r="AH130" i="4"/>
  <c r="AI130" i="4"/>
  <c r="AF131" i="4"/>
  <c r="AG131" i="4"/>
  <c r="AH131" i="4"/>
  <c r="AI131" i="4"/>
  <c r="AF132" i="4"/>
  <c r="AG132" i="4"/>
  <c r="AH132" i="4"/>
  <c r="AI132" i="4"/>
  <c r="AF133" i="4"/>
  <c r="AG133" i="4"/>
  <c r="AH133" i="4"/>
  <c r="AI133" i="4"/>
  <c r="AF134" i="4"/>
  <c r="AG134" i="4"/>
  <c r="AH134" i="4"/>
  <c r="AI134" i="4"/>
  <c r="AF135" i="4"/>
  <c r="AG135" i="4"/>
  <c r="AH135" i="4"/>
  <c r="AI135" i="4"/>
  <c r="AF136" i="4"/>
  <c r="AG136" i="4"/>
  <c r="AH136" i="4"/>
  <c r="AI136" i="4"/>
  <c r="AF137" i="4"/>
  <c r="AG137" i="4"/>
  <c r="AH137" i="4"/>
  <c r="AI137" i="4"/>
  <c r="AF138" i="4"/>
  <c r="AG138" i="4"/>
  <c r="AH138" i="4"/>
  <c r="AI138" i="4"/>
  <c r="AF139" i="4"/>
  <c r="AG139" i="4"/>
  <c r="AH139" i="4"/>
  <c r="AI139" i="4"/>
  <c r="AF140" i="4"/>
  <c r="AG140" i="4"/>
  <c r="AH140" i="4"/>
  <c r="AI140" i="4"/>
  <c r="AF141" i="4"/>
  <c r="AG141" i="4"/>
  <c r="AH141" i="4"/>
  <c r="AI141" i="4"/>
  <c r="AF142" i="4"/>
  <c r="AG142" i="4"/>
  <c r="AH142" i="4"/>
  <c r="AI142" i="4"/>
  <c r="AF143" i="4"/>
  <c r="AG143" i="4"/>
  <c r="AH143" i="4"/>
  <c r="AI143" i="4"/>
  <c r="AF144" i="4"/>
  <c r="AG144" i="4"/>
  <c r="AH144" i="4"/>
  <c r="AI144" i="4"/>
  <c r="AF145" i="4"/>
  <c r="AG145" i="4"/>
  <c r="AH145" i="4"/>
  <c r="AI145" i="4"/>
  <c r="AF146" i="4"/>
  <c r="AG146" i="4"/>
  <c r="AH146" i="4"/>
  <c r="AI146" i="4"/>
  <c r="AF147" i="4"/>
  <c r="AG147" i="4"/>
  <c r="AH147" i="4"/>
  <c r="AI147" i="4"/>
  <c r="AF148" i="4"/>
  <c r="AG148" i="4"/>
  <c r="AH148" i="4"/>
  <c r="AI148" i="4"/>
  <c r="AF149" i="4"/>
  <c r="AG149" i="4"/>
  <c r="AH149" i="4"/>
  <c r="AI149" i="4"/>
  <c r="AF150" i="4"/>
  <c r="AG150" i="4"/>
  <c r="AH150" i="4"/>
  <c r="AI150" i="4"/>
  <c r="AF151" i="4"/>
  <c r="AG151" i="4"/>
  <c r="AH151" i="4"/>
  <c r="AI151" i="4"/>
  <c r="AF152" i="4"/>
  <c r="AG152" i="4"/>
  <c r="AH152" i="4"/>
  <c r="AI152" i="4"/>
  <c r="AF153" i="4"/>
  <c r="AG153" i="4"/>
  <c r="AH153" i="4"/>
  <c r="AI153" i="4"/>
  <c r="AF154" i="4"/>
  <c r="AG154" i="4"/>
  <c r="AH154" i="4"/>
  <c r="AI154" i="4"/>
  <c r="AF155" i="4"/>
  <c r="AG155" i="4"/>
  <c r="AH155" i="4"/>
  <c r="AI155" i="4"/>
  <c r="AF156" i="4"/>
  <c r="AG156" i="4"/>
  <c r="AH156" i="4"/>
  <c r="AI156" i="4"/>
  <c r="AF157" i="4"/>
  <c r="AG157" i="4"/>
  <c r="AH157" i="4"/>
  <c r="AI157" i="4"/>
  <c r="AF158" i="4"/>
  <c r="AG158" i="4"/>
  <c r="AH158" i="4"/>
  <c r="AI158" i="4"/>
  <c r="AF159" i="4"/>
  <c r="AG159" i="4"/>
  <c r="AH159" i="4"/>
  <c r="AI159" i="4"/>
  <c r="AG121" i="4"/>
  <c r="AH121" i="4"/>
  <c r="AI121" i="4"/>
  <c r="AF121" i="4"/>
  <c r="AF4" i="4"/>
  <c r="AG4" i="4"/>
  <c r="AH4" i="4"/>
  <c r="AI4" i="4"/>
  <c r="AF5" i="4"/>
  <c r="AG5" i="4"/>
  <c r="AH5" i="4"/>
  <c r="AI5" i="4"/>
  <c r="AF6" i="4"/>
  <c r="AG6" i="4"/>
  <c r="AH6" i="4"/>
  <c r="AI6" i="4"/>
  <c r="AF7" i="4"/>
  <c r="AG7" i="4"/>
  <c r="AH7" i="4"/>
  <c r="AI7" i="4"/>
  <c r="AF8" i="4"/>
  <c r="AG8" i="4"/>
  <c r="AH8" i="4"/>
  <c r="AI8" i="4"/>
  <c r="AF9" i="4"/>
  <c r="AG9" i="4"/>
  <c r="AH9" i="4"/>
  <c r="AI9" i="4"/>
  <c r="AF10" i="4"/>
  <c r="AG10" i="4"/>
  <c r="AH10" i="4"/>
  <c r="AI10" i="4"/>
  <c r="AF11" i="4"/>
  <c r="AG11" i="4"/>
  <c r="AH11" i="4"/>
  <c r="AI11" i="4"/>
  <c r="AF12" i="4"/>
  <c r="AG12" i="4"/>
  <c r="AH12" i="4"/>
  <c r="AI12" i="4"/>
  <c r="AF13" i="4"/>
  <c r="AG13" i="4"/>
  <c r="AH13" i="4"/>
  <c r="AI13" i="4"/>
  <c r="AF14" i="4"/>
  <c r="AG14" i="4"/>
  <c r="AH14" i="4"/>
  <c r="AI14" i="4"/>
  <c r="AF15" i="4"/>
  <c r="AG15" i="4"/>
  <c r="AH15" i="4"/>
  <c r="AI15" i="4"/>
  <c r="AF16" i="4"/>
  <c r="AG16" i="4"/>
  <c r="AH16" i="4"/>
  <c r="AI16" i="4"/>
  <c r="AF17" i="4"/>
  <c r="AG17" i="4"/>
  <c r="AH17" i="4"/>
  <c r="AI17" i="4"/>
  <c r="AF18" i="4"/>
  <c r="AG18" i="4"/>
  <c r="AH18" i="4"/>
  <c r="AI18" i="4"/>
  <c r="AF19" i="4"/>
  <c r="AG19" i="4"/>
  <c r="AH19" i="4"/>
  <c r="AI19" i="4"/>
  <c r="AF20" i="4"/>
  <c r="AG20" i="4"/>
  <c r="AH20" i="4"/>
  <c r="AI20" i="4"/>
  <c r="AF21" i="4"/>
  <c r="AG21" i="4"/>
  <c r="AH21" i="4"/>
  <c r="AI21" i="4"/>
  <c r="AF22" i="4"/>
  <c r="AG22" i="4"/>
  <c r="AH22" i="4"/>
  <c r="AI22" i="4"/>
  <c r="AF23" i="4"/>
  <c r="AG23" i="4"/>
  <c r="AH23" i="4"/>
  <c r="AI23" i="4"/>
  <c r="AF24" i="4"/>
  <c r="AG24" i="4"/>
  <c r="AH24" i="4"/>
  <c r="AI24" i="4"/>
  <c r="AF25" i="4"/>
  <c r="AG25" i="4"/>
  <c r="AH25" i="4"/>
  <c r="AI25" i="4"/>
  <c r="AF26" i="4"/>
  <c r="AG26" i="4"/>
  <c r="AH26" i="4"/>
  <c r="AI26" i="4"/>
  <c r="AF27" i="4"/>
  <c r="AG27" i="4"/>
  <c r="AH27" i="4"/>
  <c r="AI27" i="4"/>
  <c r="AF28" i="4"/>
  <c r="AG28" i="4"/>
  <c r="AH28" i="4"/>
  <c r="AI28" i="4"/>
  <c r="AF29" i="4"/>
  <c r="AG29" i="4"/>
  <c r="AH29" i="4"/>
  <c r="AI29" i="4"/>
  <c r="AF30" i="4"/>
  <c r="AG30" i="4"/>
  <c r="AH30" i="4"/>
  <c r="AI30" i="4"/>
  <c r="AF31" i="4"/>
  <c r="AG31" i="4"/>
  <c r="AH31" i="4"/>
  <c r="AI31" i="4"/>
  <c r="AF32" i="4"/>
  <c r="AG32" i="4"/>
  <c r="AH32" i="4"/>
  <c r="AI32" i="4"/>
  <c r="AF33" i="4"/>
  <c r="AG33" i="4"/>
  <c r="AH33" i="4"/>
  <c r="AI33" i="4"/>
  <c r="AF34" i="4"/>
  <c r="AG34" i="4"/>
  <c r="AH34" i="4"/>
  <c r="AI34" i="4"/>
  <c r="AF35" i="4"/>
  <c r="AG35" i="4"/>
  <c r="AH35" i="4"/>
  <c r="AI35" i="4"/>
  <c r="AF36" i="4"/>
  <c r="AG36" i="4"/>
  <c r="AH36" i="4"/>
  <c r="AI36" i="4"/>
  <c r="AF37" i="4"/>
  <c r="AG37" i="4"/>
  <c r="AH37" i="4"/>
  <c r="AI37" i="4"/>
  <c r="AF38" i="4"/>
  <c r="AG38" i="4"/>
  <c r="AH38" i="4"/>
  <c r="AI38" i="4"/>
  <c r="AF39" i="4"/>
  <c r="AG39" i="4"/>
  <c r="AH39" i="4"/>
  <c r="AI39" i="4"/>
  <c r="AF40" i="4"/>
  <c r="AG40" i="4"/>
  <c r="AH40" i="4"/>
  <c r="AI40" i="4"/>
  <c r="AF41" i="4"/>
  <c r="AG41" i="4"/>
  <c r="AH41" i="4"/>
  <c r="AI41" i="4"/>
  <c r="AF42" i="4"/>
  <c r="AG42" i="4"/>
  <c r="AH42" i="4"/>
  <c r="AI42" i="4"/>
  <c r="AF43" i="4"/>
  <c r="AG43" i="4"/>
  <c r="AH43" i="4"/>
  <c r="AI43" i="4"/>
  <c r="AF44" i="4"/>
  <c r="AG44" i="4"/>
  <c r="AH44" i="4"/>
  <c r="AI44" i="4"/>
  <c r="AF45" i="4"/>
  <c r="AG45" i="4"/>
  <c r="AH45" i="4"/>
  <c r="AI45" i="4"/>
  <c r="AF46" i="4"/>
  <c r="AG46" i="4"/>
  <c r="AH46" i="4"/>
  <c r="AI46" i="4"/>
  <c r="AF47" i="4"/>
  <c r="AG47" i="4"/>
  <c r="AH47" i="4"/>
  <c r="AI47" i="4"/>
  <c r="AF48" i="4"/>
  <c r="AG48" i="4"/>
  <c r="AH48" i="4"/>
  <c r="AI48" i="4"/>
  <c r="AF49" i="4"/>
  <c r="AG49" i="4"/>
  <c r="AH49" i="4"/>
  <c r="AI49" i="4"/>
  <c r="AG3" i="4"/>
  <c r="AH3" i="4"/>
  <c r="AI3" i="4"/>
  <c r="AF3" i="4"/>
  <c r="AK3" i="4" l="1" a="1"/>
  <c r="AK3" i="4" s="1"/>
  <c r="AA19" i="17"/>
  <c r="A1" i="17"/>
  <c r="L2" i="17" s="1"/>
  <c r="AC2" i="16" l="1"/>
  <c r="AF3" i="16"/>
  <c r="AF7" i="16"/>
  <c r="BL2" i="16"/>
  <c r="AV12" i="16"/>
  <c r="DX2" i="16"/>
  <c r="BL3" i="16"/>
  <c r="AV14" i="16"/>
  <c r="AV15" i="16"/>
  <c r="DH2" i="16"/>
  <c r="CR2" i="16"/>
  <c r="AV3" i="16"/>
  <c r="AV19" i="16"/>
  <c r="CR4" i="16"/>
  <c r="AV5" i="16"/>
  <c r="AV2" i="16"/>
  <c r="CR9" i="16"/>
  <c r="AV6" i="16"/>
  <c r="AV10" i="16"/>
  <c r="CB2" i="16"/>
  <c r="AV7" i="16"/>
  <c r="CB5" i="16"/>
  <c r="HF2" i="16"/>
  <c r="HF10" i="16"/>
  <c r="HF18" i="16"/>
  <c r="HF26" i="16"/>
  <c r="GP8" i="16"/>
  <c r="GP16" i="16"/>
  <c r="GP24" i="16"/>
  <c r="FZ6" i="16"/>
  <c r="FZ14" i="16"/>
  <c r="FZ22" i="16"/>
  <c r="FJ4" i="16"/>
  <c r="FJ12" i="16"/>
  <c r="FJ20" i="16"/>
  <c r="ET2" i="16"/>
  <c r="ET10" i="16"/>
  <c r="ET18" i="16"/>
  <c r="ET26" i="16"/>
  <c r="ED8" i="16"/>
  <c r="ED16" i="16"/>
  <c r="ED24" i="16"/>
  <c r="DN6" i="16"/>
  <c r="DN14" i="16"/>
  <c r="DN22" i="16"/>
  <c r="CX4" i="16"/>
  <c r="CX12" i="16"/>
  <c r="CX20" i="16"/>
  <c r="CH2" i="16"/>
  <c r="CH10" i="16"/>
  <c r="CH18" i="16"/>
  <c r="CH26" i="16"/>
  <c r="BR8" i="16"/>
  <c r="BR16" i="16"/>
  <c r="BR24" i="16"/>
  <c r="BB6" i="16"/>
  <c r="BB14" i="16"/>
  <c r="BB22" i="16"/>
  <c r="AL4" i="16"/>
  <c r="AL12" i="16"/>
  <c r="AL20" i="16"/>
  <c r="HF6" i="16"/>
  <c r="GP20" i="16"/>
  <c r="FJ16" i="16"/>
  <c r="ED4" i="16"/>
  <c r="DN18" i="16"/>
  <c r="CH14" i="16"/>
  <c r="BB2" i="16"/>
  <c r="AL16" i="16"/>
  <c r="ET16" i="16"/>
  <c r="DN12" i="16"/>
  <c r="CH8" i="16"/>
  <c r="BB4" i="16"/>
  <c r="AL26" i="16"/>
  <c r="HF3" i="16"/>
  <c r="HF11" i="16"/>
  <c r="HF19" i="16"/>
  <c r="HF27" i="16"/>
  <c r="GP9" i="16"/>
  <c r="GP17" i="16"/>
  <c r="GP25" i="16"/>
  <c r="FZ7" i="16"/>
  <c r="FZ15" i="16"/>
  <c r="FZ23" i="16"/>
  <c r="FJ5" i="16"/>
  <c r="FJ13" i="16"/>
  <c r="FJ21" i="16"/>
  <c r="ET3" i="16"/>
  <c r="ET11" i="16"/>
  <c r="ET19" i="16"/>
  <c r="ET27" i="16"/>
  <c r="ED9" i="16"/>
  <c r="ED17" i="16"/>
  <c r="ED25" i="16"/>
  <c r="DN7" i="16"/>
  <c r="DN15" i="16"/>
  <c r="DN23" i="16"/>
  <c r="CX5" i="16"/>
  <c r="CX13" i="16"/>
  <c r="CX21" i="16"/>
  <c r="CH3" i="16"/>
  <c r="CH11" i="16"/>
  <c r="CH19" i="16"/>
  <c r="CH27" i="16"/>
  <c r="BR9" i="16"/>
  <c r="BR17" i="16"/>
  <c r="BR25" i="16"/>
  <c r="BB7" i="16"/>
  <c r="BB15" i="16"/>
  <c r="BB23" i="16"/>
  <c r="AL5" i="16"/>
  <c r="AL13" i="16"/>
  <c r="AL21" i="16"/>
  <c r="HF14" i="16"/>
  <c r="FZ26" i="16"/>
  <c r="ET22" i="16"/>
  <c r="DN10" i="16"/>
  <c r="CX24" i="16"/>
  <c r="BR20" i="16"/>
  <c r="AL8" i="16"/>
  <c r="FJ26" i="16"/>
  <c r="ED22" i="16"/>
  <c r="CX26" i="16"/>
  <c r="BR22" i="16"/>
  <c r="AL10" i="16"/>
  <c r="HF4" i="16"/>
  <c r="HF12" i="16"/>
  <c r="HF20" i="16"/>
  <c r="GP2" i="16"/>
  <c r="GP10" i="16"/>
  <c r="GP18" i="16"/>
  <c r="GP26" i="16"/>
  <c r="FZ8" i="16"/>
  <c r="FZ16" i="16"/>
  <c r="FZ24" i="16"/>
  <c r="FJ6" i="16"/>
  <c r="FJ14" i="16"/>
  <c r="FJ22" i="16"/>
  <c r="ET4" i="16"/>
  <c r="ET12" i="16"/>
  <c r="ET20" i="16"/>
  <c r="ED2" i="16"/>
  <c r="ED10" i="16"/>
  <c r="ED18" i="16"/>
  <c r="ED26" i="16"/>
  <c r="DN8" i="16"/>
  <c r="DN16" i="16"/>
  <c r="DN24" i="16"/>
  <c r="CX6" i="16"/>
  <c r="CX14" i="16"/>
  <c r="CX22" i="16"/>
  <c r="CH4" i="16"/>
  <c r="CH12" i="16"/>
  <c r="CH20" i="16"/>
  <c r="BR2" i="16"/>
  <c r="BR10" i="16"/>
  <c r="BR18" i="16"/>
  <c r="BR26" i="16"/>
  <c r="BB8" i="16"/>
  <c r="BB16" i="16"/>
  <c r="BB24" i="16"/>
  <c r="AL6" i="16"/>
  <c r="AL14" i="16"/>
  <c r="AL22" i="16"/>
  <c r="HF22" i="16"/>
  <c r="FZ18" i="16"/>
  <c r="FJ24" i="16"/>
  <c r="ED12" i="16"/>
  <c r="CX8" i="16"/>
  <c r="BR4" i="16"/>
  <c r="BB18" i="16"/>
  <c r="FJ2" i="16"/>
  <c r="ED14" i="16"/>
  <c r="CX10" i="16"/>
  <c r="CH24" i="16"/>
  <c r="BB20" i="16"/>
  <c r="HF5" i="16"/>
  <c r="HF13" i="16"/>
  <c r="HF21" i="16"/>
  <c r="GP3" i="16"/>
  <c r="GP11" i="16"/>
  <c r="GP19" i="16"/>
  <c r="GP27" i="16"/>
  <c r="FZ9" i="16"/>
  <c r="FZ17" i="16"/>
  <c r="FZ25" i="16"/>
  <c r="FJ7" i="16"/>
  <c r="FJ15" i="16"/>
  <c r="FJ23" i="16"/>
  <c r="ET5" i="16"/>
  <c r="ET13" i="16"/>
  <c r="ET21" i="16"/>
  <c r="ED3" i="16"/>
  <c r="ED11" i="16"/>
  <c r="ED19" i="16"/>
  <c r="ED27" i="16"/>
  <c r="DN9" i="16"/>
  <c r="DN17" i="16"/>
  <c r="DN25" i="16"/>
  <c r="CX7" i="16"/>
  <c r="CX15" i="16"/>
  <c r="CX23" i="16"/>
  <c r="CH5" i="16"/>
  <c r="CH13" i="16"/>
  <c r="CH21" i="16"/>
  <c r="BR3" i="16"/>
  <c r="BR11" i="16"/>
  <c r="BR19" i="16"/>
  <c r="BR27" i="16"/>
  <c r="BB9" i="16"/>
  <c r="BB17" i="16"/>
  <c r="BB25" i="16"/>
  <c r="AL7" i="16"/>
  <c r="AL15" i="16"/>
  <c r="AL23" i="16"/>
  <c r="GP4" i="16"/>
  <c r="FZ10" i="16"/>
  <c r="ET6" i="16"/>
  <c r="ED20" i="16"/>
  <c r="CX16" i="16"/>
  <c r="CH22" i="16"/>
  <c r="BB10" i="16"/>
  <c r="FJ10" i="16"/>
  <c r="ED6" i="16"/>
  <c r="CX18" i="16"/>
  <c r="BR14" i="16"/>
  <c r="AL2" i="16"/>
  <c r="HF7" i="16"/>
  <c r="HF15" i="16"/>
  <c r="HF23" i="16"/>
  <c r="GP5" i="16"/>
  <c r="GP13" i="16"/>
  <c r="GP21" i="16"/>
  <c r="FZ3" i="16"/>
  <c r="FZ11" i="16"/>
  <c r="FZ19" i="16"/>
  <c r="FZ27" i="16"/>
  <c r="FJ9" i="16"/>
  <c r="FJ17" i="16"/>
  <c r="FJ25" i="16"/>
  <c r="ET7" i="16"/>
  <c r="ET15" i="16"/>
  <c r="ET23" i="16"/>
  <c r="ED5" i="16"/>
  <c r="ED13" i="16"/>
  <c r="ED21" i="16"/>
  <c r="DN3" i="16"/>
  <c r="DN11" i="16"/>
  <c r="DN19" i="16"/>
  <c r="DN27" i="16"/>
  <c r="CX9" i="16"/>
  <c r="CX17" i="16"/>
  <c r="CX25" i="16"/>
  <c r="CH7" i="16"/>
  <c r="CH15" i="16"/>
  <c r="CH23" i="16"/>
  <c r="BR5" i="16"/>
  <c r="BR13" i="16"/>
  <c r="BR21" i="16"/>
  <c r="BB3" i="16"/>
  <c r="BB11" i="16"/>
  <c r="BB19" i="16"/>
  <c r="BB27" i="16"/>
  <c r="AL9" i="16"/>
  <c r="AL17" i="16"/>
  <c r="AL25" i="16"/>
  <c r="HF8" i="16"/>
  <c r="HF16" i="16"/>
  <c r="HF24" i="16"/>
  <c r="GP6" i="16"/>
  <c r="GP14" i="16"/>
  <c r="GP22" i="16"/>
  <c r="FZ4" i="16"/>
  <c r="FZ12" i="16"/>
  <c r="FZ20" i="16"/>
  <c r="FJ18" i="16"/>
  <c r="ET24" i="16"/>
  <c r="DN20" i="16"/>
  <c r="BR6" i="16"/>
  <c r="AL18" i="16"/>
  <c r="CX2" i="16"/>
  <c r="HF9" i="16"/>
  <c r="HF17" i="16"/>
  <c r="HF25" i="16"/>
  <c r="GP7" i="16"/>
  <c r="GP15" i="16"/>
  <c r="GP23" i="16"/>
  <c r="FZ5" i="16"/>
  <c r="FZ13" i="16"/>
  <c r="FZ21" i="16"/>
  <c r="FJ3" i="16"/>
  <c r="FJ11" i="16"/>
  <c r="FJ19" i="16"/>
  <c r="FJ27" i="16"/>
  <c r="ET9" i="16"/>
  <c r="ET17" i="16"/>
  <c r="ET25" i="16"/>
  <c r="ED7" i="16"/>
  <c r="ED15" i="16"/>
  <c r="ED23" i="16"/>
  <c r="DN5" i="16"/>
  <c r="DN13" i="16"/>
  <c r="DN21" i="16"/>
  <c r="CX3" i="16"/>
  <c r="CX11" i="16"/>
  <c r="CX19" i="16"/>
  <c r="CX27" i="16"/>
  <c r="CH9" i="16"/>
  <c r="CH17" i="16"/>
  <c r="CH25" i="16"/>
  <c r="BR7" i="16"/>
  <c r="BR15" i="16"/>
  <c r="BR23" i="16"/>
  <c r="BB5" i="16"/>
  <c r="BB13" i="16"/>
  <c r="BB21" i="16"/>
  <c r="AL3" i="16"/>
  <c r="AL11" i="16"/>
  <c r="AL19" i="16"/>
  <c r="AL27" i="16"/>
  <c r="GP12" i="16"/>
  <c r="FZ2" i="16"/>
  <c r="FJ8" i="16"/>
  <c r="ET14" i="16"/>
  <c r="DN2" i="16"/>
  <c r="DN26" i="16"/>
  <c r="CH6" i="16"/>
  <c r="BR12" i="16"/>
  <c r="BB26" i="16"/>
  <c r="AL24" i="16"/>
  <c r="ET8" i="16"/>
  <c r="DN4" i="16"/>
  <c r="CH16" i="16"/>
  <c r="BB12" i="16"/>
  <c r="AF2" i="16"/>
  <c r="AF10" i="16"/>
  <c r="AF18" i="16"/>
  <c r="AF26" i="16"/>
  <c r="GZ8" i="16"/>
  <c r="GZ16" i="16"/>
  <c r="GZ24" i="16"/>
  <c r="GJ6" i="16"/>
  <c r="GJ14" i="16"/>
  <c r="GJ22" i="16"/>
  <c r="FT4" i="16"/>
  <c r="FT12" i="16"/>
  <c r="FT20" i="16"/>
  <c r="FD2" i="16"/>
  <c r="FD10" i="16"/>
  <c r="FD18" i="16"/>
  <c r="FD26" i="16"/>
  <c r="EN8" i="16"/>
  <c r="EN16" i="16"/>
  <c r="EN24" i="16"/>
  <c r="DX6" i="16"/>
  <c r="DX14" i="16"/>
  <c r="DX22" i="16"/>
  <c r="DH4" i="16"/>
  <c r="DH12" i="16"/>
  <c r="DH20" i="16"/>
  <c r="CR10" i="16"/>
  <c r="CR18" i="16"/>
  <c r="CR26" i="16"/>
  <c r="CB8" i="16"/>
  <c r="CB16" i="16"/>
  <c r="CB24" i="16"/>
  <c r="BL6" i="16"/>
  <c r="BL14" i="16"/>
  <c r="BL22" i="16"/>
  <c r="AV4" i="16"/>
  <c r="AV20" i="16"/>
  <c r="AF13" i="16"/>
  <c r="GZ11" i="16"/>
  <c r="GJ9" i="16"/>
  <c r="FT7" i="16"/>
  <c r="FD5" i="16"/>
  <c r="FD21" i="16"/>
  <c r="EN19" i="16"/>
  <c r="DX25" i="16"/>
  <c r="DH23" i="16"/>
  <c r="CR21" i="16"/>
  <c r="CB19" i="16"/>
  <c r="BL25" i="16"/>
  <c r="AV23" i="16"/>
  <c r="EN21" i="16"/>
  <c r="DX27" i="16"/>
  <c r="CR15" i="16"/>
  <c r="CB21" i="16"/>
  <c r="BL27" i="16"/>
  <c r="DH11" i="16"/>
  <c r="CR25" i="16"/>
  <c r="BL21" i="16"/>
  <c r="AF11" i="16"/>
  <c r="AF19" i="16"/>
  <c r="AF27" i="16"/>
  <c r="GZ9" i="16"/>
  <c r="GZ17" i="16"/>
  <c r="GZ25" i="16"/>
  <c r="GJ7" i="16"/>
  <c r="GJ15" i="16"/>
  <c r="GJ23" i="16"/>
  <c r="FT5" i="16"/>
  <c r="FT13" i="16"/>
  <c r="FT21" i="16"/>
  <c r="FD3" i="16"/>
  <c r="FD11" i="16"/>
  <c r="FD19" i="16"/>
  <c r="FD27" i="16"/>
  <c r="EN9" i="16"/>
  <c r="EN17" i="16"/>
  <c r="EN25" i="16"/>
  <c r="DX7" i="16"/>
  <c r="DX15" i="16"/>
  <c r="DX23" i="16"/>
  <c r="DH5" i="16"/>
  <c r="DH13" i="16"/>
  <c r="DH21" i="16"/>
  <c r="CR3" i="16"/>
  <c r="CR11" i="16"/>
  <c r="CR19" i="16"/>
  <c r="CR27" i="16"/>
  <c r="CB9" i="16"/>
  <c r="CB17" i="16"/>
  <c r="CB25" i="16"/>
  <c r="BL7" i="16"/>
  <c r="BL15" i="16"/>
  <c r="BL23" i="16"/>
  <c r="AV13" i="16"/>
  <c r="AV21" i="16"/>
  <c r="AF21" i="16"/>
  <c r="GZ27" i="16"/>
  <c r="GJ25" i="16"/>
  <c r="FT23" i="16"/>
  <c r="EN3" i="16"/>
  <c r="DX9" i="16"/>
  <c r="DH7" i="16"/>
  <c r="CR5" i="16"/>
  <c r="CB3" i="16"/>
  <c r="BL9" i="16"/>
  <c r="EN13" i="16"/>
  <c r="DH17" i="16"/>
  <c r="CR23" i="16"/>
  <c r="AV9" i="16"/>
  <c r="DH19" i="16"/>
  <c r="CB15" i="16"/>
  <c r="AF4" i="16"/>
  <c r="AF12" i="16"/>
  <c r="AF20" i="16"/>
  <c r="GZ2" i="16"/>
  <c r="GZ10" i="16"/>
  <c r="GZ18" i="16"/>
  <c r="GZ26" i="16"/>
  <c r="GJ8" i="16"/>
  <c r="GJ16" i="16"/>
  <c r="GJ24" i="16"/>
  <c r="FT6" i="16"/>
  <c r="FT14" i="16"/>
  <c r="FT22" i="16"/>
  <c r="FD4" i="16"/>
  <c r="FD12" i="16"/>
  <c r="FD20" i="16"/>
  <c r="EN2" i="16"/>
  <c r="EN10" i="16"/>
  <c r="EN18" i="16"/>
  <c r="EN26" i="16"/>
  <c r="DX8" i="16"/>
  <c r="DX16" i="16"/>
  <c r="DX24" i="16"/>
  <c r="DH6" i="16"/>
  <c r="DH14" i="16"/>
  <c r="DH22" i="16"/>
  <c r="CR12" i="16"/>
  <c r="CR20" i="16"/>
  <c r="CB10" i="16"/>
  <c r="CB18" i="16"/>
  <c r="CB26" i="16"/>
  <c r="BL8" i="16"/>
  <c r="BL16" i="16"/>
  <c r="BL24" i="16"/>
  <c r="AV22" i="16"/>
  <c r="AF5" i="16"/>
  <c r="GZ3" i="16"/>
  <c r="GZ19" i="16"/>
  <c r="GJ17" i="16"/>
  <c r="FT15" i="16"/>
  <c r="FD13" i="16"/>
  <c r="EN11" i="16"/>
  <c r="EN27" i="16"/>
  <c r="DX17" i="16"/>
  <c r="DH15" i="16"/>
  <c r="CR13" i="16"/>
  <c r="CB11" i="16"/>
  <c r="CB27" i="16"/>
  <c r="BL17" i="16"/>
  <c r="EN5" i="16"/>
  <c r="DX11" i="16"/>
  <c r="DH9" i="16"/>
  <c r="CR7" i="16"/>
  <c r="BL11" i="16"/>
  <c r="AV17" i="16"/>
  <c r="DH3" i="16"/>
  <c r="CR17" i="16"/>
  <c r="CB23" i="16"/>
  <c r="AV11" i="16"/>
  <c r="AF6" i="16"/>
  <c r="AF14" i="16"/>
  <c r="AF22" i="16"/>
  <c r="GZ4" i="16"/>
  <c r="GZ12" i="16"/>
  <c r="GZ20" i="16"/>
  <c r="GJ2" i="16"/>
  <c r="GJ10" i="16"/>
  <c r="GJ18" i="16"/>
  <c r="GJ26" i="16"/>
  <c r="FT8" i="16"/>
  <c r="FT16" i="16"/>
  <c r="FT24" i="16"/>
  <c r="FD6" i="16"/>
  <c r="FD14" i="16"/>
  <c r="FD22" i="16"/>
  <c r="EN4" i="16"/>
  <c r="EN12" i="16"/>
  <c r="EN20" i="16"/>
  <c r="DX10" i="16"/>
  <c r="DX18" i="16"/>
  <c r="DX26" i="16"/>
  <c r="DH8" i="16"/>
  <c r="DH16" i="16"/>
  <c r="DH24" i="16"/>
  <c r="CR6" i="16"/>
  <c r="CR14" i="16"/>
  <c r="CR22" i="16"/>
  <c r="CB4" i="16"/>
  <c r="CB12" i="16"/>
  <c r="CB20" i="16"/>
  <c r="BL10" i="16"/>
  <c r="BL18" i="16"/>
  <c r="BL26" i="16"/>
  <c r="AV8" i="16"/>
  <c r="AV16" i="16"/>
  <c r="AV24" i="16"/>
  <c r="AF15" i="16"/>
  <c r="AF23" i="16"/>
  <c r="GZ5" i="16"/>
  <c r="GZ13" i="16"/>
  <c r="GZ21" i="16"/>
  <c r="GJ3" i="16"/>
  <c r="GJ11" i="16"/>
  <c r="GJ19" i="16"/>
  <c r="GJ27" i="16"/>
  <c r="FT9" i="16"/>
  <c r="FT17" i="16"/>
  <c r="FT25" i="16"/>
  <c r="FD7" i="16"/>
  <c r="FD15" i="16"/>
  <c r="FD23" i="16"/>
  <c r="DX3" i="16"/>
  <c r="DX19" i="16"/>
  <c r="DH25" i="16"/>
  <c r="CB13" i="16"/>
  <c r="BL19" i="16"/>
  <c r="AV25" i="16"/>
  <c r="BL5" i="16"/>
  <c r="AF8" i="16"/>
  <c r="AF16" i="16"/>
  <c r="AF24" i="16"/>
  <c r="GZ6" i="16"/>
  <c r="GZ14" i="16"/>
  <c r="GZ22" i="16"/>
  <c r="GJ4" i="16"/>
  <c r="GJ12" i="16"/>
  <c r="GJ20" i="16"/>
  <c r="FT2" i="16"/>
  <c r="FT10" i="16"/>
  <c r="FT18" i="16"/>
  <c r="FT26" i="16"/>
  <c r="FD8" i="16"/>
  <c r="FD16" i="16"/>
  <c r="FD24" i="16"/>
  <c r="EN6" i="16"/>
  <c r="EN14" i="16"/>
  <c r="EN22" i="16"/>
  <c r="DX4" i="16"/>
  <c r="DX12" i="16"/>
  <c r="DX20" i="16"/>
  <c r="DH10" i="16"/>
  <c r="DH18" i="16"/>
  <c r="DH26" i="16"/>
  <c r="CR8" i="16"/>
  <c r="CR16" i="16"/>
  <c r="CR24" i="16"/>
  <c r="CB6" i="16"/>
  <c r="CB14" i="16"/>
  <c r="CB22" i="16"/>
  <c r="BL4" i="16"/>
  <c r="BL12" i="16"/>
  <c r="BL20" i="16"/>
  <c r="AV18" i="16"/>
  <c r="AV26" i="16"/>
  <c r="AF9" i="16"/>
  <c r="AF17" i="16"/>
  <c r="AF25" i="16"/>
  <c r="GZ7" i="16"/>
  <c r="GZ15" i="16"/>
  <c r="GZ23" i="16"/>
  <c r="GJ5" i="16"/>
  <c r="GJ13" i="16"/>
  <c r="GJ21" i="16"/>
  <c r="FT3" i="16"/>
  <c r="FT11" i="16"/>
  <c r="FT19" i="16"/>
  <c r="FT27" i="16"/>
  <c r="FD9" i="16"/>
  <c r="FD17" i="16"/>
  <c r="FD25" i="16"/>
  <c r="EN7" i="16"/>
  <c r="EN15" i="16"/>
  <c r="EN23" i="16"/>
  <c r="DX5" i="16"/>
  <c r="DX13" i="16"/>
  <c r="DX21" i="16"/>
  <c r="DH27" i="16"/>
  <c r="CB7" i="16"/>
  <c r="BL13" i="16"/>
  <c r="AV27" i="16"/>
  <c r="FA2" i="16"/>
  <c r="BY3" i="16"/>
  <c r="GW3" i="16"/>
  <c r="DU4" i="16"/>
  <c r="AS5" i="16"/>
  <c r="FQ5" i="16"/>
  <c r="CO6" i="16"/>
  <c r="EK7" i="16"/>
  <c r="AC8" i="16"/>
  <c r="AC9" i="16"/>
  <c r="FA9" i="16"/>
  <c r="AS10" i="16"/>
  <c r="FQ10" i="16"/>
  <c r="BI11" i="16"/>
  <c r="GG11" i="16"/>
  <c r="BY12" i="16"/>
  <c r="GW12" i="16"/>
  <c r="CO13" i="16"/>
  <c r="DU14" i="16"/>
  <c r="BI15" i="16"/>
  <c r="GG15" i="16"/>
  <c r="DU16" i="16"/>
  <c r="EK17" i="16"/>
  <c r="AC18" i="16"/>
  <c r="DU18" i="16"/>
  <c r="DE19" i="16"/>
  <c r="CO20" i="16"/>
  <c r="BY21" i="16"/>
  <c r="GW21" i="16"/>
  <c r="BY22" i="16"/>
  <c r="GW22" i="16"/>
  <c r="FA23" i="16"/>
  <c r="FA24" i="16"/>
  <c r="FA25" i="16"/>
  <c r="EK26" i="16"/>
  <c r="EK4" i="16"/>
  <c r="CO12" i="16"/>
  <c r="GW15" i="16"/>
  <c r="DU19" i="16"/>
  <c r="FQ23" i="16"/>
  <c r="AS25" i="16"/>
  <c r="BI2" i="16"/>
  <c r="GG2" i="16"/>
  <c r="DE3" i="16"/>
  <c r="AC4" i="16"/>
  <c r="FA4" i="16"/>
  <c r="BY5" i="16"/>
  <c r="GW5" i="16"/>
  <c r="DU6" i="16"/>
  <c r="AS7" i="16"/>
  <c r="FQ7" i="16"/>
  <c r="BI8" i="16"/>
  <c r="FQ8" i="16"/>
  <c r="BI9" i="16"/>
  <c r="GG9" i="16"/>
  <c r="BY10" i="16"/>
  <c r="GW10" i="16"/>
  <c r="CO11" i="16"/>
  <c r="DE12" i="16"/>
  <c r="DU13" i="16"/>
  <c r="FA14" i="16"/>
  <c r="CO15" i="16"/>
  <c r="AC16" i="16"/>
  <c r="FA16" i="16"/>
  <c r="AS17" i="16"/>
  <c r="FQ17" i="16"/>
  <c r="FA18" i="16"/>
  <c r="EK19" i="16"/>
  <c r="AC20" i="16"/>
  <c r="DU20" i="16"/>
  <c r="DE21" i="16"/>
  <c r="DE22" i="16"/>
  <c r="BI23" i="16"/>
  <c r="GG23" i="16"/>
  <c r="BI24" i="16"/>
  <c r="GG24" i="16"/>
  <c r="BI25" i="16"/>
  <c r="GG25" i="16"/>
  <c r="AS26" i="16"/>
  <c r="FA26" i="16"/>
  <c r="BY27" i="16"/>
  <c r="EK27" i="16"/>
  <c r="GW27" i="16"/>
  <c r="AC23" i="16"/>
  <c r="DU25" i="16"/>
  <c r="BI5" i="16"/>
  <c r="FQ9" i="16"/>
  <c r="EK14" i="16"/>
  <c r="EK18" i="16"/>
  <c r="BI27" i="16"/>
  <c r="BY2" i="16"/>
  <c r="GW2" i="16"/>
  <c r="DU3" i="16"/>
  <c r="AS4" i="16"/>
  <c r="FQ4" i="16"/>
  <c r="CO5" i="16"/>
  <c r="EK6" i="16"/>
  <c r="BI7" i="16"/>
  <c r="GG7" i="16"/>
  <c r="BY8" i="16"/>
  <c r="GG8" i="16"/>
  <c r="BY9" i="16"/>
  <c r="GW9" i="16"/>
  <c r="CO10" i="16"/>
  <c r="DE11" i="16"/>
  <c r="DU12" i="16"/>
  <c r="EK13" i="16"/>
  <c r="AS14" i="16"/>
  <c r="FQ14" i="16"/>
  <c r="DE15" i="16"/>
  <c r="AS16" i="16"/>
  <c r="FQ16" i="16"/>
  <c r="BI17" i="16"/>
  <c r="GG17" i="16"/>
  <c r="AS18" i="16"/>
  <c r="FQ18" i="16"/>
  <c r="FA19" i="16"/>
  <c r="EK20" i="16"/>
  <c r="AC21" i="16"/>
  <c r="DU21" i="16"/>
  <c r="DU22" i="16"/>
  <c r="BY23" i="16"/>
  <c r="GW23" i="16"/>
  <c r="BY24" i="16"/>
  <c r="GW24" i="16"/>
  <c r="BY25" i="16"/>
  <c r="GW25" i="16"/>
  <c r="BI26" i="16"/>
  <c r="FQ26" i="16"/>
  <c r="DU23" i="16"/>
  <c r="FQ27" i="16"/>
  <c r="GG5" i="16"/>
  <c r="AC7" i="16"/>
  <c r="FA8" i="16"/>
  <c r="BI10" i="16"/>
  <c r="AC14" i="16"/>
  <c r="FA17" i="16"/>
  <c r="FQ25" i="16"/>
  <c r="CO2" i="16"/>
  <c r="EK3" i="16"/>
  <c r="BI4" i="16"/>
  <c r="GG4" i="16"/>
  <c r="DE5" i="16"/>
  <c r="AC6" i="16"/>
  <c r="FA6" i="16"/>
  <c r="BY7" i="16"/>
  <c r="GW7" i="16"/>
  <c r="CO8" i="16"/>
  <c r="GW8" i="16"/>
  <c r="CO9" i="16"/>
  <c r="DE10" i="16"/>
  <c r="DU11" i="16"/>
  <c r="EK12" i="16"/>
  <c r="AC13" i="16"/>
  <c r="FA13" i="16"/>
  <c r="BI14" i="16"/>
  <c r="GG14" i="16"/>
  <c r="DU15" i="16"/>
  <c r="BI16" i="16"/>
  <c r="GG16" i="16"/>
  <c r="BY17" i="16"/>
  <c r="GW17" i="16"/>
  <c r="BI18" i="16"/>
  <c r="GG18" i="16"/>
  <c r="AS19" i="16"/>
  <c r="FQ19" i="16"/>
  <c r="FA20" i="16"/>
  <c r="EK21" i="16"/>
  <c r="AC22" i="16"/>
  <c r="EK22" i="16"/>
  <c r="CO23" i="16"/>
  <c r="CO24" i="16"/>
  <c r="CO25" i="16"/>
  <c r="BY26" i="16"/>
  <c r="FQ22" i="16"/>
  <c r="DU24" i="16"/>
  <c r="DE27" i="16"/>
  <c r="CO3" i="16"/>
  <c r="GG10" i="16"/>
  <c r="DE13" i="16"/>
  <c r="AC17" i="16"/>
  <c r="AS24" i="16"/>
  <c r="DE2" i="16"/>
  <c r="AC3" i="16"/>
  <c r="FA3" i="16"/>
  <c r="BY4" i="16"/>
  <c r="GW4" i="16"/>
  <c r="DU5" i="16"/>
  <c r="AS6" i="16"/>
  <c r="FQ6" i="16"/>
  <c r="CO7" i="16"/>
  <c r="DE8" i="16"/>
  <c r="DE9" i="16"/>
  <c r="DU10" i="16"/>
  <c r="EK11" i="16"/>
  <c r="AC12" i="16"/>
  <c r="FA12" i="16"/>
  <c r="AS13" i="16"/>
  <c r="FQ13" i="16"/>
  <c r="BY14" i="16"/>
  <c r="GW14" i="16"/>
  <c r="EK15" i="16"/>
  <c r="BY16" i="16"/>
  <c r="GW16" i="16"/>
  <c r="CO17" i="16"/>
  <c r="BY18" i="16"/>
  <c r="GW18" i="16"/>
  <c r="BI19" i="16"/>
  <c r="GG19" i="16"/>
  <c r="AS20" i="16"/>
  <c r="FQ20" i="16"/>
  <c r="FA21" i="16"/>
  <c r="FA22" i="16"/>
  <c r="DE23" i="16"/>
  <c r="DE24" i="16"/>
  <c r="DE25" i="16"/>
  <c r="CO26" i="16"/>
  <c r="AC27" i="16"/>
  <c r="CO27" i="16"/>
  <c r="FA27" i="16"/>
  <c r="GG26" i="16"/>
  <c r="FQ2" i="16"/>
  <c r="DE6" i="16"/>
  <c r="FA7" i="16"/>
  <c r="AS8" i="16"/>
  <c r="FQ24" i="16"/>
  <c r="DU2" i="16"/>
  <c r="AS3" i="16"/>
  <c r="FQ3" i="16"/>
  <c r="CO4" i="16"/>
  <c r="EK5" i="16"/>
  <c r="BI6" i="16"/>
  <c r="GG6" i="16"/>
  <c r="DE7" i="16"/>
  <c r="DU8" i="16"/>
  <c r="DU9" i="16"/>
  <c r="EK10" i="16"/>
  <c r="AC11" i="16"/>
  <c r="FA11" i="16"/>
  <c r="AS12" i="16"/>
  <c r="FQ12" i="16"/>
  <c r="BI13" i="16"/>
  <c r="GG13" i="16"/>
  <c r="CO14" i="16"/>
  <c r="AC15" i="16"/>
  <c r="FA15" i="16"/>
  <c r="CO16" i="16"/>
  <c r="DE17" i="16"/>
  <c r="CO18" i="16"/>
  <c r="BY19" i="16"/>
  <c r="GW19" i="16"/>
  <c r="BI20" i="16"/>
  <c r="GG20" i="16"/>
  <c r="AS21" i="16"/>
  <c r="FQ21" i="16"/>
  <c r="AS22" i="16"/>
  <c r="DE26" i="16"/>
  <c r="AS27" i="16"/>
  <c r="AS9" i="16"/>
  <c r="BY11" i="16"/>
  <c r="EK16" i="16"/>
  <c r="DE20" i="16"/>
  <c r="CO22" i="16"/>
  <c r="AS23" i="16"/>
  <c r="DU27" i="16"/>
  <c r="EK2" i="16"/>
  <c r="BI3" i="16"/>
  <c r="GG3" i="16"/>
  <c r="DE4" i="16"/>
  <c r="AC5" i="16"/>
  <c r="FA5" i="16"/>
  <c r="BY6" i="16"/>
  <c r="GW6" i="16"/>
  <c r="DU7" i="16"/>
  <c r="EK8" i="16"/>
  <c r="EK9" i="16"/>
  <c r="AC10" i="16"/>
  <c r="FA10" i="16"/>
  <c r="AS11" i="16"/>
  <c r="FQ11" i="16"/>
  <c r="BI12" i="16"/>
  <c r="GG12" i="16"/>
  <c r="BY13" i="16"/>
  <c r="GW13" i="16"/>
  <c r="DE14" i="16"/>
  <c r="AS15" i="16"/>
  <c r="FQ15" i="16"/>
  <c r="DE16" i="16"/>
  <c r="DU17" i="16"/>
  <c r="DE18" i="16"/>
  <c r="CO19" i="16"/>
  <c r="BY20" i="16"/>
  <c r="GW20" i="16"/>
  <c r="BI21" i="16"/>
  <c r="GG21" i="16"/>
  <c r="BI22" i="16"/>
  <c r="GG22" i="16"/>
  <c r="EK23" i="16"/>
  <c r="AC24" i="16"/>
  <c r="EK24" i="16"/>
  <c r="AC25" i="16"/>
  <c r="EK25" i="16"/>
  <c r="DU26" i="16"/>
  <c r="GW26" i="16"/>
  <c r="AS2" i="16"/>
  <c r="GW11" i="16"/>
  <c r="BY15" i="16"/>
  <c r="AC19" i="16"/>
  <c r="CO21" i="16"/>
  <c r="AC26" i="16"/>
  <c r="GG27" i="16"/>
  <c r="B13" i="17"/>
  <c r="B12" i="17"/>
  <c r="B11" i="17"/>
  <c r="B10" i="17"/>
  <c r="B9" i="17"/>
  <c r="B8" i="17"/>
  <c r="B7" i="17"/>
  <c r="B6" i="17"/>
  <c r="B5" i="17"/>
  <c r="B4" i="17"/>
  <c r="B3" i="17"/>
  <c r="B2" i="17"/>
  <c r="AA21" i="17" l="1"/>
  <c r="AA20" i="17"/>
  <c r="C2" i="17"/>
  <c r="AA22" i="17" l="1"/>
  <c r="C13" i="17"/>
  <c r="C12" i="17"/>
  <c r="C11" i="17"/>
  <c r="C10" i="17"/>
  <c r="C9" i="17"/>
  <c r="C8" i="17"/>
  <c r="C7" i="17"/>
  <c r="C6" i="17"/>
  <c r="C5" i="17"/>
  <c r="C4" i="17"/>
  <c r="C3" i="17"/>
  <c r="X1" i="17" l="1"/>
  <c r="AA23" i="17"/>
  <c r="C14" i="17"/>
  <c r="C29" i="17" s="1"/>
  <c r="S2" i="17" s="1"/>
  <c r="W2" i="17" l="1"/>
  <c r="U29" i="17"/>
  <c r="U4" i="17"/>
  <c r="Z14" i="16"/>
  <c r="T21" i="16"/>
  <c r="T29" i="16" s="1"/>
  <c r="AA25" i="17" l="1"/>
  <c r="AA24" i="17"/>
  <c r="T29" i="17"/>
  <c r="U21" i="16"/>
  <c r="U29" i="16" s="1"/>
  <c r="F2" i="17" l="1"/>
  <c r="V29" i="17"/>
  <c r="W29" i="17" l="1"/>
  <c r="Y29" i="17"/>
  <c r="AA26" i="17"/>
  <c r="X29" i="17" l="1"/>
  <c r="AA28" i="17" l="1"/>
  <c r="Z29" i="17"/>
  <c r="AA27" i="17"/>
  <c r="AA29" i="17"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Luís Fernando</author>
  </authors>
  <commentList>
    <comment ref="C1" authorId="0" shapeId="0" xr:uid="{0BA603BE-9BD6-480B-9EF1-8E836304E5A5}">
      <text>
        <r>
          <rPr>
            <b/>
            <sz val="9"/>
            <color indexed="81"/>
            <rFont val="Segoe UI"/>
            <family val="2"/>
          </rPr>
          <t>Mostrar Comissões na tabela resumo?</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<sst xmlns="http://schemas.openxmlformats.org/spreadsheetml/2006/main" count="567" uniqueCount="272">
  <si>
    <t>Dinheiro</t>
  </si>
  <si>
    <t>Comissão</t>
  </si>
  <si>
    <t>TOTAL</t>
  </si>
  <si>
    <t>Emols.</t>
  </si>
  <si>
    <t>Tipo</t>
  </si>
  <si>
    <t>Cheque</t>
  </si>
  <si>
    <t>Tipos de Pagamento</t>
  </si>
  <si>
    <t>Entregue</t>
  </si>
  <si>
    <t>Crédito</t>
  </si>
  <si>
    <t>Do Tabelião</t>
  </si>
  <si>
    <t>Coluna999</t>
  </si>
  <si>
    <t>ITBI/ITCMD</t>
  </si>
  <si>
    <t>Coluna997</t>
  </si>
  <si>
    <t xml:space="preserve"> </t>
  </si>
  <si>
    <t>Outros</t>
  </si>
  <si>
    <t>Diferença a Receber:</t>
  </si>
  <si>
    <t>A Receber</t>
  </si>
  <si>
    <t>Cobrar</t>
  </si>
  <si>
    <t>Sobram</t>
  </si>
  <si>
    <t>Faltam</t>
  </si>
  <si>
    <t>Total Nota</t>
  </si>
  <si>
    <t>Devolver</t>
  </si>
  <si>
    <t>Código de Semana</t>
  </si>
  <si>
    <t>Saldos</t>
  </si>
  <si>
    <t>Sim/Não</t>
  </si>
  <si>
    <t>Não</t>
  </si>
  <si>
    <t>Sim</t>
  </si>
  <si>
    <t>$ pro Tab.:</t>
  </si>
  <si>
    <t>Ativo/Inativo</t>
  </si>
  <si>
    <t>Ativo</t>
  </si>
  <si>
    <t>Inativo</t>
  </si>
  <si>
    <t>Boolean</t>
  </si>
  <si>
    <t>DOM</t>
  </si>
  <si>
    <t>SEG</t>
  </si>
  <si>
    <t>TER</t>
  </si>
  <si>
    <t>QUA</t>
  </si>
  <si>
    <t>QUI</t>
  </si>
  <si>
    <t>SEX</t>
  </si>
  <si>
    <t>SÁB</t>
  </si>
  <si>
    <t>Check</t>
  </si>
  <si>
    <t>I</t>
  </si>
  <si>
    <t>Depós.</t>
  </si>
  <si>
    <t>Pg. Tard.</t>
  </si>
  <si>
    <t>Balanço</t>
  </si>
  <si>
    <t>ITBI pro Tab.:</t>
  </si>
  <si>
    <t>ITBIs Outr.</t>
  </si>
  <si>
    <t>ITBIs I</t>
  </si>
  <si>
    <t>ITBIs Tot.</t>
  </si>
  <si>
    <t>Alice</t>
  </si>
  <si>
    <t>Bob</t>
  </si>
  <si>
    <t>Carl</t>
  </si>
  <si>
    <t>Daniel</t>
  </si>
  <si>
    <t>Enya</t>
  </si>
  <si>
    <t>Fernando</t>
  </si>
  <si>
    <t>Gabriel</t>
  </si>
  <si>
    <t>Hagrid</t>
  </si>
  <si>
    <t>Ingrid</t>
  </si>
  <si>
    <t>Jay</t>
  </si>
  <si>
    <t>Kelly</t>
  </si>
  <si>
    <t>Lawrence</t>
  </si>
  <si>
    <t>Total</t>
  </si>
  <si>
    <t>Receitas</t>
  </si>
  <si>
    <t>Cheques</t>
  </si>
  <si>
    <t>ITBIs/ITCMDs</t>
  </si>
  <si>
    <t>Despesas</t>
  </si>
  <si>
    <t>Alvo:</t>
  </si>
  <si>
    <t>Balanço Final</t>
  </si>
  <si>
    <t>Boleto Tipo</t>
  </si>
  <si>
    <t>Segunda</t>
  </si>
  <si>
    <t>Terça</t>
  </si>
  <si>
    <t>Quarta</t>
  </si>
  <si>
    <t>Quinta</t>
  </si>
  <si>
    <t>Sexta</t>
  </si>
  <si>
    <t>Sábado</t>
  </si>
  <si>
    <t>Domingo</t>
  </si>
  <si>
    <t>Notas de</t>
  </si>
  <si>
    <t>fA</t>
  </si>
  <si>
    <t>Escrituras</t>
  </si>
  <si>
    <t>Procurações</t>
  </si>
  <si>
    <t>5 outorgantes</t>
  </si>
  <si>
    <t>6 outorgantes</t>
  </si>
  <si>
    <t>7 outorgantes</t>
  </si>
  <si>
    <t>8 outorgantes</t>
  </si>
  <si>
    <t>até 4 outorgantes - Foro em geral</t>
  </si>
  <si>
    <t>até 4 outorgantes - Sem valor econômico</t>
  </si>
  <si>
    <t>tratando-se de outorgante analfabeto</t>
  </si>
  <si>
    <t>até 4 outorgantes - Com valor econômico</t>
  </si>
  <si>
    <t>Se a escritura pública instrumentalizar a primeira alienação imobiliária e eventual hipoteca, alienação fiduciária ou outra garantia real em empreendimento habitacional de interesse social, localizado em Zona Especial de Interesse Social – ZEIS, ou de outra forma definido pelo Município como de interesse social, relativo a imóvel com valor não superior a 4.705 (quatro mil setecentos e cinco) UFESP, sempre independentemente do número de atos a serem praticados, sua natureza e valor do negócio jurídico.</t>
  </si>
  <si>
    <t>Se a escritura pública instrumentalizar o contrato de aquisição e correspondentes garantias reais, que tenham por objeto imóvel financiado com recursos do FGTS ou integrante de programa habitacional de interesse social promovidos, total ou parcialmente, pela CDHU, COHAB, sociedades de economia mista, empresas públicas e empreendimentos habitacionais de interesse social, localizado em Zona Especial de Interesse Social – ZEIS, ou de outra forma definido pelo Município como de interesse social, executado em parceria público-privada ou por associações de moradia e cooperativas habitacionais, independentemente do número de atos a serem praticados, sua natureza e valor do negócio jurídico.</t>
  </si>
  <si>
    <t>Se a escritura pública instrumentalizar o primeiro título aquisitivo de imóvel em favor de beneficiário de regularização fundiária de interesse social, promovida no âmbito de programas de interesse social, sob gestão de órgãos ou entidades da administração pública direta ou indireta em área urbana ou rural, sempre independentemente do número de atos a serem praticados, sua natureza e valor do negócio jurídico.</t>
  </si>
  <si>
    <t>Firmas</t>
  </si>
  <si>
    <t>Sem valor econômimco</t>
  </si>
  <si>
    <t>Com valor econômico</t>
  </si>
  <si>
    <t>Por autenticidade</t>
  </si>
  <si>
    <t>Autenticação</t>
  </si>
  <si>
    <t>eA</t>
  </si>
  <si>
    <t>eB</t>
  </si>
  <si>
    <t>eC</t>
  </si>
  <si>
    <t>Certidões</t>
  </si>
  <si>
    <t>Certidão ou traslado ou pública forma</t>
  </si>
  <si>
    <t>Escritura sem valor declarado - Para reconhecimento de filho, ou adoção, ou fins previdenciários, ou de dependência econômica</t>
  </si>
  <si>
    <t>Escritura sem valor declarado - demais escrituras, desde que não tratadas nesta tabela</t>
  </si>
  <si>
    <t>Ata notarial - pela primeira folha</t>
  </si>
  <si>
    <t>2 páginas</t>
  </si>
  <si>
    <t>3 páginas</t>
  </si>
  <si>
    <t>4 páginas</t>
  </si>
  <si>
    <t>5 páginas</t>
  </si>
  <si>
    <t>6 páginas</t>
  </si>
  <si>
    <t>7 páginas</t>
  </si>
  <si>
    <t>8 páginas</t>
  </si>
  <si>
    <t>9 páginas</t>
  </si>
  <si>
    <t>10 páginas</t>
  </si>
  <si>
    <t>11 páginas</t>
  </si>
  <si>
    <t>12 páginas</t>
  </si>
  <si>
    <t>Testamento - público sem conteúdo patrimonial, com ou sem revogação</t>
  </si>
  <si>
    <t>Testamento - público com ou sem revogação</t>
  </si>
  <si>
    <t>Testamento - cerrado, pela aprovação e encerramento</t>
  </si>
  <si>
    <t>Testamento - revogação</t>
  </si>
  <si>
    <t>Registro Chancela Mecânica</t>
  </si>
  <si>
    <t>Escritura de Convenção de Condomínio</t>
  </si>
  <si>
    <t>Certidão de Protesto</t>
  </si>
  <si>
    <t>Cópia Reprográfica</t>
  </si>
  <si>
    <t>Cópia de Microfilme</t>
  </si>
  <si>
    <t>Apostilamento de Haia</t>
  </si>
  <si>
    <t>eD</t>
  </si>
  <si>
    <t>eF</t>
  </si>
  <si>
    <t>eG</t>
  </si>
  <si>
    <t>eE</t>
  </si>
  <si>
    <t>eH</t>
  </si>
  <si>
    <t>eI</t>
  </si>
  <si>
    <t>eJ</t>
  </si>
  <si>
    <t>eK</t>
  </si>
  <si>
    <t>eL</t>
  </si>
  <si>
    <t>eM</t>
  </si>
  <si>
    <t>eO</t>
  </si>
  <si>
    <t>eP</t>
  </si>
  <si>
    <t>eQ</t>
  </si>
  <si>
    <t>eR</t>
  </si>
  <si>
    <t>eS</t>
  </si>
  <si>
    <t>eT</t>
  </si>
  <si>
    <t>eU</t>
  </si>
  <si>
    <t>eV</t>
  </si>
  <si>
    <t>eW</t>
  </si>
  <si>
    <t>eX</t>
  </si>
  <si>
    <t>eY</t>
  </si>
  <si>
    <t>eZ</t>
  </si>
  <si>
    <t>eZ1</t>
  </si>
  <si>
    <t>eZ2</t>
  </si>
  <si>
    <t>eZ3</t>
  </si>
  <si>
    <t>eZ4</t>
  </si>
  <si>
    <t>eZ5</t>
  </si>
  <si>
    <t>eZ6</t>
  </si>
  <si>
    <t>p</t>
  </si>
  <si>
    <t>pV</t>
  </si>
  <si>
    <t>pS</t>
  </si>
  <si>
    <t>fS</t>
  </si>
  <si>
    <t>fV</t>
  </si>
  <si>
    <t>cC</t>
  </si>
  <si>
    <t>cP</t>
  </si>
  <si>
    <t>cR</t>
  </si>
  <si>
    <t>cM</t>
  </si>
  <si>
    <t>e</t>
  </si>
  <si>
    <t>aut</t>
  </si>
  <si>
    <t>o</t>
  </si>
  <si>
    <t>apo</t>
  </si>
  <si>
    <t>e+</t>
  </si>
  <si>
    <t>eN</t>
  </si>
  <si>
    <t>Emolumentos em categorias</t>
  </si>
  <si>
    <t>Emolumentos em ordem de valor</t>
  </si>
  <si>
    <t>a1</t>
  </si>
  <si>
    <t>a2</t>
  </si>
  <si>
    <t>a3</t>
  </si>
  <si>
    <t>a4</t>
  </si>
  <si>
    <t>a5</t>
  </si>
  <si>
    <t>a6</t>
  </si>
  <si>
    <t>a7</t>
  </si>
  <si>
    <t>a8</t>
  </si>
  <si>
    <t>a9</t>
  </si>
  <si>
    <t>a10</t>
  </si>
  <si>
    <t>a11</t>
  </si>
  <si>
    <t>a12</t>
  </si>
  <si>
    <t>Conta</t>
  </si>
  <si>
    <t>Celcoin</t>
  </si>
  <si>
    <t>Agência</t>
  </si>
  <si>
    <t>Física</t>
  </si>
  <si>
    <t>Via Pgto Boleto</t>
  </si>
  <si>
    <t>Resumo de Pagamentos</t>
  </si>
  <si>
    <t>Não Paga</t>
  </si>
  <si>
    <t>Valor</t>
  </si>
  <si>
    <t>Forma</t>
  </si>
  <si>
    <t>Descrição</t>
  </si>
  <si>
    <t>Santander 1778</t>
  </si>
  <si>
    <t>Anoreg/IEPTB</t>
  </si>
  <si>
    <t>Arredondamentos:</t>
  </si>
  <si>
    <t>Confr. Universal</t>
  </si>
  <si>
    <t>Carnaval</t>
  </si>
  <si>
    <t>Quarta de Cinzas</t>
  </si>
  <si>
    <t>Feriados</t>
  </si>
  <si>
    <t>Paixão de Cristo</t>
  </si>
  <si>
    <t>Tiradentes</t>
  </si>
  <si>
    <t>Dia do Trabalho</t>
  </si>
  <si>
    <t>Corpus Christi</t>
  </si>
  <si>
    <t>Independência</t>
  </si>
  <si>
    <t>Nossa Senhora</t>
  </si>
  <si>
    <t>Servidor Público</t>
  </si>
  <si>
    <t>Finados</t>
  </si>
  <si>
    <t>Procl. República</t>
  </si>
  <si>
    <t>Natal</t>
  </si>
  <si>
    <t>Revolução Paulista</t>
  </si>
  <si>
    <t>Almoxarifado</t>
  </si>
  <si>
    <t>Cacarecos</t>
  </si>
  <si>
    <t>Seguros</t>
  </si>
  <si>
    <t>Serviços</t>
  </si>
  <si>
    <t>ITBIs Aus.</t>
  </si>
  <si>
    <t>Tv. Assinatura</t>
  </si>
  <si>
    <t>Telefonia</t>
  </si>
  <si>
    <t>Trib. Federal</t>
  </si>
  <si>
    <t>Trib. Estadual</t>
  </si>
  <si>
    <t>Trib. Municip.</t>
  </si>
  <si>
    <t>Sítio</t>
  </si>
  <si>
    <t>tS</t>
  </si>
  <si>
    <t>tV</t>
  </si>
  <si>
    <t>tR</t>
  </si>
  <si>
    <t>Serv. Informát.</t>
  </si>
  <si>
    <t>Escreventes, Comissões e Livros</t>
  </si>
  <si>
    <t>Min. Público/TJ</t>
  </si>
  <si>
    <t>Assinaturas</t>
  </si>
  <si>
    <t>ITBIs T</t>
  </si>
  <si>
    <t>T</t>
  </si>
  <si>
    <t>Condomínios</t>
  </si>
  <si>
    <t>Escola</t>
  </si>
  <si>
    <t>Unimed</t>
  </si>
  <si>
    <t>Contribuições</t>
  </si>
  <si>
    <t>eA%</t>
  </si>
  <si>
    <t>eB%</t>
  </si>
  <si>
    <t>eC%</t>
  </si>
  <si>
    <t>eD%</t>
  </si>
  <si>
    <t>eF%</t>
  </si>
  <si>
    <t>L 1632</t>
  </si>
  <si>
    <t>CPFL/DAE</t>
  </si>
  <si>
    <t>Placeholder Total da Nota</t>
  </si>
  <si>
    <t>Placeholder ITBI/ITCMD</t>
  </si>
  <si>
    <t>eE%</t>
  </si>
  <si>
    <t>OK</t>
  </si>
  <si>
    <t>+</t>
  </si>
  <si>
    <t>- (</t>
  </si>
  <si>
    <t>Notas</t>
  </si>
  <si>
    <t>Valor Pago</t>
  </si>
  <si>
    <t>) =</t>
  </si>
  <si>
    <t>Fatur.</t>
  </si>
  <si>
    <t xml:space="preserve"> - (</t>
  </si>
  <si>
    <t>S/N</t>
  </si>
  <si>
    <t>S</t>
  </si>
  <si>
    <t>N</t>
  </si>
  <si>
    <t>C</t>
  </si>
  <si>
    <t>1657</t>
  </si>
  <si>
    <t>1656</t>
  </si>
  <si>
    <t>1653</t>
  </si>
  <si>
    <t>1659</t>
  </si>
  <si>
    <t>C. Déb.</t>
  </si>
  <si>
    <t>C. Créd.</t>
  </si>
  <si>
    <t>Beto</t>
  </si>
  <si>
    <t>Carlos</t>
  </si>
  <si>
    <t>Eliana</t>
  </si>
  <si>
    <t>Henrique</t>
  </si>
  <si>
    <t>Joana</t>
  </si>
  <si>
    <t>Kiko</t>
  </si>
  <si>
    <t>Laura</t>
  </si>
  <si>
    <t>ITBIs / ITCMDs</t>
  </si>
  <si>
    <t>Balanço dos Escreventes</t>
  </si>
  <si>
    <t>$ dp Finan.</t>
  </si>
  <si>
    <t>$ Gaveta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</si>
</sst>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43" formatCode="_-* #,##0.00_-;\-* #,##0.00_-;_-* &quot;-&quot;??_-;_-@_-"/>
    <numFmt numFmtId="164" formatCode="[$-F800]dddd\,\ mmmm\ dd\,\ yyyy"/>
  </numFmts>
  <fonts count="66" x14ac:knownFonts="1">
    <font>
      <sz val="11"/>
      <color theme="1"/>
      <name val="Calibri"/>
      <family val="2"/>
      <scheme val="minor"/>
    </font>
    <font>
      <b/>
      <sz val="11"/>
      <color theme="0"/>
      <name val="Calibri"/>
      <family val="2"/>
      <scheme val="minor"/>
    </font>
    <font>
      <sz val="11"/>
      <color theme="0"/>
      <name val="Calibri"/>
      <family val="2"/>
      <scheme val="minor"/>
    </font>
    <font>
      <b/>
      <sz val="11"/>
      <name val="Calibri"/>
      <family val="2"/>
      <scheme val="minor"/>
    </font>
    <font>
      <b/>
      <sz val="11"/>
      <color theme="1"/>
      <name val="Calibri"/>
      <family val="2"/>
      <scheme val="minor"/>
    </font>
    <font>
      <sz val="10"/>
      <color theme="1"/>
      <name val="Arial"/>
      <family val="2"/>
    </font>
    <font>
      <sz val="11"/>
      <color theme="1"/>
      <name val="Calibri"/>
      <family val="2"/>
      <scheme val="minor"/>
    </font>
    <font>
      <b/>
      <sz val="10"/>
      <color theme="1"/>
      <name val="Calibri"/>
      <family val="2"/>
      <scheme val="minor"/>
    </font>
    <font>
      <sz val="10"/>
      <color theme="1"/>
      <name val="Calibri"/>
      <family val="2"/>
      <scheme val="minor"/>
    </font>
    <font>
      <b/>
      <sz val="10"/>
      <color theme="0"/>
      <name val="Calibri"/>
      <family val="2"/>
      <scheme val="minor"/>
    </font>
    <font>
      <b/>
      <sz val="11"/>
      <color theme="7" tint="-0.499984740745262"/>
      <name val="Calibri"/>
      <family val="2"/>
      <scheme val="minor"/>
    </font>
    <font>
      <b/>
      <sz val="11"/>
      <color theme="5" tint="-0.499984740745262"/>
      <name val="Calibri"/>
      <family val="2"/>
      <scheme val="minor"/>
    </font>
    <font>
      <b/>
      <sz val="11"/>
      <color theme="5" tint="-0.249977111117893"/>
      <name val="Calibri"/>
      <family val="2"/>
      <scheme val="minor"/>
    </font>
    <font>
      <b/>
      <sz val="11"/>
      <color theme="9" tint="-0.499984740745262"/>
      <name val="Calibri"/>
      <family val="2"/>
      <scheme val="minor"/>
    </font>
    <font>
      <b/>
      <sz val="11"/>
      <color theme="4" tint="-0.499984740745262"/>
      <name val="Calibri"/>
      <family val="2"/>
      <scheme val="minor"/>
    </font>
    <font>
      <b/>
      <sz val="11"/>
      <color rgb="FF7030A0"/>
      <name val="Calibri"/>
      <family val="2"/>
      <scheme val="minor"/>
    </font>
    <font>
      <b/>
      <sz val="10"/>
      <color theme="1" tint="0.499984740745262"/>
      <name val="Calibri"/>
      <family val="2"/>
      <scheme val="minor"/>
    </font>
    <font>
      <b/>
      <sz val="10"/>
      <color theme="7" tint="-0.249977111117893"/>
      <name val="Calibri"/>
      <family val="2"/>
      <scheme val="minor"/>
    </font>
    <font>
      <b/>
      <sz val="10"/>
      <color theme="5" tint="-0.249977111117893"/>
      <name val="Calibri"/>
      <family val="2"/>
      <scheme val="minor"/>
    </font>
    <font>
      <b/>
      <sz val="10"/>
      <color theme="9" tint="-0.249977111117893"/>
      <name val="Calibri"/>
      <family val="2"/>
      <scheme val="minor"/>
    </font>
    <font>
      <b/>
      <sz val="10"/>
      <color theme="8" tint="-0.249977111117893"/>
      <name val="Calibri"/>
      <family val="2"/>
      <scheme val="minor"/>
    </font>
    <font>
      <b/>
      <sz val="10"/>
      <color rgb="FF7030A0"/>
      <name val="Calibri"/>
      <family val="2"/>
      <scheme val="minor"/>
    </font>
    <font>
      <sz val="10"/>
      <color theme="1" tint="0.499984740745262"/>
      <name val="Calibri"/>
      <family val="2"/>
      <scheme val="minor"/>
    </font>
    <font>
      <sz val="7"/>
      <color theme="2" tint="-0.249977111117893"/>
      <name val="Calibri"/>
      <family val="2"/>
      <scheme val="minor"/>
    </font>
    <font>
      <b/>
      <sz val="10"/>
      <name val="Calibri"/>
      <family val="2"/>
      <scheme val="minor"/>
    </font>
    <font>
      <sz val="10"/>
      <color theme="7" tint="-0.249977111117893"/>
      <name val="Calibri"/>
      <family val="2"/>
      <scheme val="minor"/>
    </font>
    <font>
      <sz val="10"/>
      <name val="Calibri"/>
      <family val="2"/>
      <scheme val="minor"/>
    </font>
    <font>
      <b/>
      <sz val="10"/>
      <color rgb="FFC00000"/>
      <name val="Calibri"/>
      <family val="2"/>
      <scheme val="minor"/>
    </font>
    <font>
      <sz val="10"/>
      <color theme="1" tint="0.34998626667073579"/>
      <name val="Calibri"/>
      <family val="2"/>
      <scheme val="minor"/>
    </font>
    <font>
      <sz val="9"/>
      <color theme="1" tint="0.34998626667073579"/>
      <name val="Calibri"/>
      <family val="2"/>
      <scheme val="minor"/>
    </font>
    <font>
      <sz val="8"/>
      <color theme="1" tint="0.34998626667073579"/>
      <name val="Calibri"/>
      <family val="2"/>
      <scheme val="minor"/>
    </font>
    <font>
      <b/>
      <sz val="10"/>
      <color theme="9" tint="-0.499984740745262"/>
      <name val="Calibri"/>
      <family val="2"/>
      <scheme val="minor"/>
    </font>
    <font>
      <sz val="10"/>
      <color rgb="FFC00000"/>
      <name val="Calibri"/>
      <family val="2"/>
      <scheme val="minor"/>
    </font>
    <font>
      <sz val="10"/>
      <color theme="9"/>
      <name val="Calibri"/>
      <family val="2"/>
      <scheme val="minor"/>
    </font>
    <font>
      <b/>
      <sz val="11"/>
      <color rgb="FFC00000"/>
      <name val="Calibri"/>
      <family val="2"/>
      <scheme val="minor"/>
    </font>
    <font>
      <sz val="11"/>
      <color rgb="FFC00000"/>
      <name val="Calibri"/>
      <family val="2"/>
      <scheme val="minor"/>
    </font>
    <font>
      <sz val="11"/>
      <name val="Calibri"/>
      <family val="2"/>
      <scheme val="minor"/>
    </font>
    <font>
      <b/>
      <sz val="11"/>
      <color theme="8" tint="-0.499984740745262"/>
      <name val="Calibri"/>
      <family val="2"/>
      <scheme val="minor"/>
    </font>
    <font>
      <sz val="11"/>
      <color theme="8" tint="-0.499984740745262"/>
      <name val="Calibri"/>
      <family val="2"/>
      <scheme val="minor"/>
    </font>
    <font>
      <sz val="10"/>
      <color theme="8" tint="-0.499984740745262"/>
      <name val="Calibri"/>
      <family val="2"/>
      <scheme val="minor"/>
    </font>
    <font>
      <b/>
      <sz val="9"/>
      <color rgb="FFC00000"/>
      <name val="Calibri"/>
      <family val="2"/>
      <scheme val="minor"/>
    </font>
    <font>
      <sz val="8"/>
      <name val="Calibri"/>
      <family val="2"/>
      <scheme val="minor"/>
    </font>
    <font>
      <sz val="9"/>
      <color theme="1"/>
      <name val="Calibri"/>
      <family val="2"/>
      <scheme val="minor"/>
    </font>
    <font>
      <b/>
      <sz val="8"/>
      <color theme="5" tint="0.59999389629810485"/>
      <name val="Calibri"/>
      <family val="2"/>
      <scheme val="minor"/>
    </font>
    <font>
      <b/>
      <sz val="10"/>
      <color theme="7" tint="-0.499984740745262"/>
      <name val="Calibri"/>
      <family val="2"/>
      <scheme val="minor"/>
    </font>
    <font>
      <sz val="9"/>
      <color theme="0"/>
      <name val="Calibri"/>
      <family val="2"/>
      <scheme val="minor"/>
    </font>
    <font>
      <b/>
      <sz val="11"/>
      <color theme="7" tint="0.59999389629810485"/>
      <name val="Calibri"/>
      <family val="2"/>
      <scheme val="minor"/>
    </font>
    <font>
      <b/>
      <sz val="8"/>
      <color theme="7" tint="0.59999389629810485"/>
      <name val="Calibri"/>
      <family val="2"/>
      <scheme val="minor"/>
    </font>
    <font>
      <b/>
      <sz val="8"/>
      <color theme="9" tint="0.59999389629810485"/>
      <name val="Calibri"/>
      <family val="2"/>
      <scheme val="minor"/>
    </font>
    <font>
      <b/>
      <sz val="8"/>
      <color theme="8" tint="0.59999389629810485"/>
      <name val="Calibri"/>
      <family val="2"/>
      <scheme val="minor"/>
    </font>
    <font>
      <b/>
      <sz val="8"/>
      <color rgb="FFE4D2F2"/>
      <name val="Calibri"/>
      <family val="2"/>
      <scheme val="minor"/>
    </font>
    <font>
      <b/>
      <sz val="8"/>
      <color theme="0" tint="-0.14999847407452621"/>
      <name val="Calibri"/>
      <family val="2"/>
      <scheme val="minor"/>
    </font>
    <font>
      <sz val="10"/>
      <color theme="9" tint="-0.249977111117893"/>
      <name val="Calibri"/>
      <family val="2"/>
      <scheme val="minor"/>
    </font>
    <font>
      <sz val="10"/>
      <color theme="1" tint="0.249977111117893"/>
      <name val="Calibri"/>
      <family val="2"/>
      <scheme val="minor"/>
    </font>
    <font>
      <sz val="9"/>
      <color theme="1" tint="0.249977111117893"/>
      <name val="Calibri"/>
      <family val="2"/>
      <scheme val="minor"/>
    </font>
    <font>
      <sz val="11"/>
      <color theme="7" tint="-0.499984740745262"/>
      <name val="Calibri"/>
      <family val="2"/>
      <scheme val="minor"/>
    </font>
    <font>
      <sz val="10"/>
      <color theme="7" tint="-0.499984740745262"/>
      <name val="Calibri"/>
      <family val="2"/>
      <scheme val="minor"/>
    </font>
    <font>
      <b/>
      <sz val="26"/>
      <color rgb="FFC00000"/>
      <name val="Calibri"/>
      <family val="2"/>
      <scheme val="minor"/>
    </font>
    <font>
      <b/>
      <sz val="9"/>
      <color theme="8" tint="-0.499984740745262"/>
      <name val="Calibri"/>
      <family val="2"/>
      <scheme val="minor"/>
    </font>
    <font>
      <b/>
      <sz val="12"/>
      <color rgb="FFC00000"/>
      <name val="Calibri"/>
      <family val="2"/>
      <scheme val="minor"/>
    </font>
    <font>
      <sz val="8"/>
      <color theme="1" tint="0.499984740745262"/>
      <name val="Calibri"/>
      <family val="2"/>
      <scheme val="minor"/>
    </font>
    <font>
      <b/>
      <sz val="9"/>
      <color theme="1" tint="0.499984740745262"/>
      <name val="Calibri"/>
      <family val="2"/>
      <scheme val="minor"/>
    </font>
    <font>
      <b/>
      <sz val="9"/>
      <color rgb="FFFFFF00"/>
      <name val="Calibri"/>
      <family val="2"/>
      <scheme val="minor"/>
    </font>
    <font>
      <sz val="10"/>
      <color rgb="FFFF99FF"/>
      <name val="Calibri"/>
      <family val="2"/>
      <scheme val="minor"/>
    </font>
    <font>
      <sz val="11"/>
      <color theme="1" tint="0.34998626667073579"/>
      <name val="Calibri"/>
      <family val="2"/>
      <scheme val="minor"/>
    </font>
    <font>
      <b/>
      <sz val="9"/>
      <color indexed="81"/>
      <name val="Segoe UI"/>
      <family val="2"/>
    </font>
  </fonts>
  <fills count="28">
    <fill>
      <patternFill patternType="none"/>
    </fill>
    <fill>
      <patternFill patternType="gray125"/>
    </fill>
    <fill>
      <patternFill patternType="solid">
        <fgColor theme="5" tint="0.39997558519241921"/>
        <bgColor indexed="64"/>
      </patternFill>
    </fill>
    <fill>
      <patternFill patternType="solid">
        <fgColor theme="5" tint="-0.249977111117893"/>
        <bgColor indexed="64"/>
      </patternFill>
    </fill>
    <fill>
      <patternFill patternType="solid">
        <fgColor theme="9" tint="-0.249977111117893"/>
        <bgColor indexed="64"/>
      </patternFill>
    </fill>
    <fill>
      <patternFill patternType="solid">
        <fgColor theme="1" tint="0.499984740745262"/>
        <bgColor indexed="64"/>
      </patternFill>
    </fill>
    <fill>
      <patternFill patternType="solid">
        <fgColor theme="0" tint="-4.9989318521683403E-2"/>
        <bgColor indexed="64"/>
      </patternFill>
    </fill>
    <fill>
      <patternFill patternType="solid">
        <fgColor theme="7" tint="-0.249977111117893"/>
        <bgColor indexed="64"/>
      </patternFill>
    </fill>
    <fill>
      <patternFill patternType="solid">
        <fgColor theme="8" tint="-0.249977111117893"/>
        <bgColor indexed="64"/>
      </patternFill>
    </fill>
    <fill>
      <patternFill patternType="solid">
        <fgColor rgb="FF7030A0"/>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theme="0" tint="-0.49998474074526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9" tint="0.79998168889431442"/>
        <bgColor indexed="64"/>
      </patternFill>
    </fill>
    <fill>
      <patternFill patternType="solid">
        <fgColor theme="4" tint="0.79998168889431442"/>
        <bgColor indexed="64"/>
      </patternFill>
    </fill>
    <fill>
      <patternFill patternType="solid">
        <fgColor rgb="FFEFE5F7"/>
        <bgColor indexed="64"/>
      </patternFill>
    </fill>
    <fill>
      <patternFill patternType="solid">
        <fgColor theme="2" tint="-9.9978637043366805E-2"/>
        <bgColor indexed="64"/>
      </patternFill>
    </fill>
    <fill>
      <patternFill patternType="solid">
        <fgColor theme="8" tint="0.79998168889431442"/>
        <bgColor indexed="64"/>
      </patternFill>
    </fill>
    <fill>
      <patternFill patternType="solid">
        <fgColor theme="8" tint="0.59999389629810485"/>
        <bgColor indexed="64"/>
      </patternFill>
    </fill>
    <fill>
      <patternFill patternType="solid">
        <fgColor theme="1" tint="0.249977111117893"/>
        <bgColor indexed="64"/>
      </patternFill>
    </fill>
    <fill>
      <gradientFill degree="270">
        <stop position="0">
          <color theme="0"/>
        </stop>
        <stop position="1">
          <color theme="1" tint="0.25098422193060094"/>
        </stop>
      </gradientFill>
    </fill>
    <fill>
      <patternFill patternType="solid">
        <fgColor theme="7" tint="0.39997558519241921"/>
        <bgColor indexed="64"/>
      </patternFill>
    </fill>
    <fill>
      <gradientFill degree="270">
        <stop position="0">
          <color theme="0"/>
        </stop>
        <stop position="1">
          <color theme="5" tint="0.40000610370189521"/>
        </stop>
      </gradientFill>
    </fill>
    <fill>
      <patternFill patternType="solid">
        <fgColor theme="0"/>
        <bgColor indexed="64"/>
      </patternFill>
    </fill>
    <fill>
      <gradientFill>
        <stop position="0">
          <color theme="5" tint="0.80001220740379042"/>
        </stop>
        <stop position="1">
          <color theme="0"/>
        </stop>
      </gradientFill>
    </fill>
    <fill>
      <gradientFill>
        <stop position="0">
          <color theme="5" tint="0.59999389629810485"/>
        </stop>
        <stop position="1">
          <color theme="0" tint="-5.0965910824915313E-2"/>
        </stop>
      </gradientFill>
    </fill>
  </fills>
  <borders count="120">
    <border>
      <left/>
      <right/>
      <top/>
      <bottom/>
      <diagonal/>
    </border>
    <border>
      <left style="thin">
        <color theme="2" tint="-9.9978637043366805E-2"/>
      </left>
      <right style="thin">
        <color theme="2" tint="-9.9978637043366805E-2"/>
      </right>
      <top style="thin">
        <color theme="2" tint="-9.9978637043366805E-2"/>
      </top>
      <bottom style="thin">
        <color theme="2" tint="-9.9978637043366805E-2"/>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theme="2" tint="-9.9978637043366805E-2"/>
      </left>
      <right/>
      <top style="thin">
        <color theme="2" tint="-9.9978637043366805E-2"/>
      </top>
      <bottom style="thin">
        <color theme="2" tint="-9.9978637043366805E-2"/>
      </bottom>
      <diagonal/>
    </border>
    <border>
      <left/>
      <right/>
      <top/>
      <bottom style="medium">
        <color rgb="FFFF0000"/>
      </bottom>
      <diagonal/>
    </border>
    <border>
      <left/>
      <right style="thin">
        <color theme="2" tint="-9.9978637043366805E-2"/>
      </right>
      <top style="thin">
        <color theme="2" tint="-9.9978637043366805E-2"/>
      </top>
      <bottom style="thin">
        <color theme="2" tint="-9.9978637043366805E-2"/>
      </bottom>
      <diagonal/>
    </border>
    <border>
      <left/>
      <right/>
      <top style="thin">
        <color theme="2" tint="-9.9978637043366805E-2"/>
      </top>
      <bottom style="thin">
        <color indexed="64"/>
      </bottom>
      <diagonal/>
    </border>
    <border>
      <left style="thin">
        <color theme="2" tint="-9.9978637043366805E-2"/>
      </left>
      <right/>
      <top/>
      <bottom/>
      <diagonal/>
    </border>
    <border>
      <left style="thin">
        <color theme="2" tint="-9.9978637043366805E-2"/>
      </left>
      <right style="thin">
        <color theme="2" tint="-9.9978637043366805E-2"/>
      </right>
      <top style="thin">
        <color theme="2" tint="-9.9978637043366805E-2"/>
      </top>
      <bottom/>
      <diagonal/>
    </border>
    <border>
      <left style="thin">
        <color theme="2" tint="-9.9978637043366805E-2"/>
      </left>
      <right/>
      <top style="thin">
        <color theme="2" tint="-9.9978637043366805E-2"/>
      </top>
      <bottom/>
      <diagonal/>
    </border>
    <border>
      <left style="thin">
        <color theme="2" tint="-9.9978637043366805E-2"/>
      </left>
      <right style="thin">
        <color theme="2" tint="-9.9978637043366805E-2"/>
      </right>
      <top/>
      <bottom/>
      <diagonal/>
    </border>
    <border>
      <left style="thin">
        <color indexed="64"/>
      </left>
      <right style="thin">
        <color indexed="64"/>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style="thin">
        <color theme="0" tint="-0.14999847407452621"/>
      </left>
      <right style="thin">
        <color indexed="64"/>
      </right>
      <top style="thin">
        <color indexed="64"/>
      </top>
      <bottom style="thin">
        <color theme="0" tint="-0.14999847407452621"/>
      </bottom>
      <diagonal/>
    </border>
    <border>
      <left style="thin">
        <color theme="0" tint="-0.14999847407452621"/>
      </left>
      <right style="thin">
        <color indexed="64"/>
      </right>
      <top style="thin">
        <color theme="0" tint="-0.14999847407452621"/>
      </top>
      <bottom style="thin">
        <color theme="0" tint="-0.14999847407452621"/>
      </bottom>
      <diagonal/>
    </border>
    <border>
      <left style="thin">
        <color theme="0" tint="-0.14999847407452621"/>
      </left>
      <right style="thin">
        <color indexed="64"/>
      </right>
      <top style="thin">
        <color theme="0" tint="-0.14999847407452621"/>
      </top>
      <bottom style="thin">
        <color indexed="64"/>
      </bottom>
      <diagonal/>
    </border>
    <border>
      <left/>
      <right style="thin">
        <color theme="0" tint="-0.14999847407452621"/>
      </right>
      <top style="thin">
        <color theme="0" tint="-0.14999847407452621"/>
      </top>
      <bottom style="thin">
        <color theme="0" tint="-0.14999847407452621"/>
      </bottom>
      <diagonal/>
    </border>
    <border>
      <left style="thin">
        <color theme="0"/>
      </left>
      <right/>
      <top/>
      <bottom/>
      <diagonal/>
    </border>
    <border>
      <left style="thin">
        <color theme="0"/>
      </left>
      <right style="thin">
        <color theme="0"/>
      </right>
      <top/>
      <bottom/>
      <diagonal/>
    </border>
    <border>
      <left/>
      <right style="thin">
        <color theme="0"/>
      </right>
      <top/>
      <bottom/>
      <diagonal/>
    </border>
    <border>
      <left style="thin">
        <color indexed="64"/>
      </left>
      <right style="thin">
        <color theme="0" tint="-0.14999847407452621"/>
      </right>
      <top style="thin">
        <color theme="0" tint="-0.14999847407452621"/>
      </top>
      <bottom style="thin">
        <color theme="0" tint="-0.14999847407452621"/>
      </bottom>
      <diagonal/>
    </border>
    <border>
      <left style="thin">
        <color indexed="64"/>
      </left>
      <right style="thin">
        <color theme="0" tint="-0.14999847407452621"/>
      </right>
      <top style="thin">
        <color theme="0" tint="-0.14999847407452621"/>
      </top>
      <bottom style="thin">
        <color indexed="64"/>
      </bottom>
      <diagonal/>
    </border>
    <border>
      <left/>
      <right/>
      <top style="thin">
        <color theme="0" tint="-0.14999847407452621"/>
      </top>
      <bottom style="thin">
        <color theme="0" tint="-0.14999847407452621"/>
      </bottom>
      <diagonal/>
    </border>
    <border>
      <left/>
      <right/>
      <top/>
      <bottom style="double">
        <color indexed="64"/>
      </bottom>
      <diagonal/>
    </border>
    <border>
      <left style="thin">
        <color theme="2"/>
      </left>
      <right style="thin">
        <color theme="2"/>
      </right>
      <top style="thin">
        <color theme="2"/>
      </top>
      <bottom style="thin">
        <color theme="2"/>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theme="0" tint="-0.14999847407452621"/>
      </top>
      <bottom style="thin">
        <color theme="0" tint="-0.14999847407452621"/>
      </bottom>
      <diagonal/>
    </border>
    <border>
      <left/>
      <right style="thin">
        <color theme="0" tint="-0.14999847407452621"/>
      </right>
      <top style="thin">
        <color indexed="64"/>
      </top>
      <bottom/>
      <diagonal/>
    </border>
    <border>
      <left style="thin">
        <color theme="0" tint="-0.14999847407452621"/>
      </left>
      <right style="thin">
        <color theme="0" tint="-0.14999847407452621"/>
      </right>
      <top style="thin">
        <color indexed="64"/>
      </top>
      <bottom/>
      <diagonal/>
    </border>
    <border>
      <left style="thin">
        <color theme="0" tint="-0.14999847407452621"/>
      </left>
      <right style="thin">
        <color indexed="64"/>
      </right>
      <top style="thin">
        <color indexed="64"/>
      </top>
      <bottom/>
      <diagonal/>
    </border>
    <border>
      <left/>
      <right style="thin">
        <color theme="0" tint="-0.14999847407452621"/>
      </right>
      <top/>
      <bottom style="thin">
        <color indexed="64"/>
      </bottom>
      <diagonal/>
    </border>
    <border>
      <left style="thin">
        <color theme="0" tint="-0.14999847407452621"/>
      </left>
      <right style="thin">
        <color theme="0" tint="-0.14999847407452621"/>
      </right>
      <top/>
      <bottom style="thin">
        <color indexed="64"/>
      </bottom>
      <diagonal/>
    </border>
    <border>
      <left style="thin">
        <color theme="0" tint="-0.14999847407452621"/>
      </left>
      <right style="thin">
        <color indexed="64"/>
      </right>
      <top/>
      <bottom style="thin">
        <color indexed="64"/>
      </bottom>
      <diagonal/>
    </border>
    <border>
      <left style="thin">
        <color theme="2"/>
      </left>
      <right style="thin">
        <color theme="0" tint="-0.14999847407452621"/>
      </right>
      <top style="thin">
        <color theme="2"/>
      </top>
      <bottom style="thin">
        <color theme="0" tint="-0.14999847407452621"/>
      </bottom>
      <diagonal/>
    </border>
    <border>
      <left style="thin">
        <color theme="0" tint="-0.14999847407452621"/>
      </left>
      <right style="thin">
        <color theme="0" tint="-0.14999847407452621"/>
      </right>
      <top style="thin">
        <color theme="2"/>
      </top>
      <bottom style="thin">
        <color theme="0" tint="-0.14999847407452621"/>
      </bottom>
      <diagonal/>
    </border>
    <border>
      <left style="thin">
        <color theme="0" tint="-0.14999847407452621"/>
      </left>
      <right style="thin">
        <color indexed="64"/>
      </right>
      <top style="thin">
        <color theme="2"/>
      </top>
      <bottom style="thin">
        <color theme="0" tint="-0.14999847407452621"/>
      </bottom>
      <diagonal/>
    </border>
    <border>
      <left/>
      <right style="thin">
        <color theme="0" tint="-0.14999847407452621"/>
      </right>
      <top style="thin">
        <color theme="2"/>
      </top>
      <bottom style="thin">
        <color theme="0" tint="-0.14999847407452621"/>
      </bottom>
      <diagonal/>
    </border>
    <border>
      <left style="thin">
        <color theme="0" tint="-0.14999847407452621"/>
      </left>
      <right style="thin">
        <color theme="2"/>
      </right>
      <top style="thin">
        <color theme="2"/>
      </top>
      <bottom style="thin">
        <color theme="0" tint="-0.14999847407452621"/>
      </bottom>
      <diagonal/>
    </border>
    <border>
      <left style="thin">
        <color theme="2"/>
      </left>
      <right style="thin">
        <color theme="0" tint="-0.14999847407452621"/>
      </right>
      <top style="thin">
        <color theme="0" tint="-0.14999847407452621"/>
      </top>
      <bottom style="thin">
        <color theme="0" tint="-0.14999847407452621"/>
      </bottom>
      <diagonal/>
    </border>
    <border>
      <left style="thin">
        <color theme="0" tint="-0.14999847407452621"/>
      </left>
      <right style="thin">
        <color theme="2"/>
      </right>
      <top style="thin">
        <color theme="0" tint="-0.14999847407452621"/>
      </top>
      <bottom style="thin">
        <color theme="0" tint="-0.14999847407452621"/>
      </bottom>
      <diagonal/>
    </border>
    <border>
      <left style="thin">
        <color theme="2"/>
      </left>
      <right style="thin">
        <color theme="0" tint="-0.14999847407452621"/>
      </right>
      <top style="thin">
        <color theme="0" tint="-0.14999847407452621"/>
      </top>
      <bottom style="thin">
        <color theme="2"/>
      </bottom>
      <diagonal/>
    </border>
    <border>
      <left style="thin">
        <color theme="0" tint="-0.14999847407452621"/>
      </left>
      <right style="thin">
        <color theme="0" tint="-0.14999847407452621"/>
      </right>
      <top style="thin">
        <color theme="0" tint="-0.14999847407452621"/>
      </top>
      <bottom style="thin">
        <color theme="2"/>
      </bottom>
      <diagonal/>
    </border>
    <border>
      <left style="thin">
        <color theme="0" tint="-0.14999847407452621"/>
      </left>
      <right style="thin">
        <color indexed="64"/>
      </right>
      <top style="thin">
        <color theme="0" tint="-0.14999847407452621"/>
      </top>
      <bottom style="thin">
        <color theme="2"/>
      </bottom>
      <diagonal/>
    </border>
    <border>
      <left/>
      <right style="thin">
        <color theme="0" tint="-0.14999847407452621"/>
      </right>
      <top style="thin">
        <color theme="0" tint="-0.14999847407452621"/>
      </top>
      <bottom style="thin">
        <color theme="2"/>
      </bottom>
      <diagonal/>
    </border>
    <border>
      <left style="thin">
        <color theme="0" tint="-0.14999847407452621"/>
      </left>
      <right style="thin">
        <color theme="2"/>
      </right>
      <top style="thin">
        <color theme="0" tint="-0.14999847407452621"/>
      </top>
      <bottom style="thin">
        <color theme="2"/>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right style="thin">
        <color theme="0"/>
      </right>
      <top style="thin">
        <color theme="0"/>
      </top>
      <bottom style="thin">
        <color theme="0"/>
      </bottom>
      <diagonal/>
    </border>
    <border>
      <left/>
      <right/>
      <top style="thin">
        <color theme="0"/>
      </top>
      <bottom style="thin">
        <color theme="0"/>
      </bottom>
      <diagonal/>
    </border>
    <border>
      <left style="thin">
        <color theme="0"/>
      </left>
      <right style="thin">
        <color theme="0"/>
      </right>
      <top/>
      <bottom style="thin">
        <color theme="0"/>
      </bottom>
      <diagonal/>
    </border>
    <border>
      <left style="thin">
        <color theme="0"/>
      </left>
      <right style="thin">
        <color theme="0"/>
      </right>
      <top style="thin">
        <color theme="0"/>
      </top>
      <bottom style="double">
        <color indexed="64"/>
      </bottom>
      <diagonal/>
    </border>
    <border>
      <left style="thin">
        <color theme="0"/>
      </left>
      <right style="thin">
        <color theme="0"/>
      </right>
      <top/>
      <bottom style="double">
        <color indexed="64"/>
      </bottom>
      <diagonal/>
    </border>
    <border>
      <left/>
      <right style="thin">
        <color theme="0"/>
      </right>
      <top style="thin">
        <color theme="0"/>
      </top>
      <bottom style="double">
        <color indexed="64"/>
      </bottom>
      <diagonal/>
    </border>
    <border>
      <left/>
      <right style="thin">
        <color indexed="64"/>
      </right>
      <top/>
      <bottom style="double">
        <color indexed="64"/>
      </bottom>
      <diagonal/>
    </border>
    <border>
      <left/>
      <right style="double">
        <color auto="1"/>
      </right>
      <top style="thin">
        <color theme="0"/>
      </top>
      <bottom style="thin">
        <color theme="0"/>
      </bottom>
      <diagonal/>
    </border>
    <border>
      <left style="thin">
        <color theme="0"/>
      </left>
      <right style="double">
        <color auto="1"/>
      </right>
      <top style="thin">
        <color theme="0"/>
      </top>
      <bottom style="double">
        <color indexed="64"/>
      </bottom>
      <diagonal/>
    </border>
    <border>
      <left/>
      <right style="thin">
        <color theme="0"/>
      </right>
      <top/>
      <bottom style="double">
        <color indexed="64"/>
      </bottom>
      <diagonal/>
    </border>
    <border>
      <left style="thin">
        <color indexed="64"/>
      </left>
      <right/>
      <top style="double">
        <color indexed="64"/>
      </top>
      <bottom/>
      <diagonal/>
    </border>
    <border>
      <left/>
      <right/>
      <top style="double">
        <color indexed="64"/>
      </top>
      <bottom/>
      <diagonal/>
    </border>
    <border>
      <left/>
      <right style="thin">
        <color indexed="64"/>
      </right>
      <top style="double">
        <color indexed="64"/>
      </top>
      <bottom/>
      <diagonal/>
    </border>
    <border>
      <left/>
      <right/>
      <top style="double">
        <color indexed="64"/>
      </top>
      <bottom style="thin">
        <color theme="0"/>
      </bottom>
      <diagonal/>
    </border>
    <border>
      <left/>
      <right style="double">
        <color auto="1"/>
      </right>
      <top style="double">
        <color indexed="64"/>
      </top>
      <bottom style="thin">
        <color theme="0"/>
      </bottom>
      <diagonal/>
    </border>
    <border>
      <left/>
      <right style="double">
        <color theme="1" tint="0.249977111117893"/>
      </right>
      <top style="thin">
        <color theme="0"/>
      </top>
      <bottom style="thin">
        <color theme="0"/>
      </bottom>
      <diagonal/>
    </border>
    <border>
      <left style="thin">
        <color theme="0"/>
      </left>
      <right style="double">
        <color theme="1" tint="0.249977111117893"/>
      </right>
      <top style="thin">
        <color theme="0"/>
      </top>
      <bottom style="thin">
        <color theme="0"/>
      </bottom>
      <diagonal/>
    </border>
    <border>
      <left style="thin">
        <color theme="0"/>
      </left>
      <right style="double">
        <color theme="1" tint="0.249977111117893"/>
      </right>
      <top style="thin">
        <color theme="0"/>
      </top>
      <bottom style="double">
        <color indexed="64"/>
      </bottom>
      <diagonal/>
    </border>
    <border>
      <left/>
      <right style="double">
        <color theme="1" tint="0.249977111117893"/>
      </right>
      <top style="double">
        <color indexed="64"/>
      </top>
      <bottom style="thin">
        <color theme="0"/>
      </bottom>
      <diagonal/>
    </border>
    <border>
      <left style="thin">
        <color theme="0" tint="-0.14999847407452621"/>
      </left>
      <right style="thin">
        <color theme="0" tint="-0.14999847407452621"/>
      </right>
      <top style="thin">
        <color theme="0" tint="-0.14999847407452621"/>
      </top>
      <bottom style="thin">
        <color indexed="64"/>
      </bottom>
      <diagonal/>
    </border>
    <border>
      <left style="thin">
        <color indexed="64"/>
      </left>
      <right style="thin">
        <color theme="0" tint="-0.14999847407452621"/>
      </right>
      <top style="double">
        <color indexed="64"/>
      </top>
      <bottom style="thin">
        <color theme="0" tint="-0.14999847407452621"/>
      </bottom>
      <diagonal/>
    </border>
    <border>
      <left style="thin">
        <color theme="0" tint="-0.14999847407452621"/>
      </left>
      <right style="thin">
        <color theme="0" tint="-0.14999847407452621"/>
      </right>
      <top style="double">
        <color indexed="64"/>
      </top>
      <bottom style="thin">
        <color theme="0" tint="-0.14999847407452621"/>
      </bottom>
      <diagonal/>
    </border>
    <border>
      <left style="thin">
        <color theme="0" tint="-0.14999847407452621"/>
      </left>
      <right style="thin">
        <color indexed="64"/>
      </right>
      <top style="double">
        <color indexed="64"/>
      </top>
      <bottom style="thin">
        <color theme="0" tint="-0.14999847407452621"/>
      </bottom>
      <diagonal/>
    </border>
    <border>
      <left style="thin">
        <color theme="0"/>
      </left>
      <right/>
      <top/>
      <bottom style="double">
        <color indexed="64"/>
      </bottom>
      <diagonal/>
    </border>
    <border>
      <left style="thin">
        <color theme="0"/>
      </left>
      <right/>
      <top/>
      <bottom style="thin">
        <color theme="0"/>
      </bottom>
      <diagonal/>
    </border>
    <border>
      <left style="thin">
        <color indexed="64"/>
      </left>
      <right style="thin">
        <color theme="0" tint="-0.14999847407452621"/>
      </right>
      <top style="thin">
        <color theme="0" tint="-0.14999847407452621"/>
      </top>
      <bottom/>
      <diagonal/>
    </border>
    <border>
      <left/>
      <right/>
      <top style="thin">
        <color theme="0" tint="-0.14999847407452621"/>
      </top>
      <bottom/>
      <diagonal/>
    </border>
    <border>
      <left style="thin">
        <color theme="0" tint="-0.14999847407452621"/>
      </left>
      <right style="thin">
        <color indexed="64"/>
      </right>
      <top style="thin">
        <color theme="0" tint="-0.14999847407452621"/>
      </top>
      <bottom/>
      <diagonal/>
    </border>
    <border>
      <left style="thin">
        <color theme="2" tint="-9.9978637043366805E-2"/>
      </left>
      <right style="thin">
        <color theme="2" tint="-9.9978637043366805E-2"/>
      </right>
      <top style="thin">
        <color theme="2" tint="-9.9978637043366805E-2"/>
      </top>
      <bottom style="thin">
        <color indexed="64"/>
      </bottom>
      <diagonal/>
    </border>
    <border>
      <left style="thin">
        <color indexed="64"/>
      </left>
      <right style="thin">
        <color theme="2" tint="-9.9978637043366805E-2"/>
      </right>
      <top style="thin">
        <color theme="2" tint="-9.9978637043366805E-2"/>
      </top>
      <bottom style="thin">
        <color indexed="64"/>
      </bottom>
      <diagonal/>
    </border>
    <border>
      <left style="thin">
        <color theme="2" tint="-9.9978637043366805E-2"/>
      </left>
      <right style="thin">
        <color indexed="64"/>
      </right>
      <top style="thin">
        <color theme="2" tint="-9.9978637043366805E-2"/>
      </top>
      <bottom style="thin">
        <color indexed="64"/>
      </bottom>
      <diagonal/>
    </border>
    <border>
      <left style="thin">
        <color theme="2"/>
      </left>
      <right style="thin">
        <color theme="2"/>
      </right>
      <top style="thin">
        <color theme="2"/>
      </top>
      <bottom/>
      <diagonal/>
    </border>
    <border>
      <left style="thin">
        <color theme="2" tint="-9.9978637043366805E-2"/>
      </left>
      <right style="thin">
        <color theme="2" tint="-9.9978637043366805E-2"/>
      </right>
      <top/>
      <bottom style="thin">
        <color theme="2" tint="-9.9978637043366805E-2"/>
      </bottom>
      <diagonal/>
    </border>
    <border>
      <left/>
      <right style="thin">
        <color indexed="64"/>
      </right>
      <top style="double">
        <color indexed="64"/>
      </top>
      <bottom style="thin">
        <color theme="0" tint="-0.14999847407452621"/>
      </bottom>
      <diagonal/>
    </border>
    <border>
      <left/>
      <right/>
      <top style="thin">
        <color theme="2" tint="-9.9978637043366805E-2"/>
      </top>
      <bottom style="thin">
        <color theme="2" tint="-9.9978637043366805E-2"/>
      </bottom>
      <diagonal/>
    </border>
    <border>
      <left/>
      <right style="thin">
        <color theme="2" tint="-9.9978637043366805E-2"/>
      </right>
      <top style="thin">
        <color theme="2" tint="-9.9978637043366805E-2"/>
      </top>
      <bottom/>
      <diagonal/>
    </border>
    <border>
      <left style="thin">
        <color theme="0"/>
      </left>
      <right style="thin">
        <color theme="2" tint="-9.9978637043366805E-2"/>
      </right>
      <top style="thin">
        <color theme="2" tint="-9.9978637043366805E-2"/>
      </top>
      <bottom style="thin">
        <color theme="2" tint="-9.9978637043366805E-2"/>
      </bottom>
      <diagonal/>
    </border>
    <border>
      <left style="thin">
        <color theme="2" tint="-9.9978637043366805E-2"/>
      </left>
      <right style="thin">
        <color theme="0"/>
      </right>
      <top style="thin">
        <color theme="2" tint="-9.9978637043366805E-2"/>
      </top>
      <bottom style="thin">
        <color theme="2" tint="-9.9978637043366805E-2"/>
      </bottom>
      <diagonal/>
    </border>
    <border>
      <left/>
      <right style="thin">
        <color theme="2" tint="-9.9978637043366805E-2"/>
      </right>
      <top/>
      <bottom/>
      <diagonal/>
    </border>
    <border>
      <left/>
      <right style="thin">
        <color theme="5" tint="0.59999389629810485"/>
      </right>
      <top/>
      <bottom/>
      <diagonal/>
    </border>
    <border>
      <left style="thin">
        <color theme="0"/>
      </left>
      <right style="thin">
        <color theme="5" tint="0.59999389629810485"/>
      </right>
      <top/>
      <bottom/>
      <diagonal/>
    </border>
    <border>
      <left style="thin">
        <color theme="0"/>
      </left>
      <right/>
      <top style="thin">
        <color theme="5" tint="0.39997558519241921"/>
      </top>
      <bottom/>
      <diagonal/>
    </border>
    <border>
      <left/>
      <right style="thin">
        <color theme="0"/>
      </right>
      <top style="thin">
        <color theme="5" tint="0.39997558519241921"/>
      </top>
      <bottom/>
      <diagonal/>
    </border>
    <border>
      <left style="thin">
        <color theme="0"/>
      </left>
      <right style="thin">
        <color theme="5" tint="0.59999389629810485"/>
      </right>
      <top style="thin">
        <color theme="5" tint="0.39997558519241921"/>
      </top>
      <bottom/>
      <diagonal/>
    </border>
    <border>
      <left/>
      <right style="thin">
        <color theme="5" tint="0.39997558519241921"/>
      </right>
      <top style="thin">
        <color theme="5" tint="0.39997558519241921"/>
      </top>
      <bottom/>
      <diagonal/>
    </border>
    <border>
      <left/>
      <right style="thin">
        <color theme="5" tint="0.39997558519241921"/>
      </right>
      <top/>
      <bottom/>
      <diagonal/>
    </border>
    <border>
      <left/>
      <right/>
      <top/>
      <bottom style="thin">
        <color theme="5" tint="0.39997558519241921"/>
      </bottom>
      <diagonal/>
    </border>
    <border>
      <left/>
      <right style="thin">
        <color theme="5" tint="0.59999389629810485"/>
      </right>
      <top/>
      <bottom style="thin">
        <color theme="5" tint="0.39997558519241921"/>
      </bottom>
      <diagonal/>
    </border>
    <border>
      <left/>
      <right/>
      <top style="thin">
        <color theme="5" tint="0.39997558519241921"/>
      </top>
      <bottom/>
      <diagonal/>
    </border>
    <border>
      <left style="thin">
        <color theme="0"/>
      </left>
      <right style="thin">
        <color theme="5" tint="0.39997558519241921"/>
      </right>
      <top/>
      <bottom/>
      <diagonal/>
    </border>
    <border>
      <left style="thin">
        <color theme="0"/>
      </left>
      <right style="thin">
        <color theme="0"/>
      </right>
      <top/>
      <bottom style="thin">
        <color theme="5" tint="0.39997558519241921"/>
      </bottom>
      <diagonal/>
    </border>
    <border>
      <left style="thin">
        <color theme="0"/>
      </left>
      <right style="thin">
        <color theme="5" tint="0.39997558519241921"/>
      </right>
      <top/>
      <bottom style="thin">
        <color theme="5" tint="0.39997558519241921"/>
      </bottom>
      <diagonal/>
    </border>
    <border>
      <left style="thin">
        <color theme="5" tint="0.79998168889431442"/>
      </left>
      <right/>
      <top/>
      <bottom/>
      <diagonal/>
    </border>
    <border>
      <left style="thin">
        <color theme="5" tint="0.79998168889431442"/>
      </left>
      <right/>
      <top style="thin">
        <color theme="5" tint="0.39997558519241921"/>
      </top>
      <bottom/>
      <diagonal/>
    </border>
    <border>
      <left style="thin">
        <color theme="5" tint="0.59999389629810485"/>
      </left>
      <right style="thin">
        <color theme="5" tint="0.59999389629810485"/>
      </right>
      <top style="thin">
        <color theme="5" tint="0.39997558519241921"/>
      </top>
      <bottom/>
      <diagonal/>
    </border>
    <border>
      <left style="thin">
        <color theme="5" tint="0.59999389629810485"/>
      </left>
      <right style="thin">
        <color theme="5" tint="0.59999389629810485"/>
      </right>
      <top/>
      <bottom style="thin">
        <color theme="5" tint="0.59999389629810485"/>
      </bottom>
      <diagonal/>
    </border>
    <border>
      <left style="thin">
        <color theme="5" tint="0.59999389629810485"/>
      </left>
      <right style="thin">
        <color theme="5" tint="0.79998168889431442"/>
      </right>
      <top/>
      <bottom style="thin">
        <color theme="5" tint="0.59999389629810485"/>
      </bottom>
      <diagonal/>
    </border>
    <border>
      <left style="thin">
        <color theme="5" tint="0.59999389629810485"/>
      </left>
      <right style="thin">
        <color indexed="64"/>
      </right>
      <top style="thin">
        <color theme="5" tint="0.39997558519241921"/>
      </top>
      <bottom/>
      <diagonal/>
    </border>
    <border>
      <left style="thin">
        <color theme="5" tint="0.59999389629810485"/>
      </left>
      <right style="thin">
        <color indexed="64"/>
      </right>
      <top/>
      <bottom/>
      <diagonal/>
    </border>
    <border>
      <left style="thin">
        <color theme="5" tint="0.59999389629810485"/>
      </left>
      <right style="thin">
        <color indexed="64"/>
      </right>
      <top/>
      <bottom style="thin">
        <color theme="5" tint="0.39997558519241921"/>
      </bottom>
      <diagonal/>
    </border>
    <border>
      <left/>
      <right style="thin">
        <color theme="0"/>
      </right>
      <top/>
      <bottom style="thin">
        <color theme="5" tint="0.39997558519241921"/>
      </bottom>
      <diagonal/>
    </border>
    <border>
      <left style="thin">
        <color theme="5" tint="0.59999389629810485"/>
      </left>
      <right style="thin">
        <color theme="5" tint="0.79998168889431442"/>
      </right>
      <top style="thin">
        <color theme="5" tint="0.39997558519241921"/>
      </top>
      <bottom/>
      <diagonal/>
    </border>
    <border>
      <left/>
      <right/>
      <top style="thin">
        <color indexed="64"/>
      </top>
      <bottom style="thin">
        <color theme="5" tint="0.39997558519241921"/>
      </bottom>
      <diagonal/>
    </border>
    <border>
      <left/>
      <right/>
      <top style="double">
        <color indexed="64"/>
      </top>
      <bottom style="thin">
        <color theme="5" tint="0.39997558519241921"/>
      </bottom>
      <diagonal/>
    </border>
  </borders>
  <cellStyleXfs count="3">
    <xf numFmtId="0" fontId="0" fillId="0" borderId="0"/>
    <xf numFmtId="0" fontId="5" fillId="0" borderId="0"/>
    <xf numFmtId="43" fontId="6" fillId="0" borderId="0" applyFont="0" applyFill="0" applyBorder="0" applyAlignment="0" applyProtection="0"/>
  </cellStyleXfs>
  <cellXfs count="605">
    <xf numFmtId="0" fontId="0" fillId="0" borderId="0" xfId="0"/>
    <xf numFmtId="0" fontId="0" fillId="0" borderId="0" xfId="0" applyAlignment="1">
      <alignment horizontal="center"/>
    </xf>
    <xf numFmtId="0" fontId="2" fillId="7" borderId="0" xfId="0" applyFont="1" applyFill="1" applyAlignment="1">
      <alignment horizontal="center"/>
    </xf>
    <xf numFmtId="0" fontId="2" fillId="3" borderId="0" xfId="0" applyFont="1" applyFill="1" applyAlignment="1">
      <alignment horizontal="center"/>
    </xf>
    <xf numFmtId="0" fontId="2" fillId="4" borderId="0" xfId="0" applyFont="1" applyFill="1" applyAlignment="1">
      <alignment horizontal="center"/>
    </xf>
    <xf numFmtId="0" fontId="2" fillId="9" borderId="0" xfId="0" applyFont="1" applyFill="1" applyAlignment="1">
      <alignment horizontal="center"/>
    </xf>
    <xf numFmtId="0" fontId="2" fillId="8" borderId="0" xfId="0" applyFont="1" applyFill="1" applyAlignment="1">
      <alignment horizontal="center"/>
    </xf>
    <xf numFmtId="2" fontId="0" fillId="0" borderId="0" xfId="0" applyNumberFormat="1" applyAlignment="1">
      <alignment horizontal="center"/>
    </xf>
    <xf numFmtId="0" fontId="0" fillId="11" borderId="0" xfId="0" applyFill="1" applyAlignment="1">
      <alignment horizontal="center"/>
    </xf>
    <xf numFmtId="0" fontId="0" fillId="0" borderId="0" xfId="0" applyAlignment="1">
      <alignment horizontal="left"/>
    </xf>
    <xf numFmtId="4" fontId="0" fillId="0" borderId="0" xfId="0" applyNumberFormat="1" applyAlignment="1">
      <alignment horizontal="center"/>
    </xf>
    <xf numFmtId="0" fontId="36" fillId="11" borderId="0" xfId="0" applyFont="1" applyFill="1"/>
    <xf numFmtId="4" fontId="0" fillId="0" borderId="2" xfId="0" applyNumberFormat="1" applyBorder="1" applyAlignment="1">
      <alignment horizontal="center"/>
    </xf>
    <xf numFmtId="4" fontId="0" fillId="0" borderId="3" xfId="0" applyNumberFormat="1" applyBorder="1" applyAlignment="1">
      <alignment horizontal="center"/>
    </xf>
    <xf numFmtId="4" fontId="0" fillId="0" borderId="5" xfId="0" applyNumberFormat="1" applyBorder="1" applyAlignment="1">
      <alignment horizontal="center"/>
    </xf>
    <xf numFmtId="4" fontId="0" fillId="0" borderId="7" xfId="0" applyNumberFormat="1" applyBorder="1" applyAlignment="1">
      <alignment horizontal="center"/>
    </xf>
    <xf numFmtId="4" fontId="0" fillId="0" borderId="8" xfId="0" applyNumberFormat="1" applyBorder="1" applyAlignment="1">
      <alignment horizontal="center"/>
    </xf>
    <xf numFmtId="4" fontId="0" fillId="0" borderId="2" xfId="0" applyNumberFormat="1" applyBorder="1" applyAlignment="1">
      <alignment horizontal="center" shrinkToFit="1"/>
    </xf>
    <xf numFmtId="4" fontId="0" fillId="0" borderId="3" xfId="0" applyNumberFormat="1" applyBorder="1" applyAlignment="1">
      <alignment horizontal="center" shrinkToFit="1"/>
    </xf>
    <xf numFmtId="4" fontId="0" fillId="0" borderId="5" xfId="0" applyNumberFormat="1" applyBorder="1" applyAlignment="1">
      <alignment horizontal="center" shrinkToFit="1"/>
    </xf>
    <xf numFmtId="4" fontId="0" fillId="0" borderId="0" xfId="0" applyNumberFormat="1" applyAlignment="1">
      <alignment horizontal="center" shrinkToFit="1"/>
    </xf>
    <xf numFmtId="4" fontId="0" fillId="0" borderId="7" xfId="0" applyNumberFormat="1" applyBorder="1" applyAlignment="1">
      <alignment horizontal="center" shrinkToFit="1"/>
    </xf>
    <xf numFmtId="4" fontId="0" fillId="0" borderId="8" xfId="0" applyNumberFormat="1" applyBorder="1" applyAlignment="1">
      <alignment horizontal="center" shrinkToFit="1"/>
    </xf>
    <xf numFmtId="4" fontId="0" fillId="0" borderId="4" xfId="0" applyNumberFormat="1" applyBorder="1" applyAlignment="1">
      <alignment horizontal="center" shrinkToFit="1"/>
    </xf>
    <xf numFmtId="4" fontId="0" fillId="0" borderId="6" xfId="0" applyNumberFormat="1" applyBorder="1" applyAlignment="1">
      <alignment horizontal="center" shrinkToFit="1"/>
    </xf>
    <xf numFmtId="4" fontId="0" fillId="0" borderId="9" xfId="0" applyNumberFormat="1" applyBorder="1" applyAlignment="1">
      <alignment horizontal="center" shrinkToFit="1"/>
    </xf>
    <xf numFmtId="0" fontId="0" fillId="11" borderId="0" xfId="0" applyFill="1" applyAlignment="1">
      <alignment horizontal="left"/>
    </xf>
    <xf numFmtId="4" fontId="0" fillId="0" borderId="4" xfId="0" applyNumberFormat="1" applyBorder="1" applyAlignment="1">
      <alignment horizontal="left"/>
    </xf>
    <xf numFmtId="0" fontId="0" fillId="0" borderId="6" xfId="0" applyBorder="1" applyAlignment="1">
      <alignment horizontal="left"/>
    </xf>
    <xf numFmtId="4" fontId="0" fillId="0" borderId="6" xfId="0" applyNumberFormat="1" applyBorder="1" applyAlignment="1">
      <alignment horizontal="left"/>
    </xf>
    <xf numFmtId="4" fontId="0" fillId="0" borderId="9" xfId="0" applyNumberFormat="1" applyBorder="1" applyAlignment="1">
      <alignment horizontal="left"/>
    </xf>
    <xf numFmtId="0" fontId="0" fillId="0" borderId="18" xfId="0" applyBorder="1" applyAlignment="1">
      <alignment horizontal="center"/>
    </xf>
    <xf numFmtId="0" fontId="0" fillId="0" borderId="34" xfId="0" applyBorder="1" applyAlignment="1">
      <alignment horizontal="center"/>
    </xf>
    <xf numFmtId="14" fontId="0" fillId="0" borderId="0" xfId="0" applyNumberFormat="1" applyAlignment="1">
      <alignment horizontal="center"/>
    </xf>
    <xf numFmtId="0" fontId="0" fillId="18" borderId="0" xfId="0" applyFill="1"/>
    <xf numFmtId="0" fontId="0" fillId="18" borderId="0" xfId="0" applyFill="1" applyAlignment="1">
      <alignment horizontal="center"/>
    </xf>
    <xf numFmtId="4" fontId="9" fillId="7" borderId="67" xfId="0" applyNumberFormat="1" applyFont="1" applyFill="1" applyBorder="1" applyAlignment="1">
      <alignment horizontal="center"/>
    </xf>
    <xf numFmtId="4" fontId="17" fillId="7" borderId="67" xfId="0" applyNumberFormat="1" applyFont="1" applyFill="1" applyBorder="1" applyAlignment="1">
      <alignment horizontal="center"/>
    </xf>
    <xf numFmtId="4" fontId="9" fillId="3" borderId="67" xfId="0" applyNumberFormat="1" applyFont="1" applyFill="1" applyBorder="1" applyAlignment="1">
      <alignment horizontal="center"/>
    </xf>
    <xf numFmtId="4" fontId="18" fillId="3" borderId="67" xfId="0" applyNumberFormat="1" applyFont="1" applyFill="1" applyBorder="1" applyAlignment="1">
      <alignment horizontal="center"/>
    </xf>
    <xf numFmtId="4" fontId="8" fillId="7" borderId="0" xfId="0" applyNumberFormat="1" applyFont="1" applyFill="1" applyAlignment="1">
      <alignment horizontal="right" shrinkToFit="1"/>
    </xf>
    <xf numFmtId="4" fontId="8" fillId="3" borderId="0" xfId="0" applyNumberFormat="1" applyFont="1" applyFill="1" applyAlignment="1">
      <alignment horizontal="right" shrinkToFit="1"/>
    </xf>
    <xf numFmtId="4" fontId="8" fillId="7" borderId="14" xfId="0" applyNumberFormat="1" applyFont="1" applyFill="1" applyBorder="1" applyAlignment="1">
      <alignment horizontal="right" shrinkToFit="1"/>
    </xf>
    <xf numFmtId="4" fontId="8" fillId="3" borderId="14" xfId="0" applyNumberFormat="1" applyFont="1" applyFill="1" applyBorder="1" applyAlignment="1">
      <alignment horizontal="right" shrinkToFit="1"/>
    </xf>
    <xf numFmtId="4" fontId="8" fillId="4" borderId="14" xfId="0" applyNumberFormat="1" applyFont="1" applyFill="1" applyBorder="1" applyAlignment="1">
      <alignment horizontal="right" shrinkToFit="1"/>
    </xf>
    <xf numFmtId="4" fontId="9" fillId="4" borderId="67" xfId="0" applyNumberFormat="1" applyFont="1" applyFill="1" applyBorder="1" applyAlignment="1">
      <alignment horizontal="center"/>
    </xf>
    <xf numFmtId="4" fontId="19" fillId="4" borderId="67" xfId="0" applyNumberFormat="1" applyFont="1" applyFill="1" applyBorder="1" applyAlignment="1">
      <alignment horizontal="center"/>
    </xf>
    <xf numFmtId="4" fontId="8" fillId="4" borderId="0" xfId="0" applyNumberFormat="1" applyFont="1" applyFill="1" applyAlignment="1">
      <alignment horizontal="right" shrinkToFit="1"/>
    </xf>
    <xf numFmtId="4" fontId="0" fillId="0" borderId="69" xfId="0" applyNumberFormat="1" applyBorder="1" applyAlignment="1">
      <alignment horizontal="center"/>
    </xf>
    <xf numFmtId="0" fontId="4" fillId="11" borderId="76" xfId="0" applyFont="1" applyFill="1" applyBorder="1" applyAlignment="1">
      <alignment horizontal="center"/>
    </xf>
    <xf numFmtId="0" fontId="4" fillId="11" borderId="77" xfId="0" applyFont="1" applyFill="1" applyBorder="1" applyAlignment="1">
      <alignment horizontal="center"/>
    </xf>
    <xf numFmtId="49" fontId="4" fillId="11" borderId="77" xfId="0" applyNumberFormat="1" applyFont="1" applyFill="1" applyBorder="1" applyAlignment="1">
      <alignment horizontal="center"/>
    </xf>
    <xf numFmtId="4" fontId="0" fillId="11" borderId="78" xfId="0" applyNumberFormat="1" applyFill="1" applyBorder="1" applyAlignment="1">
      <alignment horizontal="center"/>
    </xf>
    <xf numFmtId="4" fontId="46" fillId="7" borderId="66" xfId="0" applyNumberFormat="1" applyFont="1" applyFill="1" applyBorder="1" applyAlignment="1">
      <alignment horizontal="center" vertical="center"/>
    </xf>
    <xf numFmtId="4" fontId="0" fillId="7" borderId="68" xfId="0" applyNumberFormat="1" applyFill="1" applyBorder="1" applyAlignment="1">
      <alignment horizontal="center"/>
    </xf>
    <xf numFmtId="4" fontId="1" fillId="3" borderId="66" xfId="0" applyNumberFormat="1" applyFont="1" applyFill="1" applyBorder="1" applyAlignment="1">
      <alignment horizontal="center" vertical="center"/>
    </xf>
    <xf numFmtId="4" fontId="0" fillId="3" borderId="68" xfId="0" applyNumberFormat="1" applyFill="1" applyBorder="1" applyAlignment="1">
      <alignment horizontal="center"/>
    </xf>
    <xf numFmtId="4" fontId="1" fillId="4" borderId="66" xfId="0" applyNumberFormat="1" applyFont="1" applyFill="1" applyBorder="1" applyAlignment="1">
      <alignment horizontal="center" vertical="center"/>
    </xf>
    <xf numFmtId="4" fontId="0" fillId="4" borderId="68" xfId="0" applyNumberFormat="1" applyFill="1" applyBorder="1" applyAlignment="1">
      <alignment horizontal="center"/>
    </xf>
    <xf numFmtId="4" fontId="1" fillId="8" borderId="66" xfId="0" applyNumberFormat="1" applyFont="1" applyFill="1" applyBorder="1" applyAlignment="1">
      <alignment horizontal="center" vertical="center"/>
    </xf>
    <xf numFmtId="4" fontId="9" fillId="8" borderId="67" xfId="0" applyNumberFormat="1" applyFont="1" applyFill="1" applyBorder="1" applyAlignment="1">
      <alignment horizontal="center"/>
    </xf>
    <xf numFmtId="4" fontId="20" fillId="8" borderId="67" xfId="0" applyNumberFormat="1" applyFont="1" applyFill="1" applyBorder="1" applyAlignment="1">
      <alignment horizontal="center"/>
    </xf>
    <xf numFmtId="4" fontId="0" fillId="8" borderId="68" xfId="0" applyNumberFormat="1" applyFill="1" applyBorder="1" applyAlignment="1">
      <alignment horizontal="center"/>
    </xf>
    <xf numFmtId="4" fontId="1" fillId="9" borderId="66" xfId="0" applyNumberFormat="1" applyFont="1" applyFill="1" applyBorder="1" applyAlignment="1">
      <alignment horizontal="center" vertical="center"/>
    </xf>
    <xf numFmtId="4" fontId="9" fillId="9" borderId="67" xfId="0" applyNumberFormat="1" applyFont="1" applyFill="1" applyBorder="1" applyAlignment="1">
      <alignment horizontal="center"/>
    </xf>
    <xf numFmtId="4" fontId="21" fillId="9" borderId="67" xfId="0" applyNumberFormat="1" applyFont="1" applyFill="1" applyBorder="1" applyAlignment="1">
      <alignment horizontal="center"/>
    </xf>
    <xf numFmtId="4" fontId="0" fillId="9" borderId="68" xfId="0" applyNumberFormat="1" applyFill="1" applyBorder="1" applyAlignment="1">
      <alignment horizontal="center"/>
    </xf>
    <xf numFmtId="4" fontId="1" fillId="12" borderId="66" xfId="0" applyNumberFormat="1" applyFont="1" applyFill="1" applyBorder="1" applyAlignment="1">
      <alignment horizontal="center" vertical="center"/>
    </xf>
    <xf numFmtId="4" fontId="9" fillId="5" borderId="67" xfId="0" applyNumberFormat="1" applyFont="1" applyFill="1" applyBorder="1" applyAlignment="1">
      <alignment horizontal="center"/>
    </xf>
    <xf numFmtId="4" fontId="16" fillId="5" borderId="67" xfId="0" applyNumberFormat="1" applyFont="1" applyFill="1" applyBorder="1" applyAlignment="1">
      <alignment horizontal="center"/>
    </xf>
    <xf numFmtId="4" fontId="0" fillId="12" borderId="68" xfId="0" applyNumberFormat="1" applyFill="1" applyBorder="1" applyAlignment="1">
      <alignment horizontal="center"/>
    </xf>
    <xf numFmtId="4" fontId="0" fillId="0" borderId="70" xfId="0" applyNumberFormat="1" applyBorder="1" applyAlignment="1">
      <alignment horizontal="center"/>
    </xf>
    <xf numFmtId="4" fontId="0" fillId="0" borderId="67" xfId="0" applyNumberFormat="1" applyBorder="1" applyAlignment="1">
      <alignment horizontal="center"/>
    </xf>
    <xf numFmtId="4" fontId="0" fillId="0" borderId="57" xfId="0" applyNumberFormat="1" applyBorder="1" applyAlignment="1">
      <alignment horizontal="right"/>
    </xf>
    <xf numFmtId="0" fontId="10" fillId="11" borderId="27" xfId="0" applyFont="1" applyFill="1" applyBorder="1" applyAlignment="1">
      <alignment horizontal="right" shrinkToFit="1"/>
    </xf>
    <xf numFmtId="4" fontId="52" fillId="13" borderId="19" xfId="0" applyNumberFormat="1" applyFont="1" applyFill="1" applyBorder="1" applyAlignment="1">
      <alignment horizontal="right" shrinkToFit="1"/>
    </xf>
    <xf numFmtId="4" fontId="8" fillId="13" borderId="19" xfId="0" applyNumberFormat="1" applyFont="1" applyFill="1" applyBorder="1" applyAlignment="1">
      <alignment horizontal="right" shrinkToFit="1"/>
    </xf>
    <xf numFmtId="4" fontId="25" fillId="13" borderId="19" xfId="0" applyNumberFormat="1" applyFont="1" applyFill="1" applyBorder="1" applyAlignment="1">
      <alignment horizontal="right" shrinkToFit="1"/>
    </xf>
    <xf numFmtId="4" fontId="32" fillId="13" borderId="19" xfId="0" applyNumberFormat="1" applyFont="1" applyFill="1" applyBorder="1" applyAlignment="1">
      <alignment horizontal="right" shrinkToFit="1"/>
    </xf>
    <xf numFmtId="4" fontId="7" fillId="13" borderId="19" xfId="0" applyNumberFormat="1" applyFont="1" applyFill="1" applyBorder="1" applyAlignment="1">
      <alignment horizontal="right" shrinkToFit="1"/>
    </xf>
    <xf numFmtId="4" fontId="0" fillId="11" borderId="21" xfId="0" applyNumberFormat="1" applyFill="1" applyBorder="1" applyAlignment="1">
      <alignment horizontal="right"/>
    </xf>
    <xf numFmtId="4" fontId="47" fillId="7" borderId="5" xfId="0" applyNumberFormat="1" applyFont="1" applyFill="1" applyBorder="1" applyAlignment="1">
      <alignment horizontal="right" vertical="center" shrinkToFit="1"/>
    </xf>
    <xf numFmtId="4" fontId="8" fillId="0" borderId="1" xfId="0" applyNumberFormat="1" applyFont="1" applyBorder="1" applyAlignment="1">
      <alignment horizontal="right" shrinkToFit="1"/>
    </xf>
    <xf numFmtId="4" fontId="22" fillId="0" borderId="1" xfId="0" applyNumberFormat="1" applyFont="1" applyBorder="1" applyAlignment="1">
      <alignment horizontal="right" shrinkToFit="1"/>
    </xf>
    <xf numFmtId="4" fontId="8" fillId="7" borderId="0" xfId="0" applyNumberFormat="1" applyFont="1" applyFill="1" applyAlignment="1">
      <alignment horizontal="center" shrinkToFit="1"/>
    </xf>
    <xf numFmtId="4" fontId="8" fillId="7" borderId="6" xfId="0" applyNumberFormat="1" applyFont="1" applyFill="1" applyBorder="1" applyAlignment="1">
      <alignment horizontal="right"/>
    </xf>
    <xf numFmtId="4" fontId="8" fillId="0" borderId="57" xfId="0" applyNumberFormat="1" applyFont="1" applyBorder="1" applyAlignment="1">
      <alignment horizontal="right"/>
    </xf>
    <xf numFmtId="4" fontId="43" fillId="3" borderId="5" xfId="0" applyNumberFormat="1" applyFont="1" applyFill="1" applyBorder="1" applyAlignment="1">
      <alignment horizontal="right" vertical="center" shrinkToFit="1"/>
    </xf>
    <xf numFmtId="4" fontId="8" fillId="0" borderId="10" xfId="0" applyNumberFormat="1" applyFont="1" applyBorder="1" applyAlignment="1">
      <alignment horizontal="right" shrinkToFit="1"/>
    </xf>
    <xf numFmtId="4" fontId="8" fillId="3" borderId="6" xfId="0" applyNumberFormat="1" applyFont="1" applyFill="1" applyBorder="1" applyAlignment="1">
      <alignment horizontal="right"/>
    </xf>
    <xf numFmtId="4" fontId="48" fillId="4" borderId="5" xfId="0" applyNumberFormat="1" applyFont="1" applyFill="1" applyBorder="1" applyAlignment="1">
      <alignment horizontal="right" vertical="center" shrinkToFit="1"/>
    </xf>
    <xf numFmtId="4" fontId="8" fillId="4" borderId="6" xfId="0" applyNumberFormat="1" applyFont="1" applyFill="1" applyBorder="1" applyAlignment="1">
      <alignment horizontal="right"/>
    </xf>
    <xf numFmtId="4" fontId="49" fillId="8" borderId="5" xfId="0" applyNumberFormat="1" applyFont="1" applyFill="1" applyBorder="1" applyAlignment="1">
      <alignment horizontal="right" vertical="center" shrinkToFit="1"/>
    </xf>
    <xf numFmtId="4" fontId="8" fillId="8" borderId="0" xfId="0" applyNumberFormat="1" applyFont="1" applyFill="1" applyAlignment="1">
      <alignment horizontal="right" shrinkToFit="1"/>
    </xf>
    <xf numFmtId="4" fontId="8" fillId="8" borderId="6" xfId="0" applyNumberFormat="1" applyFont="1" applyFill="1" applyBorder="1" applyAlignment="1">
      <alignment horizontal="right"/>
    </xf>
    <xf numFmtId="4" fontId="50" fillId="9" borderId="5" xfId="0" applyNumberFormat="1" applyFont="1" applyFill="1" applyBorder="1" applyAlignment="1">
      <alignment horizontal="right" vertical="center" shrinkToFit="1"/>
    </xf>
    <xf numFmtId="4" fontId="8" fillId="9" borderId="0" xfId="0" applyNumberFormat="1" applyFont="1" applyFill="1" applyAlignment="1">
      <alignment horizontal="right" shrinkToFit="1"/>
    </xf>
    <xf numFmtId="4" fontId="8" fillId="9" borderId="6" xfId="0" applyNumberFormat="1" applyFont="1" applyFill="1" applyBorder="1" applyAlignment="1">
      <alignment horizontal="right"/>
    </xf>
    <xf numFmtId="4" fontId="0" fillId="3" borderId="6" xfId="0" applyNumberFormat="1" applyFill="1" applyBorder="1" applyAlignment="1">
      <alignment horizontal="right"/>
    </xf>
    <xf numFmtId="4" fontId="51" fillId="12" borderId="5" xfId="0" applyNumberFormat="1" applyFont="1" applyFill="1" applyBorder="1" applyAlignment="1">
      <alignment horizontal="right" vertical="center" shrinkToFit="1"/>
    </xf>
    <xf numFmtId="4" fontId="8" fillId="0" borderId="1" xfId="0" applyNumberFormat="1" applyFont="1" applyBorder="1" applyAlignment="1">
      <alignment horizontal="right"/>
    </xf>
    <xf numFmtId="4" fontId="22" fillId="0" borderId="1" xfId="0" applyNumberFormat="1" applyFont="1" applyBorder="1" applyAlignment="1">
      <alignment horizontal="right"/>
    </xf>
    <xf numFmtId="4" fontId="8" fillId="5" borderId="0" xfId="0" applyNumberFormat="1" applyFont="1" applyFill="1" applyAlignment="1">
      <alignment horizontal="right"/>
    </xf>
    <xf numFmtId="4" fontId="8" fillId="0" borderId="10" xfId="0" applyNumberFormat="1" applyFont="1" applyBorder="1" applyAlignment="1">
      <alignment horizontal="right"/>
    </xf>
    <xf numFmtId="4" fontId="0" fillId="12" borderId="6" xfId="0" applyNumberFormat="1" applyFill="1" applyBorder="1" applyAlignment="1">
      <alignment horizontal="right"/>
    </xf>
    <xf numFmtId="4" fontId="0" fillId="0" borderId="63" xfId="0" applyNumberFormat="1" applyBorder="1" applyAlignment="1">
      <alignment horizontal="right"/>
    </xf>
    <xf numFmtId="4" fontId="0" fillId="0" borderId="0" xfId="0" applyNumberFormat="1" applyAlignment="1">
      <alignment horizontal="right"/>
    </xf>
    <xf numFmtId="0" fontId="12" fillId="11" borderId="27" xfId="0" applyFont="1" applyFill="1" applyBorder="1" applyAlignment="1">
      <alignment horizontal="right" shrinkToFit="1"/>
    </xf>
    <xf numFmtId="4" fontId="52" fillId="14" borderId="19" xfId="0" applyNumberFormat="1" applyFont="1" applyFill="1" applyBorder="1" applyAlignment="1">
      <alignment horizontal="right" shrinkToFit="1"/>
    </xf>
    <xf numFmtId="4" fontId="8" fillId="14" borderId="19" xfId="0" applyNumberFormat="1" applyFont="1" applyFill="1" applyBorder="1" applyAlignment="1">
      <alignment horizontal="right" shrinkToFit="1"/>
    </xf>
    <xf numFmtId="4" fontId="25" fillId="14" borderId="19" xfId="0" applyNumberFormat="1" applyFont="1" applyFill="1" applyBorder="1" applyAlignment="1">
      <alignment horizontal="right" shrinkToFit="1"/>
    </xf>
    <xf numFmtId="4" fontId="32" fillId="14" borderId="19" xfId="0" applyNumberFormat="1" applyFont="1" applyFill="1" applyBorder="1" applyAlignment="1">
      <alignment horizontal="right" shrinkToFit="1"/>
    </xf>
    <xf numFmtId="4" fontId="7" fillId="14" borderId="19" xfId="0" applyNumberFormat="1" applyFont="1" applyFill="1" applyBorder="1" applyAlignment="1">
      <alignment horizontal="right" shrinkToFit="1"/>
    </xf>
    <xf numFmtId="0" fontId="13" fillId="11" borderId="27" xfId="0" applyFont="1" applyFill="1" applyBorder="1" applyAlignment="1">
      <alignment horizontal="right" shrinkToFit="1"/>
    </xf>
    <xf numFmtId="4" fontId="52" fillId="15" borderId="19" xfId="0" applyNumberFormat="1" applyFont="1" applyFill="1" applyBorder="1" applyAlignment="1">
      <alignment horizontal="right" shrinkToFit="1"/>
    </xf>
    <xf numFmtId="4" fontId="8" fillId="15" borderId="19" xfId="0" applyNumberFormat="1" applyFont="1" applyFill="1" applyBorder="1" applyAlignment="1">
      <alignment horizontal="right" shrinkToFit="1"/>
    </xf>
    <xf numFmtId="4" fontId="25" fillId="15" borderId="19" xfId="0" applyNumberFormat="1" applyFont="1" applyFill="1" applyBorder="1" applyAlignment="1">
      <alignment horizontal="right" shrinkToFit="1"/>
    </xf>
    <xf numFmtId="4" fontId="32" fillId="15" borderId="19" xfId="0" applyNumberFormat="1" applyFont="1" applyFill="1" applyBorder="1" applyAlignment="1">
      <alignment horizontal="right" shrinkToFit="1"/>
    </xf>
    <xf numFmtId="4" fontId="7" fillId="15" borderId="19" xfId="0" applyNumberFormat="1" applyFont="1" applyFill="1" applyBorder="1" applyAlignment="1">
      <alignment horizontal="right" shrinkToFit="1"/>
    </xf>
    <xf numFmtId="0" fontId="14" fillId="11" borderId="27" xfId="0" applyFont="1" applyFill="1" applyBorder="1" applyAlignment="1">
      <alignment horizontal="right" shrinkToFit="1"/>
    </xf>
    <xf numFmtId="4" fontId="52" fillId="16" borderId="19" xfId="0" applyNumberFormat="1" applyFont="1" applyFill="1" applyBorder="1" applyAlignment="1">
      <alignment horizontal="right" shrinkToFit="1"/>
    </xf>
    <xf numFmtId="4" fontId="8" fillId="16" borderId="19" xfId="0" applyNumberFormat="1" applyFont="1" applyFill="1" applyBorder="1" applyAlignment="1">
      <alignment horizontal="right" shrinkToFit="1"/>
    </xf>
    <xf numFmtId="4" fontId="25" fillId="16" borderId="19" xfId="0" applyNumberFormat="1" applyFont="1" applyFill="1" applyBorder="1" applyAlignment="1">
      <alignment horizontal="right" shrinkToFit="1"/>
    </xf>
    <xf numFmtId="4" fontId="32" fillId="16" borderId="19" xfId="0" applyNumberFormat="1" applyFont="1" applyFill="1" applyBorder="1" applyAlignment="1">
      <alignment horizontal="right" shrinkToFit="1"/>
    </xf>
    <xf numFmtId="4" fontId="7" fillId="16" borderId="19" xfId="0" applyNumberFormat="1" applyFont="1" applyFill="1" applyBorder="1" applyAlignment="1">
      <alignment horizontal="right" shrinkToFit="1"/>
    </xf>
    <xf numFmtId="0" fontId="15" fillId="11" borderId="27" xfId="0" applyFont="1" applyFill="1" applyBorder="1" applyAlignment="1">
      <alignment horizontal="right" shrinkToFit="1"/>
    </xf>
    <xf numFmtId="4" fontId="52" fillId="17" borderId="19" xfId="0" applyNumberFormat="1" applyFont="1" applyFill="1" applyBorder="1" applyAlignment="1">
      <alignment horizontal="right" shrinkToFit="1"/>
    </xf>
    <xf numFmtId="4" fontId="8" fillId="17" borderId="19" xfId="0" applyNumberFormat="1" applyFont="1" applyFill="1" applyBorder="1" applyAlignment="1">
      <alignment horizontal="right" shrinkToFit="1"/>
    </xf>
    <xf numFmtId="4" fontId="25" fillId="17" borderId="19" xfId="0" applyNumberFormat="1" applyFont="1" applyFill="1" applyBorder="1" applyAlignment="1">
      <alignment horizontal="right" shrinkToFit="1"/>
    </xf>
    <xf numFmtId="4" fontId="32" fillId="17" borderId="19" xfId="0" applyNumberFormat="1" applyFont="1" applyFill="1" applyBorder="1" applyAlignment="1">
      <alignment horizontal="right" shrinkToFit="1"/>
    </xf>
    <xf numFmtId="4" fontId="7" fillId="17" borderId="19" xfId="0" applyNumberFormat="1" applyFont="1" applyFill="1" applyBorder="1" applyAlignment="1">
      <alignment horizontal="right" shrinkToFit="1"/>
    </xf>
    <xf numFmtId="0" fontId="11" fillId="11" borderId="27" xfId="0" applyFont="1" applyFill="1" applyBorder="1" applyAlignment="1">
      <alignment horizontal="right" shrinkToFit="1"/>
    </xf>
    <xf numFmtId="4" fontId="8" fillId="5" borderId="14" xfId="0" applyNumberFormat="1" applyFont="1" applyFill="1" applyBorder="1" applyAlignment="1">
      <alignment horizontal="right"/>
    </xf>
    <xf numFmtId="0" fontId="3" fillId="11" borderId="27" xfId="0" applyFont="1" applyFill="1" applyBorder="1" applyAlignment="1">
      <alignment horizontal="right" shrinkToFit="1"/>
    </xf>
    <xf numFmtId="4" fontId="52" fillId="0" borderId="19" xfId="0" applyNumberFormat="1" applyFont="1" applyBorder="1" applyAlignment="1">
      <alignment horizontal="right" shrinkToFit="1"/>
    </xf>
    <xf numFmtId="4" fontId="8" fillId="0" borderId="19" xfId="0" applyNumberFormat="1" applyFont="1" applyBorder="1" applyAlignment="1">
      <alignment horizontal="right" shrinkToFit="1"/>
    </xf>
    <xf numFmtId="4" fontId="25" fillId="0" borderId="19" xfId="0" applyNumberFormat="1" applyFont="1" applyBorder="1" applyAlignment="1">
      <alignment horizontal="right" shrinkToFit="1"/>
    </xf>
    <xf numFmtId="4" fontId="32" fillId="0" borderId="19" xfId="0" applyNumberFormat="1" applyFont="1" applyBorder="1" applyAlignment="1">
      <alignment horizontal="right" shrinkToFit="1"/>
    </xf>
    <xf numFmtId="4" fontId="7" fillId="0" borderId="19" xfId="0" applyNumberFormat="1" applyFont="1" applyBorder="1" applyAlignment="1">
      <alignment horizontal="right" shrinkToFit="1"/>
    </xf>
    <xf numFmtId="4" fontId="8" fillId="8" borderId="14" xfId="0" applyNumberFormat="1" applyFont="1" applyFill="1" applyBorder="1" applyAlignment="1">
      <alignment horizontal="right" shrinkToFit="1"/>
    </xf>
    <xf numFmtId="4" fontId="8" fillId="9" borderId="14" xfId="0" applyNumberFormat="1" applyFont="1" applyFill="1" applyBorder="1" applyAlignment="1">
      <alignment horizontal="right" shrinkToFit="1"/>
    </xf>
    <xf numFmtId="4" fontId="52" fillId="6" borderId="19" xfId="0" applyNumberFormat="1" applyFont="1" applyFill="1" applyBorder="1" applyAlignment="1">
      <alignment horizontal="right" shrinkToFit="1"/>
    </xf>
    <xf numFmtId="4" fontId="8" fillId="6" borderId="19" xfId="0" applyNumberFormat="1" applyFont="1" applyFill="1" applyBorder="1" applyAlignment="1">
      <alignment horizontal="right" shrinkToFit="1"/>
    </xf>
    <xf numFmtId="4" fontId="25" fillId="6" borderId="19" xfId="0" applyNumberFormat="1" applyFont="1" applyFill="1" applyBorder="1" applyAlignment="1">
      <alignment horizontal="right" shrinkToFit="1"/>
    </xf>
    <xf numFmtId="4" fontId="32" fillId="6" borderId="19" xfId="0" applyNumberFormat="1" applyFont="1" applyFill="1" applyBorder="1" applyAlignment="1">
      <alignment horizontal="right" shrinkToFit="1"/>
    </xf>
    <xf numFmtId="4" fontId="7" fillId="6" borderId="19" xfId="0" applyNumberFormat="1" applyFont="1" applyFill="1" applyBorder="1" applyAlignment="1">
      <alignment horizontal="right" shrinkToFit="1"/>
    </xf>
    <xf numFmtId="0" fontId="3" fillId="11" borderId="28" xfId="0" applyFont="1" applyFill="1" applyBorder="1" applyAlignment="1">
      <alignment horizontal="right" shrinkToFit="1"/>
    </xf>
    <xf numFmtId="4" fontId="31" fillId="11" borderId="75" xfId="0" applyNumberFormat="1" applyFont="1" applyFill="1" applyBorder="1" applyAlignment="1">
      <alignment horizontal="right" shrinkToFit="1"/>
    </xf>
    <xf numFmtId="4" fontId="7" fillId="11" borderId="75" xfId="0" applyNumberFormat="1" applyFont="1" applyFill="1" applyBorder="1" applyAlignment="1">
      <alignment horizontal="right" shrinkToFit="1"/>
    </xf>
    <xf numFmtId="4" fontId="44" fillId="11" borderId="75" xfId="0" applyNumberFormat="1" applyFont="1" applyFill="1" applyBorder="1" applyAlignment="1">
      <alignment horizontal="right" shrinkToFit="1"/>
    </xf>
    <xf numFmtId="4" fontId="27" fillId="11" borderId="75" xfId="0" applyNumberFormat="1" applyFont="1" applyFill="1" applyBorder="1" applyAlignment="1">
      <alignment horizontal="right" shrinkToFit="1"/>
    </xf>
    <xf numFmtId="4" fontId="0" fillId="11" borderId="22" xfId="0" applyNumberFormat="1" applyFill="1" applyBorder="1" applyAlignment="1">
      <alignment horizontal="right"/>
    </xf>
    <xf numFmtId="4" fontId="0" fillId="0" borderId="57" xfId="0" applyNumberFormat="1" applyBorder="1" applyAlignment="1">
      <alignment horizontal="center"/>
    </xf>
    <xf numFmtId="4" fontId="0" fillId="3" borderId="6" xfId="0" applyNumberFormat="1" applyFill="1" applyBorder="1" applyAlignment="1">
      <alignment horizontal="center"/>
    </xf>
    <xf numFmtId="4" fontId="0" fillId="12" borderId="6" xfId="0" applyNumberFormat="1" applyFill="1" applyBorder="1" applyAlignment="1">
      <alignment horizontal="center"/>
    </xf>
    <xf numFmtId="4" fontId="0" fillId="0" borderId="63" xfId="0" applyNumberFormat="1" applyBorder="1" applyAlignment="1">
      <alignment horizontal="center"/>
    </xf>
    <xf numFmtId="0" fontId="4" fillId="0" borderId="25" xfId="0" applyFont="1" applyBorder="1" applyAlignment="1">
      <alignment horizontal="right"/>
    </xf>
    <xf numFmtId="4" fontId="8" fillId="0" borderId="25" xfId="0" applyNumberFormat="1" applyFont="1" applyBorder="1" applyAlignment="1">
      <alignment horizontal="right"/>
    </xf>
    <xf numFmtId="4" fontId="0" fillId="0" borderId="24" xfId="0" applyNumberFormat="1" applyBorder="1" applyAlignment="1">
      <alignment horizontal="right"/>
    </xf>
    <xf numFmtId="0" fontId="23" fillId="0" borderId="26" xfId="0" applyFont="1" applyBorder="1" applyAlignment="1">
      <alignment horizontal="right" vertical="top"/>
    </xf>
    <xf numFmtId="4" fontId="23" fillId="0" borderId="25" xfId="0" applyNumberFormat="1" applyFont="1" applyBorder="1" applyAlignment="1">
      <alignment horizontal="right" vertical="top"/>
    </xf>
    <xf numFmtId="4" fontId="0" fillId="0" borderId="55" xfId="0" applyNumberFormat="1" applyBorder="1" applyAlignment="1">
      <alignment horizontal="right"/>
    </xf>
    <xf numFmtId="0" fontId="4" fillId="11" borderId="2" xfId="0" applyFont="1" applyFill="1" applyBorder="1" applyAlignment="1">
      <alignment horizontal="center"/>
    </xf>
    <xf numFmtId="4" fontId="4" fillId="11" borderId="3" xfId="0" applyNumberFormat="1" applyFont="1" applyFill="1" applyBorder="1" applyAlignment="1">
      <alignment horizontal="center"/>
    </xf>
    <xf numFmtId="4" fontId="4" fillId="11" borderId="36" xfId="0" applyNumberFormat="1" applyFont="1" applyFill="1" applyBorder="1" applyAlignment="1">
      <alignment horizontal="center"/>
    </xf>
    <xf numFmtId="4" fontId="4" fillId="11" borderId="37" xfId="0" applyNumberFormat="1" applyFont="1" applyFill="1" applyBorder="1" applyAlignment="1">
      <alignment horizontal="center"/>
    </xf>
    <xf numFmtId="4" fontId="4" fillId="11" borderId="38" xfId="0" applyNumberFormat="1" applyFont="1" applyFill="1" applyBorder="1" applyAlignment="1">
      <alignment horizontal="center"/>
    </xf>
    <xf numFmtId="4" fontId="0" fillId="11" borderId="20" xfId="0" applyNumberFormat="1" applyFill="1" applyBorder="1" applyAlignment="1">
      <alignment horizontal="center"/>
    </xf>
    <xf numFmtId="0" fontId="10" fillId="11" borderId="5" xfId="0" applyFont="1" applyFill="1" applyBorder="1" applyAlignment="1">
      <alignment horizontal="right" shrinkToFit="1"/>
    </xf>
    <xf numFmtId="4" fontId="26" fillId="13" borderId="42" xfId="2" applyNumberFormat="1" applyFont="1" applyFill="1" applyBorder="1" applyAlignment="1" applyProtection="1">
      <alignment shrinkToFit="1"/>
    </xf>
    <xf numFmtId="4" fontId="26" fillId="13" borderId="43" xfId="2" applyNumberFormat="1" applyFont="1" applyFill="1" applyBorder="1" applyAlignment="1" applyProtection="1">
      <alignment shrinkToFit="1"/>
    </xf>
    <xf numFmtId="4" fontId="24" fillId="13" borderId="43" xfId="2" applyNumberFormat="1" applyFont="1" applyFill="1" applyBorder="1" applyAlignment="1" applyProtection="1">
      <alignment shrinkToFit="1"/>
    </xf>
    <xf numFmtId="4" fontId="24" fillId="13" borderId="44" xfId="2" applyNumberFormat="1" applyFont="1" applyFill="1" applyBorder="1" applyAlignment="1" applyProtection="1">
      <alignment shrinkToFit="1"/>
    </xf>
    <xf numFmtId="4" fontId="26" fillId="13" borderId="45" xfId="2" applyNumberFormat="1" applyFont="1" applyFill="1" applyBorder="1" applyAlignment="1" applyProtection="1">
      <alignment shrinkToFit="1"/>
    </xf>
    <xf numFmtId="4" fontId="32" fillId="13" borderId="46" xfId="2" applyNumberFormat="1" applyFont="1" applyFill="1" applyBorder="1" applyAlignment="1" applyProtection="1">
      <alignment shrinkToFit="1"/>
    </xf>
    <xf numFmtId="4" fontId="0" fillId="11" borderId="35" xfId="0" applyNumberFormat="1" applyFill="1" applyBorder="1" applyAlignment="1">
      <alignment horizontal="right"/>
    </xf>
    <xf numFmtId="4" fontId="28" fillId="0" borderId="25" xfId="0" applyNumberFormat="1" applyFont="1" applyBorder="1"/>
    <xf numFmtId="0" fontId="12" fillId="11" borderId="5" xfId="0" applyFont="1" applyFill="1" applyBorder="1" applyAlignment="1">
      <alignment horizontal="right" shrinkToFit="1"/>
    </xf>
    <xf numFmtId="4" fontId="26" fillId="14" borderId="47" xfId="2" applyNumberFormat="1" applyFont="1" applyFill="1" applyBorder="1" applyAlignment="1" applyProtection="1">
      <alignment shrinkToFit="1"/>
    </xf>
    <xf numFmtId="4" fontId="26" fillId="14" borderId="19" xfId="2" applyNumberFormat="1" applyFont="1" applyFill="1" applyBorder="1" applyAlignment="1" applyProtection="1">
      <alignment shrinkToFit="1"/>
    </xf>
    <xf numFmtId="4" fontId="24" fillId="14" borderId="19" xfId="2" applyNumberFormat="1" applyFont="1" applyFill="1" applyBorder="1" applyAlignment="1" applyProtection="1">
      <alignment shrinkToFit="1"/>
    </xf>
    <xf numFmtId="4" fontId="24" fillId="14" borderId="21" xfId="2" applyNumberFormat="1" applyFont="1" applyFill="1" applyBorder="1" applyAlignment="1" applyProtection="1">
      <alignment shrinkToFit="1"/>
    </xf>
    <xf numFmtId="4" fontId="26" fillId="14" borderId="23" xfId="2" applyNumberFormat="1" applyFont="1" applyFill="1" applyBorder="1" applyAlignment="1" applyProtection="1">
      <alignment shrinkToFit="1"/>
    </xf>
    <xf numFmtId="4" fontId="32" fillId="14" borderId="48" xfId="2" applyNumberFormat="1" applyFont="1" applyFill="1" applyBorder="1" applyAlignment="1" applyProtection="1">
      <alignment shrinkToFit="1"/>
    </xf>
    <xf numFmtId="0" fontId="45" fillId="21" borderId="5" xfId="0" applyFont="1" applyFill="1" applyBorder="1" applyAlignment="1">
      <alignment textRotation="90" shrinkToFit="1"/>
    </xf>
    <xf numFmtId="0" fontId="13" fillId="11" borderId="5" xfId="0" applyFont="1" applyFill="1" applyBorder="1" applyAlignment="1">
      <alignment horizontal="right" shrinkToFit="1"/>
    </xf>
    <xf numFmtId="4" fontId="26" fillId="15" borderId="47" xfId="2" applyNumberFormat="1" applyFont="1" applyFill="1" applyBorder="1" applyAlignment="1" applyProtection="1">
      <alignment shrinkToFit="1"/>
    </xf>
    <xf numFmtId="4" fontId="26" fillId="15" borderId="19" xfId="2" applyNumberFormat="1" applyFont="1" applyFill="1" applyBorder="1" applyAlignment="1" applyProtection="1">
      <alignment shrinkToFit="1"/>
    </xf>
    <xf numFmtId="4" fontId="24" fillId="15" borderId="19" xfId="2" applyNumberFormat="1" applyFont="1" applyFill="1" applyBorder="1" applyAlignment="1" applyProtection="1">
      <alignment shrinkToFit="1"/>
    </xf>
    <xf numFmtId="4" fontId="24" fillId="15" borderId="21" xfId="2" applyNumberFormat="1" applyFont="1" applyFill="1" applyBorder="1" applyAlignment="1" applyProtection="1">
      <alignment shrinkToFit="1"/>
    </xf>
    <xf numFmtId="4" fontId="26" fillId="15" borderId="23" xfId="2" applyNumberFormat="1" applyFont="1" applyFill="1" applyBorder="1" applyAlignment="1" applyProtection="1">
      <alignment shrinkToFit="1"/>
    </xf>
    <xf numFmtId="4" fontId="32" fillId="15" borderId="48" xfId="2" applyNumberFormat="1" applyFont="1" applyFill="1" applyBorder="1" applyAlignment="1" applyProtection="1">
      <alignment shrinkToFit="1"/>
    </xf>
    <xf numFmtId="0" fontId="14" fillId="11" borderId="5" xfId="0" applyFont="1" applyFill="1" applyBorder="1" applyAlignment="1">
      <alignment horizontal="right" shrinkToFit="1"/>
    </xf>
    <xf numFmtId="4" fontId="26" fillId="16" borderId="47" xfId="2" applyNumberFormat="1" applyFont="1" applyFill="1" applyBorder="1" applyAlignment="1" applyProtection="1">
      <alignment shrinkToFit="1"/>
    </xf>
    <xf numFmtId="4" fontId="26" fillId="16" borderId="19" xfId="2" applyNumberFormat="1" applyFont="1" applyFill="1" applyBorder="1" applyAlignment="1" applyProtection="1">
      <alignment shrinkToFit="1"/>
    </xf>
    <xf numFmtId="4" fontId="24" fillId="16" borderId="19" xfId="2" applyNumberFormat="1" applyFont="1" applyFill="1" applyBorder="1" applyAlignment="1" applyProtection="1">
      <alignment shrinkToFit="1"/>
    </xf>
    <xf numFmtId="4" fontId="24" fillId="16" borderId="21" xfId="2" applyNumberFormat="1" applyFont="1" applyFill="1" applyBorder="1" applyAlignment="1" applyProtection="1">
      <alignment shrinkToFit="1"/>
    </xf>
    <xf numFmtId="4" fontId="26" fillId="16" borderId="23" xfId="2" applyNumberFormat="1" applyFont="1" applyFill="1" applyBorder="1" applyAlignment="1" applyProtection="1">
      <alignment shrinkToFit="1"/>
    </xf>
    <xf numFmtId="4" fontId="32" fillId="16" borderId="48" xfId="2" applyNumberFormat="1" applyFont="1" applyFill="1" applyBorder="1" applyAlignment="1" applyProtection="1">
      <alignment shrinkToFit="1"/>
    </xf>
    <xf numFmtId="0" fontId="15" fillId="11" borderId="5" xfId="0" applyFont="1" applyFill="1" applyBorder="1" applyAlignment="1">
      <alignment horizontal="right" shrinkToFit="1"/>
    </xf>
    <xf numFmtId="4" fontId="26" fillId="17" borderId="47" xfId="2" applyNumberFormat="1" applyFont="1" applyFill="1" applyBorder="1" applyAlignment="1" applyProtection="1">
      <alignment shrinkToFit="1"/>
    </xf>
    <xf numFmtId="4" fontId="26" fillId="17" borderId="19" xfId="2" applyNumberFormat="1" applyFont="1" applyFill="1" applyBorder="1" applyAlignment="1" applyProtection="1">
      <alignment shrinkToFit="1"/>
    </xf>
    <xf numFmtId="4" fontId="24" fillId="17" borderId="19" xfId="2" applyNumberFormat="1" applyFont="1" applyFill="1" applyBorder="1" applyAlignment="1" applyProtection="1">
      <alignment shrinkToFit="1"/>
    </xf>
    <xf numFmtId="4" fontId="24" fillId="17" borderId="21" xfId="2" applyNumberFormat="1" applyFont="1" applyFill="1" applyBorder="1" applyAlignment="1" applyProtection="1">
      <alignment shrinkToFit="1"/>
    </xf>
    <xf numFmtId="4" fontId="26" fillId="17" borderId="23" xfId="2" applyNumberFormat="1" applyFont="1" applyFill="1" applyBorder="1" applyAlignment="1" applyProtection="1">
      <alignment shrinkToFit="1"/>
    </xf>
    <xf numFmtId="4" fontId="32" fillId="17" borderId="48" xfId="2" applyNumberFormat="1" applyFont="1" applyFill="1" applyBorder="1" applyAlignment="1" applyProtection="1">
      <alignment shrinkToFit="1"/>
    </xf>
    <xf numFmtId="0" fontId="11" fillId="11" borderId="5" xfId="0" applyFont="1" applyFill="1" applyBorder="1" applyAlignment="1">
      <alignment horizontal="right" shrinkToFit="1"/>
    </xf>
    <xf numFmtId="0" fontId="3" fillId="11" borderId="5" xfId="0" applyFont="1" applyFill="1" applyBorder="1" applyAlignment="1">
      <alignment horizontal="right" shrinkToFit="1"/>
    </xf>
    <xf numFmtId="4" fontId="26" fillId="6" borderId="47" xfId="2" applyNumberFormat="1" applyFont="1" applyFill="1" applyBorder="1" applyAlignment="1" applyProtection="1">
      <alignment shrinkToFit="1"/>
    </xf>
    <xf numFmtId="4" fontId="26" fillId="6" borderId="19" xfId="2" applyNumberFormat="1" applyFont="1" applyFill="1" applyBorder="1" applyAlignment="1" applyProtection="1">
      <alignment shrinkToFit="1"/>
    </xf>
    <xf numFmtId="4" fontId="24" fillId="6" borderId="19" xfId="2" applyNumberFormat="1" applyFont="1" applyFill="1" applyBorder="1" applyAlignment="1" applyProtection="1">
      <alignment shrinkToFit="1"/>
    </xf>
    <xf numFmtId="4" fontId="24" fillId="6" borderId="21" xfId="2" applyNumberFormat="1" applyFont="1" applyFill="1" applyBorder="1" applyAlignment="1" applyProtection="1">
      <alignment shrinkToFit="1"/>
    </xf>
    <xf numFmtId="4" fontId="26" fillId="6" borderId="23" xfId="2" applyNumberFormat="1" applyFont="1" applyFill="1" applyBorder="1" applyAlignment="1" applyProtection="1">
      <alignment shrinkToFit="1"/>
    </xf>
    <xf numFmtId="4" fontId="32" fillId="6" borderId="48" xfId="2" applyNumberFormat="1" applyFont="1" applyFill="1" applyBorder="1" applyAlignment="1" applyProtection="1">
      <alignment shrinkToFit="1"/>
    </xf>
    <xf numFmtId="4" fontId="26" fillId="0" borderId="47" xfId="2" applyNumberFormat="1" applyFont="1" applyFill="1" applyBorder="1" applyAlignment="1" applyProtection="1">
      <alignment shrinkToFit="1"/>
    </xf>
    <xf numFmtId="4" fontId="26" fillId="0" borderId="19" xfId="2" applyNumberFormat="1" applyFont="1" applyFill="1" applyBorder="1" applyAlignment="1" applyProtection="1">
      <alignment shrinkToFit="1"/>
    </xf>
    <xf numFmtId="4" fontId="24" fillId="0" borderId="19" xfId="2" applyNumberFormat="1" applyFont="1" applyFill="1" applyBorder="1" applyAlignment="1" applyProtection="1">
      <alignment shrinkToFit="1"/>
    </xf>
    <xf numFmtId="4" fontId="24" fillId="0" borderId="21" xfId="2" applyNumberFormat="1" applyFont="1" applyFill="1" applyBorder="1" applyAlignment="1" applyProtection="1">
      <alignment shrinkToFit="1"/>
    </xf>
    <xf numFmtId="4" fontId="26" fillId="0" borderId="23" xfId="2" applyNumberFormat="1" applyFont="1" applyFill="1" applyBorder="1" applyAlignment="1" applyProtection="1">
      <alignment shrinkToFit="1"/>
    </xf>
    <xf numFmtId="4" fontId="32" fillId="0" borderId="48" xfId="2" applyNumberFormat="1" applyFont="1" applyFill="1" applyBorder="1" applyAlignment="1" applyProtection="1">
      <alignment shrinkToFit="1"/>
    </xf>
    <xf numFmtId="4" fontId="0" fillId="0" borderId="11" xfId="0" applyNumberFormat="1" applyBorder="1" applyAlignment="1">
      <alignment horizontal="right"/>
    </xf>
    <xf numFmtId="4" fontId="22" fillId="0" borderId="15" xfId="0" applyNumberFormat="1" applyFont="1" applyBorder="1" applyAlignment="1">
      <alignment horizontal="right" shrinkToFit="1"/>
    </xf>
    <xf numFmtId="4" fontId="22" fillId="0" borderId="15" xfId="0" applyNumberFormat="1" applyFont="1" applyBorder="1" applyAlignment="1">
      <alignment horizontal="right"/>
    </xf>
    <xf numFmtId="0" fontId="4" fillId="11" borderId="5" xfId="0" applyFont="1" applyFill="1" applyBorder="1" applyAlignment="1">
      <alignment horizontal="right" shrinkToFit="1"/>
    </xf>
    <xf numFmtId="4" fontId="26" fillId="0" borderId="49" xfId="2" applyNumberFormat="1" applyFont="1" applyFill="1" applyBorder="1" applyAlignment="1" applyProtection="1">
      <alignment shrinkToFit="1"/>
    </xf>
    <xf numFmtId="4" fontId="26" fillId="0" borderId="50" xfId="2" applyNumberFormat="1" applyFont="1" applyFill="1" applyBorder="1" applyAlignment="1" applyProtection="1">
      <alignment shrinkToFit="1"/>
    </xf>
    <xf numFmtId="4" fontId="24" fillId="0" borderId="50" xfId="2" applyNumberFormat="1" applyFont="1" applyFill="1" applyBorder="1" applyAlignment="1" applyProtection="1">
      <alignment shrinkToFit="1"/>
    </xf>
    <xf numFmtId="4" fontId="24" fillId="0" borderId="51" xfId="2" applyNumberFormat="1" applyFont="1" applyFill="1" applyBorder="1" applyAlignment="1" applyProtection="1">
      <alignment shrinkToFit="1"/>
    </xf>
    <xf numFmtId="4" fontId="26" fillId="0" borderId="52" xfId="2" applyNumberFormat="1" applyFont="1" applyFill="1" applyBorder="1" applyAlignment="1" applyProtection="1">
      <alignment shrinkToFit="1"/>
    </xf>
    <xf numFmtId="4" fontId="32" fillId="0" borderId="53" xfId="2" applyNumberFormat="1" applyFont="1" applyFill="1" applyBorder="1" applyAlignment="1" applyProtection="1">
      <alignment shrinkToFit="1"/>
    </xf>
    <xf numFmtId="4" fontId="46" fillId="7" borderId="5" xfId="0" applyNumberFormat="1" applyFont="1" applyFill="1" applyBorder="1" applyAlignment="1">
      <alignment horizontal="center" vertical="center"/>
    </xf>
    <xf numFmtId="4" fontId="8" fillId="0" borderId="12" xfId="0" applyNumberFormat="1" applyFont="1" applyBorder="1" applyAlignment="1">
      <alignment horizontal="right" shrinkToFit="1"/>
    </xf>
    <xf numFmtId="4" fontId="8" fillId="0" borderId="0" xfId="0" applyNumberFormat="1" applyFont="1" applyAlignment="1">
      <alignment horizontal="right" shrinkToFit="1"/>
    </xf>
    <xf numFmtId="4" fontId="1" fillId="3" borderId="5" xfId="0" applyNumberFormat="1" applyFont="1" applyFill="1" applyBorder="1" applyAlignment="1">
      <alignment horizontal="center" vertical="center"/>
    </xf>
    <xf numFmtId="4" fontId="8" fillId="0" borderId="17" xfId="0" applyNumberFormat="1" applyFont="1" applyBorder="1" applyAlignment="1">
      <alignment horizontal="right" shrinkToFit="1"/>
    </xf>
    <xf numFmtId="4" fontId="1" fillId="4" borderId="5" xfId="0" applyNumberFormat="1" applyFont="1" applyFill="1" applyBorder="1" applyAlignment="1">
      <alignment horizontal="center" vertical="center"/>
    </xf>
    <xf numFmtId="4" fontId="1" fillId="8" borderId="5" xfId="0" applyNumberFormat="1" applyFont="1" applyFill="1" applyBorder="1" applyAlignment="1">
      <alignment horizontal="center" vertical="center"/>
    </xf>
    <xf numFmtId="4" fontId="1" fillId="9" borderId="5" xfId="0" applyNumberFormat="1" applyFont="1" applyFill="1" applyBorder="1" applyAlignment="1">
      <alignment horizontal="center" vertical="center"/>
    </xf>
    <xf numFmtId="4" fontId="1" fillId="12" borderId="5" xfId="0" applyNumberFormat="1" applyFont="1" applyFill="1" applyBorder="1" applyAlignment="1">
      <alignment horizontal="center" vertical="center"/>
    </xf>
    <xf numFmtId="4" fontId="8" fillId="0" borderId="0" xfId="0" applyNumberFormat="1" applyFont="1" applyAlignment="1">
      <alignment horizontal="right"/>
    </xf>
    <xf numFmtId="4" fontId="8" fillId="0" borderId="17" xfId="0" applyNumberFormat="1" applyFont="1" applyBorder="1" applyAlignment="1">
      <alignment horizontal="right"/>
    </xf>
    <xf numFmtId="4" fontId="8" fillId="0" borderId="12" xfId="0" applyNumberFormat="1" applyFont="1" applyBorder="1" applyAlignment="1">
      <alignment horizontal="right"/>
    </xf>
    <xf numFmtId="0" fontId="3" fillId="11" borderId="7" xfId="0" applyFont="1" applyFill="1" applyBorder="1" applyAlignment="1">
      <alignment horizontal="right" shrinkToFit="1"/>
    </xf>
    <xf numFmtId="4" fontId="24" fillId="11" borderId="39" xfId="0" applyNumberFormat="1" applyFont="1" applyFill="1" applyBorder="1" applyAlignment="1">
      <alignment shrinkToFit="1"/>
    </xf>
    <xf numFmtId="4" fontId="24" fillId="11" borderId="40" xfId="0" applyNumberFormat="1" applyFont="1" applyFill="1" applyBorder="1" applyAlignment="1">
      <alignment shrinkToFit="1"/>
    </xf>
    <xf numFmtId="4" fontId="24" fillId="11" borderId="41" xfId="0" applyNumberFormat="1" applyFont="1" applyFill="1" applyBorder="1" applyAlignment="1">
      <alignment shrinkToFit="1"/>
    </xf>
    <xf numFmtId="4" fontId="27" fillId="11" borderId="40" xfId="0" applyNumberFormat="1" applyFont="1" applyFill="1" applyBorder="1" applyAlignment="1">
      <alignment shrinkToFit="1"/>
    </xf>
    <xf numFmtId="4" fontId="46" fillId="7" borderId="7" xfId="0" applyNumberFormat="1" applyFont="1" applyFill="1" applyBorder="1" applyAlignment="1">
      <alignment horizontal="center" vertical="center"/>
    </xf>
    <xf numFmtId="4" fontId="1" fillId="7" borderId="13" xfId="0" applyNumberFormat="1" applyFont="1" applyFill="1" applyBorder="1" applyAlignment="1">
      <alignment horizontal="right"/>
    </xf>
    <xf numFmtId="4" fontId="9" fillId="7" borderId="8" xfId="0" applyNumberFormat="1" applyFont="1" applyFill="1" applyBorder="1" applyAlignment="1">
      <alignment horizontal="left"/>
    </xf>
    <xf numFmtId="4" fontId="9" fillId="7" borderId="8" xfId="0" applyNumberFormat="1" applyFont="1" applyFill="1" applyBorder="1" applyAlignment="1">
      <alignment horizontal="right"/>
    </xf>
    <xf numFmtId="4" fontId="9" fillId="7" borderId="8" xfId="0" applyNumberFormat="1" applyFont="1" applyFill="1" applyBorder="1" applyAlignment="1">
      <alignment horizontal="right" shrinkToFit="1"/>
    </xf>
    <xf numFmtId="4" fontId="8" fillId="7" borderId="9" xfId="0" applyNumberFormat="1" applyFont="1" applyFill="1" applyBorder="1" applyAlignment="1">
      <alignment horizontal="right"/>
    </xf>
    <xf numFmtId="4" fontId="1" fillId="3" borderId="7" xfId="0" applyNumberFormat="1" applyFont="1" applyFill="1" applyBorder="1" applyAlignment="1">
      <alignment horizontal="center" vertical="center"/>
    </xf>
    <xf numFmtId="4" fontId="1" fillId="3" borderId="13" xfId="0" applyNumberFormat="1" applyFont="1" applyFill="1" applyBorder="1" applyAlignment="1">
      <alignment horizontal="right"/>
    </xf>
    <xf numFmtId="4" fontId="9" fillId="3" borderId="8" xfId="0" applyNumberFormat="1" applyFont="1" applyFill="1" applyBorder="1" applyAlignment="1">
      <alignment horizontal="left"/>
    </xf>
    <xf numFmtId="4" fontId="9" fillId="3" borderId="8" xfId="0" applyNumberFormat="1" applyFont="1" applyFill="1" applyBorder="1" applyAlignment="1">
      <alignment horizontal="right"/>
    </xf>
    <xf numFmtId="4" fontId="9" fillId="3" borderId="8" xfId="0" applyNumberFormat="1" applyFont="1" applyFill="1" applyBorder="1" applyAlignment="1">
      <alignment horizontal="right" shrinkToFit="1"/>
    </xf>
    <xf numFmtId="4" fontId="8" fillId="3" borderId="9" xfId="0" applyNumberFormat="1" applyFont="1" applyFill="1" applyBorder="1" applyAlignment="1">
      <alignment horizontal="right"/>
    </xf>
    <xf numFmtId="4" fontId="1" fillId="4" borderId="7" xfId="0" applyNumberFormat="1" applyFont="1" applyFill="1" applyBorder="1" applyAlignment="1">
      <alignment horizontal="center" vertical="center"/>
    </xf>
    <xf numFmtId="4" fontId="1" fillId="4" borderId="13" xfId="0" applyNumberFormat="1" applyFont="1" applyFill="1" applyBorder="1" applyAlignment="1">
      <alignment horizontal="right"/>
    </xf>
    <xf numFmtId="4" fontId="9" fillId="4" borderId="8" xfId="0" applyNumberFormat="1" applyFont="1" applyFill="1" applyBorder="1" applyAlignment="1">
      <alignment horizontal="left"/>
    </xf>
    <xf numFmtId="4" fontId="9" fillId="4" borderId="8" xfId="0" applyNumberFormat="1" applyFont="1" applyFill="1" applyBorder="1" applyAlignment="1">
      <alignment horizontal="right"/>
    </xf>
    <xf numFmtId="4" fontId="9" fillId="4" borderId="8" xfId="0" applyNumberFormat="1" applyFont="1" applyFill="1" applyBorder="1" applyAlignment="1">
      <alignment horizontal="right" shrinkToFit="1"/>
    </xf>
    <xf numFmtId="4" fontId="8" fillId="4" borderId="9" xfId="0" applyNumberFormat="1" applyFont="1" applyFill="1" applyBorder="1" applyAlignment="1">
      <alignment horizontal="right"/>
    </xf>
    <xf numFmtId="4" fontId="1" fillId="8" borderId="7" xfId="0" applyNumberFormat="1" applyFont="1" applyFill="1" applyBorder="1" applyAlignment="1">
      <alignment horizontal="center" vertical="center"/>
    </xf>
    <xf numFmtId="4" fontId="1" fillId="8" borderId="13" xfId="0" applyNumberFormat="1" applyFont="1" applyFill="1" applyBorder="1" applyAlignment="1">
      <alignment horizontal="right"/>
    </xf>
    <xf numFmtId="4" fontId="9" fillId="8" borderId="8" xfId="0" applyNumberFormat="1" applyFont="1" applyFill="1" applyBorder="1" applyAlignment="1">
      <alignment horizontal="left"/>
    </xf>
    <xf numFmtId="4" fontId="9" fillId="8" borderId="8" xfId="0" applyNumberFormat="1" applyFont="1" applyFill="1" applyBorder="1" applyAlignment="1">
      <alignment horizontal="right"/>
    </xf>
    <xf numFmtId="4" fontId="9" fillId="8" borderId="8" xfId="0" applyNumberFormat="1" applyFont="1" applyFill="1" applyBorder="1" applyAlignment="1">
      <alignment horizontal="right" shrinkToFit="1"/>
    </xf>
    <xf numFmtId="4" fontId="8" fillId="8" borderId="9" xfId="0" applyNumberFormat="1" applyFont="1" applyFill="1" applyBorder="1" applyAlignment="1">
      <alignment horizontal="right"/>
    </xf>
    <xf numFmtId="4" fontId="1" fillId="9" borderId="7" xfId="0" applyNumberFormat="1" applyFont="1" applyFill="1" applyBorder="1" applyAlignment="1">
      <alignment horizontal="center" vertical="center"/>
    </xf>
    <xf numFmtId="4" fontId="1" fillId="9" borderId="13" xfId="0" applyNumberFormat="1" applyFont="1" applyFill="1" applyBorder="1" applyAlignment="1">
      <alignment horizontal="right"/>
    </xf>
    <xf numFmtId="4" fontId="9" fillId="9" borderId="8" xfId="0" applyNumberFormat="1" applyFont="1" applyFill="1" applyBorder="1" applyAlignment="1">
      <alignment horizontal="left"/>
    </xf>
    <xf numFmtId="4" fontId="9" fillId="9" borderId="8" xfId="0" applyNumberFormat="1" applyFont="1" applyFill="1" applyBorder="1" applyAlignment="1">
      <alignment horizontal="right"/>
    </xf>
    <xf numFmtId="4" fontId="9" fillId="9" borderId="8" xfId="0" applyNumberFormat="1" applyFont="1" applyFill="1" applyBorder="1" applyAlignment="1">
      <alignment horizontal="right" shrinkToFit="1"/>
    </xf>
    <xf numFmtId="4" fontId="8" fillId="9" borderId="9" xfId="0" applyNumberFormat="1" applyFont="1" applyFill="1" applyBorder="1" applyAlignment="1">
      <alignment horizontal="right"/>
    </xf>
    <xf numFmtId="4" fontId="0" fillId="3" borderId="9" xfId="0" applyNumberFormat="1" applyFill="1" applyBorder="1" applyAlignment="1">
      <alignment horizontal="right"/>
    </xf>
    <xf numFmtId="4" fontId="1" fillId="12" borderId="7" xfId="0" applyNumberFormat="1" applyFont="1" applyFill="1" applyBorder="1" applyAlignment="1">
      <alignment horizontal="center" vertical="center"/>
    </xf>
    <xf numFmtId="4" fontId="1" fillId="5" borderId="13" xfId="0" applyNumberFormat="1" applyFont="1" applyFill="1" applyBorder="1" applyAlignment="1">
      <alignment horizontal="right"/>
    </xf>
    <xf numFmtId="4" fontId="9" fillId="5" borderId="8" xfId="0" applyNumberFormat="1" applyFont="1" applyFill="1" applyBorder="1" applyAlignment="1">
      <alignment horizontal="right"/>
    </xf>
    <xf numFmtId="4" fontId="0" fillId="12" borderId="9" xfId="0" applyNumberFormat="1" applyFill="1" applyBorder="1" applyAlignment="1">
      <alignment horizontal="right"/>
    </xf>
    <xf numFmtId="4" fontId="1" fillId="5" borderId="8" xfId="0" applyNumberFormat="1" applyFont="1" applyFill="1" applyBorder="1" applyAlignment="1">
      <alignment horizontal="right"/>
    </xf>
    <xf numFmtId="0" fontId="45" fillId="22" borderId="30" xfId="0" applyFont="1" applyFill="1" applyBorder="1" applyAlignment="1">
      <alignment textRotation="90" shrinkToFit="1"/>
    </xf>
    <xf numFmtId="0" fontId="0" fillId="0" borderId="65" xfId="0" applyBorder="1" applyAlignment="1">
      <alignment horizontal="right"/>
    </xf>
    <xf numFmtId="4" fontId="0" fillId="0" borderId="60" xfId="0" applyNumberFormat="1" applyBorder="1" applyAlignment="1">
      <alignment horizontal="right"/>
    </xf>
    <xf numFmtId="0" fontId="23" fillId="0" borderId="60" xfId="0" applyFont="1" applyBorder="1" applyAlignment="1">
      <alignment horizontal="right" vertical="top"/>
    </xf>
    <xf numFmtId="4" fontId="23" fillId="0" borderId="60" xfId="0" applyNumberFormat="1" applyFont="1" applyBorder="1" applyAlignment="1">
      <alignment horizontal="right" vertical="top"/>
    </xf>
    <xf numFmtId="4" fontId="0" fillId="0" borderId="79" xfId="0" applyNumberFormat="1" applyBorder="1" applyAlignment="1">
      <alignment horizontal="right"/>
    </xf>
    <xf numFmtId="4" fontId="0" fillId="0" borderId="59" xfId="0" applyNumberFormat="1" applyBorder="1" applyAlignment="1">
      <alignment horizontal="right"/>
    </xf>
    <xf numFmtId="4" fontId="1" fillId="0" borderId="65" xfId="0" applyNumberFormat="1" applyFont="1" applyBorder="1" applyAlignment="1">
      <alignment horizontal="center" vertical="center"/>
    </xf>
    <xf numFmtId="4" fontId="0" fillId="0" borderId="64" xfId="0" applyNumberFormat="1" applyBorder="1" applyAlignment="1">
      <alignment horizontal="right"/>
    </xf>
    <xf numFmtId="4" fontId="0" fillId="0" borderId="30" xfId="0" applyNumberFormat="1" applyBorder="1" applyAlignment="1">
      <alignment horizontal="right"/>
    </xf>
    <xf numFmtId="4" fontId="42" fillId="0" borderId="0" xfId="0" applyNumberFormat="1" applyFont="1" applyAlignment="1">
      <alignment horizontal="right" shrinkToFit="1"/>
    </xf>
    <xf numFmtId="0" fontId="4" fillId="0" borderId="0" xfId="0" applyFont="1" applyAlignment="1">
      <alignment horizontal="right"/>
    </xf>
    <xf numFmtId="0" fontId="0" fillId="0" borderId="0" xfId="0" applyAlignment="1">
      <alignment horizontal="right"/>
    </xf>
    <xf numFmtId="4" fontId="1" fillId="0" borderId="0" xfId="0" applyNumberFormat="1" applyFont="1" applyAlignment="1">
      <alignment horizontal="center" vertical="center"/>
    </xf>
    <xf numFmtId="4" fontId="39" fillId="19" borderId="33" xfId="0" applyNumberFormat="1" applyFont="1" applyFill="1" applyBorder="1" applyAlignment="1" applyProtection="1">
      <alignment horizontal="right" shrinkToFit="1"/>
      <protection locked="0"/>
    </xf>
    <xf numFmtId="4" fontId="39" fillId="0" borderId="18" xfId="0" applyNumberFormat="1" applyFont="1" applyBorder="1" applyAlignment="1" applyProtection="1">
      <alignment horizontal="right" shrinkToFit="1"/>
      <protection locked="0"/>
    </xf>
    <xf numFmtId="4" fontId="39" fillId="19" borderId="18" xfId="0" applyNumberFormat="1" applyFont="1" applyFill="1" applyBorder="1" applyAlignment="1" applyProtection="1">
      <alignment horizontal="right" shrinkToFit="1"/>
      <protection locked="0"/>
    </xf>
    <xf numFmtId="4" fontId="39" fillId="0" borderId="34" xfId="0" applyNumberFormat="1" applyFont="1" applyBorder="1" applyAlignment="1" applyProtection="1">
      <alignment horizontal="right" shrinkToFit="1"/>
      <protection locked="0"/>
    </xf>
    <xf numFmtId="4" fontId="32" fillId="14" borderId="32" xfId="0" applyNumberFormat="1" applyFont="1" applyFill="1" applyBorder="1" applyAlignment="1" applyProtection="1">
      <alignment horizontal="right" shrinkToFit="1"/>
      <protection locked="0"/>
    </xf>
    <xf numFmtId="4" fontId="32" fillId="14" borderId="33" xfId="0" applyNumberFormat="1" applyFont="1" applyFill="1" applyBorder="1" applyAlignment="1" applyProtection="1">
      <alignment horizontal="right" shrinkToFit="1"/>
      <protection locked="0"/>
    </xf>
    <xf numFmtId="4" fontId="32" fillId="14" borderId="34" xfId="0" applyNumberFormat="1" applyFont="1" applyFill="1" applyBorder="1" applyAlignment="1" applyProtection="1">
      <alignment horizontal="right" shrinkToFit="1"/>
      <protection locked="0"/>
    </xf>
    <xf numFmtId="4" fontId="56" fillId="0" borderId="27" xfId="0" applyNumberFormat="1" applyFont="1" applyBorder="1" applyAlignment="1" applyProtection="1">
      <alignment horizontal="right" shrinkToFit="1"/>
      <protection locked="0"/>
    </xf>
    <xf numFmtId="4" fontId="32" fillId="0" borderId="29" xfId="0" applyNumberFormat="1" applyFont="1" applyBorder="1" applyAlignment="1" applyProtection="1">
      <alignment shrinkToFit="1"/>
      <protection locked="0"/>
    </xf>
    <xf numFmtId="4" fontId="56" fillId="0" borderId="21" xfId="0" applyNumberFormat="1" applyFont="1" applyBorder="1" applyAlignment="1" applyProtection="1">
      <alignment horizontal="left" shrinkToFit="1"/>
      <protection locked="0"/>
    </xf>
    <xf numFmtId="4" fontId="56" fillId="14" borderId="27" xfId="0" applyNumberFormat="1" applyFont="1" applyFill="1" applyBorder="1" applyAlignment="1" applyProtection="1">
      <alignment horizontal="right" shrinkToFit="1"/>
      <protection locked="0"/>
    </xf>
    <xf numFmtId="4" fontId="32" fillId="14" borderId="29" xfId="0" applyNumberFormat="1" applyFont="1" applyFill="1" applyBorder="1" applyAlignment="1" applyProtection="1">
      <alignment horizontal="right" shrinkToFit="1"/>
      <protection locked="0"/>
    </xf>
    <xf numFmtId="4" fontId="56" fillId="14" borderId="21" xfId="0" applyNumberFormat="1" applyFont="1" applyFill="1" applyBorder="1" applyAlignment="1" applyProtection="1">
      <alignment horizontal="left" shrinkToFit="1"/>
      <protection locked="0"/>
    </xf>
    <xf numFmtId="4" fontId="32" fillId="0" borderId="29" xfId="0" applyNumberFormat="1" applyFont="1" applyBorder="1" applyAlignment="1" applyProtection="1">
      <alignment horizontal="right" shrinkToFit="1"/>
      <protection locked="0"/>
    </xf>
    <xf numFmtId="4" fontId="56" fillId="14" borderId="27" xfId="2" applyNumberFormat="1" applyFont="1" applyFill="1" applyBorder="1" applyAlignment="1" applyProtection="1">
      <alignment horizontal="right" shrinkToFit="1"/>
      <protection locked="0"/>
    </xf>
    <xf numFmtId="4" fontId="32" fillId="14" borderId="29" xfId="2" applyNumberFormat="1" applyFont="1" applyFill="1" applyBorder="1" applyAlignment="1" applyProtection="1">
      <alignment shrinkToFit="1"/>
      <protection locked="0"/>
    </xf>
    <xf numFmtId="4" fontId="56" fillId="14" borderId="21" xfId="2" applyNumberFormat="1" applyFont="1" applyFill="1" applyBorder="1" applyAlignment="1" applyProtection="1">
      <alignment horizontal="left" shrinkToFit="1"/>
      <protection locked="0"/>
    </xf>
    <xf numFmtId="4" fontId="56" fillId="0" borderId="27" xfId="2" applyNumberFormat="1" applyFont="1" applyFill="1" applyBorder="1" applyAlignment="1" applyProtection="1">
      <alignment horizontal="right" shrinkToFit="1"/>
      <protection locked="0"/>
    </xf>
    <xf numFmtId="4" fontId="32" fillId="0" borderId="29" xfId="2" applyNumberFormat="1" applyFont="1" applyFill="1" applyBorder="1" applyAlignment="1" applyProtection="1">
      <alignment shrinkToFit="1"/>
      <protection locked="0"/>
    </xf>
    <xf numFmtId="4" fontId="56" fillId="0" borderId="21" xfId="2" applyNumberFormat="1" applyFont="1" applyFill="1" applyBorder="1" applyAlignment="1" applyProtection="1">
      <alignment horizontal="left" shrinkToFit="1"/>
      <protection locked="0"/>
    </xf>
    <xf numFmtId="4" fontId="56" fillId="0" borderId="81" xfId="2" applyNumberFormat="1" applyFont="1" applyFill="1" applyBorder="1" applyAlignment="1" applyProtection="1">
      <alignment horizontal="right" shrinkToFit="1"/>
      <protection locked="0"/>
    </xf>
    <xf numFmtId="4" fontId="32" fillId="0" borderId="82" xfId="2" applyNumberFormat="1" applyFont="1" applyFill="1" applyBorder="1" applyAlignment="1" applyProtection="1">
      <alignment shrinkToFit="1"/>
      <protection locked="0"/>
    </xf>
    <xf numFmtId="4" fontId="56" fillId="0" borderId="83" xfId="2" applyNumberFormat="1" applyFont="1" applyFill="1" applyBorder="1" applyAlignment="1" applyProtection="1">
      <alignment horizontal="left" shrinkToFit="1"/>
      <protection locked="0"/>
    </xf>
    <xf numFmtId="4" fontId="27" fillId="14" borderId="85" xfId="0" applyNumberFormat="1" applyFont="1" applyFill="1" applyBorder="1" applyAlignment="1" applyProtection="1">
      <alignment shrinkToFit="1"/>
      <protection locked="0"/>
    </xf>
    <xf numFmtId="4" fontId="32" fillId="14" borderId="84" xfId="0" applyNumberFormat="1" applyFont="1" applyFill="1" applyBorder="1" applyAlignment="1" applyProtection="1">
      <alignment shrinkToFit="1"/>
      <protection locked="0"/>
    </xf>
    <xf numFmtId="4" fontId="32" fillId="14" borderId="86" xfId="0" applyNumberFormat="1" applyFont="1" applyFill="1" applyBorder="1" applyAlignment="1" applyProtection="1">
      <alignment shrinkToFit="1"/>
      <protection locked="0"/>
    </xf>
    <xf numFmtId="4" fontId="60" fillId="10" borderId="8" xfId="0" applyNumberFormat="1" applyFont="1" applyFill="1" applyBorder="1" applyAlignment="1" applyProtection="1">
      <alignment horizontal="left" vertical="top" shrinkToFit="1"/>
      <protection locked="0"/>
    </xf>
    <xf numFmtId="4" fontId="8" fillId="0" borderId="10" xfId="0" applyNumberFormat="1" applyFont="1" applyBorder="1" applyAlignment="1" applyProtection="1">
      <alignment horizontal="right" shrinkToFit="1"/>
      <protection locked="0"/>
    </xf>
    <xf numFmtId="4" fontId="8" fillId="0" borderId="1" xfId="0" applyNumberFormat="1" applyFont="1" applyBorder="1" applyAlignment="1" applyProtection="1">
      <alignment horizontal="right" shrinkToFit="1"/>
      <protection locked="0"/>
    </xf>
    <xf numFmtId="4" fontId="8" fillId="0" borderId="1" xfId="0" applyNumberFormat="1" applyFont="1" applyBorder="1" applyAlignment="1" applyProtection="1">
      <alignment horizontal="left"/>
      <protection locked="0"/>
    </xf>
    <xf numFmtId="4" fontId="8" fillId="0" borderId="15" xfId="0" applyNumberFormat="1" applyFont="1" applyBorder="1" applyAlignment="1" applyProtection="1">
      <alignment horizontal="right" shrinkToFit="1"/>
      <protection locked="0"/>
    </xf>
    <xf numFmtId="4" fontId="8" fillId="0" borderId="15" xfId="0" applyNumberFormat="1" applyFont="1" applyBorder="1" applyAlignment="1" applyProtection="1">
      <alignment horizontal="left"/>
      <protection locked="0"/>
    </xf>
    <xf numFmtId="4" fontId="8" fillId="0" borderId="16" xfId="0" applyNumberFormat="1" applyFont="1" applyBorder="1" applyAlignment="1" applyProtection="1">
      <alignment horizontal="right" shrinkToFit="1"/>
      <protection locked="0"/>
    </xf>
    <xf numFmtId="4" fontId="8" fillId="0" borderId="1" xfId="0" applyNumberFormat="1" applyFont="1" applyBorder="1" applyAlignment="1" applyProtection="1">
      <alignment horizontal="right"/>
      <protection locked="0"/>
    </xf>
    <xf numFmtId="4" fontId="8" fillId="0" borderId="15" xfId="0" applyNumberFormat="1" applyFont="1" applyBorder="1" applyAlignment="1" applyProtection="1">
      <alignment horizontal="right"/>
      <protection locked="0"/>
    </xf>
    <xf numFmtId="4" fontId="8" fillId="0" borderId="10" xfId="0" applyNumberFormat="1" applyFont="1" applyBorder="1" applyAlignment="1" applyProtection="1">
      <alignment horizontal="right"/>
      <protection locked="0"/>
    </xf>
    <xf numFmtId="4" fontId="8" fillId="0" borderId="16" xfId="0" applyNumberFormat="1" applyFont="1" applyBorder="1" applyAlignment="1" applyProtection="1">
      <alignment horizontal="right"/>
      <protection locked="0"/>
    </xf>
    <xf numFmtId="4" fontId="9" fillId="5" borderId="8" xfId="0" applyNumberFormat="1" applyFont="1" applyFill="1" applyBorder="1" applyAlignment="1" applyProtection="1">
      <alignment horizontal="left"/>
      <protection locked="0"/>
    </xf>
    <xf numFmtId="49" fontId="1" fillId="5" borderId="8" xfId="0" applyNumberFormat="1" applyFont="1" applyFill="1" applyBorder="1" applyAlignment="1" applyProtection="1">
      <alignment horizontal="right"/>
      <protection locked="0"/>
    </xf>
    <xf numFmtId="49" fontId="1" fillId="5" borderId="13" xfId="0" applyNumberFormat="1" applyFont="1" applyFill="1" applyBorder="1" applyAlignment="1" applyProtection="1">
      <alignment horizontal="right"/>
      <protection locked="0"/>
    </xf>
    <xf numFmtId="4" fontId="9" fillId="3" borderId="8" xfId="0" applyNumberFormat="1" applyFont="1" applyFill="1" applyBorder="1" applyAlignment="1" applyProtection="1">
      <alignment horizontal="left"/>
      <protection locked="0"/>
    </xf>
    <xf numFmtId="49" fontId="1" fillId="3" borderId="13" xfId="0" applyNumberFormat="1" applyFont="1" applyFill="1" applyBorder="1" applyAlignment="1" applyProtection="1">
      <alignment horizontal="right"/>
      <protection locked="0"/>
    </xf>
    <xf numFmtId="4" fontId="9" fillId="9" borderId="8" xfId="0" applyNumberFormat="1" applyFont="1" applyFill="1" applyBorder="1" applyAlignment="1" applyProtection="1">
      <alignment horizontal="left"/>
      <protection locked="0"/>
    </xf>
    <xf numFmtId="49" fontId="1" fillId="9" borderId="13" xfId="0" applyNumberFormat="1" applyFont="1" applyFill="1" applyBorder="1" applyAlignment="1" applyProtection="1">
      <alignment horizontal="right"/>
      <protection locked="0"/>
    </xf>
    <xf numFmtId="4" fontId="9" fillId="8" borderId="8" xfId="0" applyNumberFormat="1" applyFont="1" applyFill="1" applyBorder="1" applyAlignment="1" applyProtection="1">
      <alignment horizontal="left"/>
      <protection locked="0"/>
    </xf>
    <xf numFmtId="49" fontId="1" fillId="8" borderId="13" xfId="0" applyNumberFormat="1" applyFont="1" applyFill="1" applyBorder="1" applyAlignment="1" applyProtection="1">
      <alignment horizontal="right"/>
      <protection locked="0"/>
    </xf>
    <xf numFmtId="4" fontId="9" fillId="4" borderId="8" xfId="0" applyNumberFormat="1" applyFont="1" applyFill="1" applyBorder="1" applyAlignment="1" applyProtection="1">
      <alignment horizontal="left"/>
      <protection locked="0"/>
    </xf>
    <xf numFmtId="49" fontId="1" fillId="4" borderId="13" xfId="0" applyNumberFormat="1" applyFont="1" applyFill="1" applyBorder="1" applyAlignment="1" applyProtection="1">
      <alignment horizontal="right"/>
      <protection locked="0"/>
    </xf>
    <xf numFmtId="4" fontId="9" fillId="7" borderId="8" xfId="0" applyNumberFormat="1" applyFont="1" applyFill="1" applyBorder="1" applyAlignment="1" applyProtection="1">
      <alignment horizontal="left"/>
      <protection locked="0"/>
    </xf>
    <xf numFmtId="49" fontId="1" fillId="7" borderId="13" xfId="0" applyNumberFormat="1" applyFont="1" applyFill="1" applyBorder="1" applyAlignment="1" applyProtection="1">
      <alignment horizontal="right"/>
      <protection locked="0"/>
    </xf>
    <xf numFmtId="4" fontId="23" fillId="0" borderId="25" xfId="0" applyNumberFormat="1" applyFont="1" applyBorder="1" applyAlignment="1" applyProtection="1">
      <alignment horizontal="right" vertical="top"/>
      <protection locked="0"/>
    </xf>
    <xf numFmtId="4" fontId="23" fillId="0" borderId="60" xfId="0" applyNumberFormat="1" applyFont="1" applyBorder="1" applyAlignment="1" applyProtection="1">
      <alignment horizontal="right" vertical="top"/>
      <protection locked="0"/>
    </xf>
    <xf numFmtId="0" fontId="37" fillId="20" borderId="67" xfId="0" applyFont="1" applyFill="1" applyBorder="1" applyAlignment="1">
      <alignment horizontal="center" shrinkToFit="1"/>
    </xf>
    <xf numFmtId="14" fontId="37" fillId="20" borderId="67" xfId="0" applyNumberFormat="1" applyFont="1" applyFill="1" applyBorder="1" applyAlignment="1">
      <alignment horizontal="center" vertical="center" shrinkToFit="1"/>
    </xf>
    <xf numFmtId="4" fontId="38" fillId="20" borderId="68" xfId="0" applyNumberFormat="1" applyFont="1" applyFill="1" applyBorder="1" applyAlignment="1">
      <alignment horizontal="center" shrinkToFit="1"/>
    </xf>
    <xf numFmtId="4" fontId="36" fillId="0" borderId="69" xfId="0" applyNumberFormat="1" applyFont="1" applyBorder="1" applyAlignment="1">
      <alignment horizontal="center" shrinkToFit="1"/>
    </xf>
    <xf numFmtId="0" fontId="34" fillId="2" borderId="66" xfId="0" applyFont="1" applyFill="1" applyBorder="1" applyAlignment="1">
      <alignment horizontal="center" shrinkToFit="1"/>
    </xf>
    <xf numFmtId="0" fontId="34" fillId="2" borderId="67" xfId="0" applyFont="1" applyFill="1" applyBorder="1" applyAlignment="1">
      <alignment horizontal="center" shrinkToFit="1"/>
    </xf>
    <xf numFmtId="0" fontId="34" fillId="2" borderId="67" xfId="0" applyFont="1" applyFill="1" applyBorder="1" applyAlignment="1">
      <alignment horizontal="center"/>
    </xf>
    <xf numFmtId="4" fontId="27" fillId="2" borderId="66" xfId="0" applyNumberFormat="1" applyFont="1" applyFill="1" applyBorder="1" applyAlignment="1">
      <alignment horizontal="center" shrinkToFit="1"/>
    </xf>
    <xf numFmtId="4" fontId="27" fillId="2" borderId="67" xfId="0" applyNumberFormat="1" applyFont="1" applyFill="1" applyBorder="1" applyAlignment="1">
      <alignment horizontal="center" shrinkToFit="1"/>
    </xf>
    <xf numFmtId="4" fontId="27" fillId="2" borderId="89" xfId="0" applyNumberFormat="1" applyFont="1" applyFill="1" applyBorder="1" applyAlignment="1">
      <alignment horizontal="center" shrinkToFit="1"/>
    </xf>
    <xf numFmtId="4" fontId="35" fillId="2" borderId="68" xfId="0" applyNumberFormat="1" applyFont="1" applyFill="1" applyBorder="1" applyAlignment="1">
      <alignment horizontal="center" shrinkToFit="1"/>
    </xf>
    <xf numFmtId="4" fontId="36" fillId="10" borderId="66" xfId="0" applyNumberFormat="1" applyFont="1" applyFill="1" applyBorder="1" applyAlignment="1">
      <alignment horizontal="right" shrinkToFit="1"/>
    </xf>
    <xf numFmtId="4" fontId="23" fillId="10" borderId="67" xfId="0" applyNumberFormat="1" applyFont="1" applyFill="1" applyBorder="1" applyAlignment="1">
      <alignment horizontal="right" shrinkToFit="1"/>
    </xf>
    <xf numFmtId="4" fontId="36" fillId="10" borderId="67" xfId="0" applyNumberFormat="1" applyFont="1" applyFill="1" applyBorder="1" applyAlignment="1">
      <alignment horizontal="right" shrinkToFit="1"/>
    </xf>
    <xf numFmtId="4" fontId="60" fillId="10" borderId="67" xfId="0" applyNumberFormat="1" applyFont="1" applyFill="1" applyBorder="1" applyAlignment="1">
      <alignment horizontal="right"/>
    </xf>
    <xf numFmtId="4" fontId="60" fillId="10" borderId="67" xfId="0" applyNumberFormat="1" applyFont="1" applyFill="1" applyBorder="1" applyAlignment="1">
      <alignment horizontal="left"/>
    </xf>
    <xf numFmtId="4" fontId="41" fillId="10" borderId="67" xfId="0" applyNumberFormat="1" applyFont="1" applyFill="1" applyBorder="1" applyAlignment="1">
      <alignment horizontal="left" shrinkToFit="1"/>
    </xf>
    <xf numFmtId="4" fontId="36" fillId="10" borderId="67" xfId="0" applyNumberFormat="1" applyFont="1" applyFill="1" applyBorder="1" applyAlignment="1">
      <alignment horizontal="center" shrinkToFit="1"/>
    </xf>
    <xf numFmtId="4" fontId="36" fillId="10" borderId="68" xfId="0" applyNumberFormat="1" applyFont="1" applyFill="1" applyBorder="1" applyAlignment="1">
      <alignment horizontal="center" shrinkToFit="1"/>
    </xf>
    <xf numFmtId="4" fontId="36" fillId="0" borderId="74" xfId="0" applyNumberFormat="1" applyFont="1" applyBorder="1" applyAlignment="1">
      <alignment horizontal="center" shrinkToFit="1"/>
    </xf>
    <xf numFmtId="4" fontId="36" fillId="0" borderId="67" xfId="0" applyNumberFormat="1" applyFont="1" applyBorder="1" applyAlignment="1">
      <alignment horizontal="center" shrinkToFit="1"/>
    </xf>
    <xf numFmtId="0" fontId="37" fillId="20" borderId="0" xfId="0" applyFont="1" applyFill="1" applyAlignment="1">
      <alignment horizontal="right" shrinkToFit="1"/>
    </xf>
    <xf numFmtId="4" fontId="39" fillId="0" borderId="15" xfId="0" applyNumberFormat="1" applyFont="1" applyBorder="1" applyAlignment="1">
      <alignment horizontal="right" shrinkToFit="1"/>
    </xf>
    <xf numFmtId="4" fontId="38" fillId="20" borderId="6" xfId="0" applyNumberFormat="1" applyFont="1" applyFill="1" applyBorder="1" applyAlignment="1">
      <alignment horizontal="right" shrinkToFit="1"/>
    </xf>
    <xf numFmtId="4" fontId="36" fillId="0" borderId="57" xfId="0" applyNumberFormat="1" applyFont="1" applyBorder="1" applyAlignment="1">
      <alignment horizontal="right" shrinkToFit="1"/>
    </xf>
    <xf numFmtId="0" fontId="34" fillId="2" borderId="5" xfId="0" applyFont="1" applyFill="1" applyBorder="1" applyAlignment="1">
      <alignment horizontal="right" shrinkToFit="1"/>
    </xf>
    <xf numFmtId="4" fontId="27" fillId="2" borderId="0" xfId="0" applyNumberFormat="1" applyFont="1" applyFill="1" applyAlignment="1">
      <alignment horizontal="right" shrinkToFit="1"/>
    </xf>
    <xf numFmtId="4" fontId="32" fillId="14" borderId="0" xfId="0" applyNumberFormat="1" applyFont="1" applyFill="1" applyAlignment="1">
      <alignment horizontal="right" shrinkToFit="1"/>
    </xf>
    <xf numFmtId="4" fontId="32" fillId="2" borderId="0" xfId="0" applyNumberFormat="1" applyFont="1" applyFill="1" applyAlignment="1">
      <alignment horizontal="right" shrinkToFit="1"/>
    </xf>
    <xf numFmtId="4" fontId="27" fillId="2" borderId="0" xfId="0" applyNumberFormat="1" applyFont="1" applyFill="1" applyAlignment="1">
      <alignment horizontal="right"/>
    </xf>
    <xf numFmtId="4" fontId="62" fillId="2" borderId="0" xfId="0" applyNumberFormat="1" applyFont="1" applyFill="1" applyAlignment="1">
      <alignment vertical="center"/>
    </xf>
    <xf numFmtId="4" fontId="56" fillId="0" borderId="27" xfId="0" applyNumberFormat="1" applyFont="1" applyBorder="1" applyAlignment="1">
      <alignment horizontal="left" shrinkToFit="1"/>
    </xf>
    <xf numFmtId="4" fontId="56" fillId="0" borderId="19" xfId="0" applyNumberFormat="1" applyFont="1" applyBorder="1" applyAlignment="1">
      <alignment horizontal="left" shrinkToFit="1"/>
    </xf>
    <xf numFmtId="4" fontId="56" fillId="0" borderId="21" xfId="0" applyNumberFormat="1" applyFont="1" applyBorder="1" applyAlignment="1">
      <alignment horizontal="left" shrinkToFit="1"/>
    </xf>
    <xf numFmtId="4" fontId="35" fillId="2" borderId="6" xfId="0" applyNumberFormat="1" applyFont="1" applyFill="1" applyBorder="1" applyAlignment="1">
      <alignment horizontal="right" shrinkToFit="1"/>
    </xf>
    <xf numFmtId="4" fontId="36" fillId="10" borderId="5" xfId="0" applyNumberFormat="1" applyFont="1" applyFill="1" applyBorder="1" applyAlignment="1">
      <alignment horizontal="right" shrinkToFit="1"/>
    </xf>
    <xf numFmtId="4" fontId="36" fillId="10" borderId="6" xfId="0" applyNumberFormat="1" applyFont="1" applyFill="1" applyBorder="1" applyAlignment="1">
      <alignment horizontal="right" shrinkToFit="1"/>
    </xf>
    <xf numFmtId="4" fontId="36" fillId="0" borderId="71" xfId="0" applyNumberFormat="1" applyFont="1" applyBorder="1" applyAlignment="1">
      <alignment horizontal="right" shrinkToFit="1"/>
    </xf>
    <xf numFmtId="4" fontId="36" fillId="0" borderId="0" xfId="0" applyNumberFormat="1" applyFont="1" applyAlignment="1">
      <alignment horizontal="right" shrinkToFit="1"/>
    </xf>
    <xf numFmtId="4" fontId="39" fillId="19" borderId="17" xfId="0" applyNumberFormat="1" applyFont="1" applyFill="1" applyBorder="1" applyAlignment="1">
      <alignment horizontal="right" shrinkToFit="1"/>
    </xf>
    <xf numFmtId="4" fontId="27" fillId="2" borderId="0" xfId="0" applyNumberFormat="1" applyFont="1" applyFill="1" applyAlignment="1">
      <alignment vertical="center" shrinkToFit="1"/>
    </xf>
    <xf numFmtId="4" fontId="56" fillId="14" borderId="27" xfId="0" applyNumberFormat="1" applyFont="1" applyFill="1" applyBorder="1" applyAlignment="1">
      <alignment horizontal="left" shrinkToFit="1"/>
    </xf>
    <xf numFmtId="4" fontId="56" fillId="14" borderId="19" xfId="0" applyNumberFormat="1" applyFont="1" applyFill="1" applyBorder="1" applyAlignment="1">
      <alignment horizontal="left" shrinkToFit="1"/>
    </xf>
    <xf numFmtId="4" fontId="56" fillId="14" borderId="21" xfId="0" applyNumberFormat="1" applyFont="1" applyFill="1" applyBorder="1" applyAlignment="1">
      <alignment horizontal="left" shrinkToFit="1"/>
    </xf>
    <xf numFmtId="4" fontId="36" fillId="10" borderId="5" xfId="0" applyNumberFormat="1" applyFont="1" applyFill="1" applyBorder="1" applyAlignment="1">
      <alignment horizontal="center" shrinkToFit="1"/>
    </xf>
    <xf numFmtId="4" fontId="39" fillId="0" borderId="17" xfId="0" applyNumberFormat="1" applyFont="1" applyBorder="1" applyAlignment="1">
      <alignment horizontal="right" shrinkToFit="1"/>
    </xf>
    <xf numFmtId="4" fontId="32" fillId="2" borderId="0" xfId="0" applyNumberFormat="1" applyFont="1" applyFill="1" applyAlignment="1">
      <alignment horizontal="right"/>
    </xf>
    <xf numFmtId="4" fontId="27" fillId="2" borderId="0" xfId="0" applyNumberFormat="1" applyFont="1" applyFill="1" applyAlignment="1">
      <alignment horizontal="left" shrinkToFit="1"/>
    </xf>
    <xf numFmtId="4" fontId="32" fillId="2" borderId="0" xfId="0" applyNumberFormat="1" applyFont="1" applyFill="1" applyAlignment="1">
      <alignment horizontal="right" vertical="top"/>
    </xf>
    <xf numFmtId="4" fontId="36" fillId="10" borderId="7" xfId="0" applyNumberFormat="1" applyFont="1" applyFill="1" applyBorder="1" applyAlignment="1">
      <alignment horizontal="right" shrinkToFit="1"/>
    </xf>
    <xf numFmtId="4" fontId="60" fillId="10" borderId="8" xfId="0" applyNumberFormat="1" applyFont="1" applyFill="1" applyBorder="1" applyAlignment="1">
      <alignment horizontal="right" vertical="top" shrinkToFit="1"/>
    </xf>
    <xf numFmtId="4" fontId="61" fillId="10" borderId="8" xfId="0" applyNumberFormat="1" applyFont="1" applyFill="1" applyBorder="1" applyAlignment="1">
      <alignment horizontal="left" vertical="top" shrinkToFit="1"/>
    </xf>
    <xf numFmtId="4" fontId="36" fillId="10" borderId="8" xfId="0" applyNumberFormat="1" applyFont="1" applyFill="1" applyBorder="1" applyAlignment="1">
      <alignment horizontal="right" shrinkToFit="1"/>
    </xf>
    <xf numFmtId="4" fontId="36" fillId="10" borderId="9" xfId="0" applyNumberFormat="1" applyFont="1" applyFill="1" applyBorder="1" applyAlignment="1">
      <alignment horizontal="right" shrinkToFit="1"/>
    </xf>
    <xf numFmtId="4" fontId="27" fillId="2" borderId="2" xfId="0" applyNumberFormat="1" applyFont="1" applyFill="1" applyBorder="1" applyAlignment="1">
      <alignment horizontal="center" shrinkToFit="1"/>
    </xf>
    <xf numFmtId="4" fontId="27" fillId="2" borderId="3" xfId="0" applyNumberFormat="1" applyFont="1" applyFill="1" applyBorder="1" applyAlignment="1">
      <alignment horizontal="center" shrinkToFit="1"/>
    </xf>
    <xf numFmtId="4" fontId="27" fillId="2" borderId="4" xfId="0" applyNumberFormat="1" applyFont="1" applyFill="1" applyBorder="1" applyAlignment="1">
      <alignment horizontal="center" shrinkToFit="1"/>
    </xf>
    <xf numFmtId="4" fontId="36" fillId="0" borderId="56" xfId="0" applyNumberFormat="1" applyFont="1" applyBorder="1" applyAlignment="1">
      <alignment horizontal="right" shrinkToFit="1"/>
    </xf>
    <xf numFmtId="4" fontId="36" fillId="0" borderId="25" xfId="0" applyNumberFormat="1" applyFont="1" applyBorder="1" applyAlignment="1">
      <alignment horizontal="right" shrinkToFit="1"/>
    </xf>
    <xf numFmtId="0" fontId="43" fillId="0" borderId="25" xfId="0" applyFont="1" applyBorder="1" applyAlignment="1">
      <alignment horizontal="right" shrinkToFit="1"/>
    </xf>
    <xf numFmtId="0" fontId="43" fillId="0" borderId="25" xfId="0" applyFont="1" applyBorder="1" applyAlignment="1">
      <alignment horizontal="left" shrinkToFit="1"/>
    </xf>
    <xf numFmtId="4" fontId="36" fillId="0" borderId="72" xfId="0" applyNumberFormat="1" applyFont="1" applyBorder="1" applyAlignment="1">
      <alignment horizontal="right" shrinkToFit="1"/>
    </xf>
    <xf numFmtId="4" fontId="55" fillId="23" borderId="2" xfId="0" applyNumberFormat="1" applyFont="1" applyFill="1" applyBorder="1" applyAlignment="1">
      <alignment shrinkToFit="1"/>
    </xf>
    <xf numFmtId="4" fontId="55" fillId="23" borderId="3" xfId="0" applyNumberFormat="1" applyFont="1" applyFill="1" applyBorder="1" applyAlignment="1">
      <alignment shrinkToFit="1"/>
    </xf>
    <xf numFmtId="4" fontId="55" fillId="23" borderId="3" xfId="0" applyNumberFormat="1" applyFont="1" applyFill="1" applyBorder="1" applyAlignment="1">
      <alignment horizontal="right"/>
    </xf>
    <xf numFmtId="4" fontId="10" fillId="23" borderId="3" xfId="0" applyNumberFormat="1" applyFont="1" applyFill="1" applyBorder="1" applyAlignment="1">
      <alignment horizontal="right"/>
    </xf>
    <xf numFmtId="4" fontId="55" fillId="23" borderId="3" xfId="0" applyNumberFormat="1" applyFont="1" applyFill="1" applyBorder="1" applyAlignment="1">
      <alignment horizontal="right" shrinkToFit="1"/>
    </xf>
    <xf numFmtId="4" fontId="55" fillId="23" borderId="4" xfId="0" applyNumberFormat="1" applyFont="1" applyFill="1" applyBorder="1" applyAlignment="1">
      <alignment horizontal="right" shrinkToFit="1"/>
    </xf>
    <xf numFmtId="0" fontId="10" fillId="23" borderId="0" xfId="0" applyFont="1" applyFill="1" applyAlignment="1">
      <alignment horizontal="center" shrinkToFit="1"/>
    </xf>
    <xf numFmtId="4" fontId="55" fillId="23" borderId="6" xfId="0" applyNumberFormat="1" applyFont="1" applyFill="1" applyBorder="1" applyAlignment="1">
      <alignment horizontal="right" shrinkToFit="1"/>
    </xf>
    <xf numFmtId="4" fontId="56" fillId="13" borderId="31" xfId="0" applyNumberFormat="1" applyFont="1" applyFill="1" applyBorder="1" applyAlignment="1">
      <alignment horizontal="right" shrinkToFit="1"/>
    </xf>
    <xf numFmtId="4" fontId="44" fillId="13" borderId="31" xfId="0" applyNumberFormat="1" applyFont="1" applyFill="1" applyBorder="1" applyAlignment="1">
      <alignment horizontal="right" shrinkToFit="1"/>
    </xf>
    <xf numFmtId="4" fontId="56" fillId="0" borderId="31" xfId="0" applyNumberFormat="1" applyFont="1" applyBorder="1" applyAlignment="1">
      <alignment horizontal="right" shrinkToFit="1"/>
    </xf>
    <xf numFmtId="4" fontId="44" fillId="0" borderId="31" xfId="0" applyNumberFormat="1" applyFont="1" applyBorder="1" applyAlignment="1">
      <alignment horizontal="right" shrinkToFit="1"/>
    </xf>
    <xf numFmtId="4" fontId="39" fillId="19" borderId="88" xfId="0" applyNumberFormat="1" applyFont="1" applyFill="1" applyBorder="1" applyAlignment="1">
      <alignment horizontal="right" shrinkToFit="1"/>
    </xf>
    <xf numFmtId="4" fontId="56" fillId="0" borderId="31" xfId="0" applyNumberFormat="1" applyFont="1" applyBorder="1" applyAlignment="1">
      <alignment horizontal="right" vertical="center" shrinkToFit="1"/>
    </xf>
    <xf numFmtId="0" fontId="37" fillId="20" borderId="0" xfId="0" applyFont="1" applyFill="1" applyAlignment="1">
      <alignment horizontal="right" vertical="center"/>
    </xf>
    <xf numFmtId="4" fontId="58" fillId="20" borderId="0" xfId="0" applyNumberFormat="1" applyFont="1" applyFill="1" applyAlignment="1">
      <alignment horizontal="right" vertical="top" shrinkToFit="1"/>
    </xf>
    <xf numFmtId="4" fontId="36" fillId="0" borderId="57" xfId="0" applyNumberFormat="1" applyFont="1" applyBorder="1" applyAlignment="1">
      <alignment horizontal="center" shrinkToFit="1"/>
    </xf>
    <xf numFmtId="4" fontId="56" fillId="13" borderId="31" xfId="0" applyNumberFormat="1" applyFont="1" applyFill="1" applyBorder="1" applyAlignment="1">
      <alignment horizontal="right" vertical="center" shrinkToFit="1"/>
    </xf>
    <xf numFmtId="4" fontId="55" fillId="23" borderId="6" xfId="0" applyNumberFormat="1" applyFont="1" applyFill="1" applyBorder="1" applyAlignment="1">
      <alignment horizontal="center" shrinkToFit="1"/>
    </xf>
    <xf numFmtId="4" fontId="36" fillId="0" borderId="71" xfId="0" applyNumberFormat="1" applyFont="1" applyBorder="1" applyAlignment="1">
      <alignment horizontal="center" shrinkToFit="1"/>
    </xf>
    <xf numFmtId="4" fontId="36" fillId="0" borderId="0" xfId="0" applyNumberFormat="1" applyFont="1" applyAlignment="1">
      <alignment horizontal="center" shrinkToFit="1"/>
    </xf>
    <xf numFmtId="4" fontId="39" fillId="20" borderId="8" xfId="0" applyNumberFormat="1" applyFont="1" applyFill="1" applyBorder="1" applyAlignment="1">
      <alignment horizontal="right" shrinkToFit="1"/>
    </xf>
    <xf numFmtId="4" fontId="56" fillId="14" borderId="21" xfId="2" applyNumberFormat="1" applyFont="1" applyFill="1" applyBorder="1" applyAlignment="1" applyProtection="1">
      <alignment horizontal="left" shrinkToFit="1"/>
    </xf>
    <xf numFmtId="4" fontId="56" fillId="14" borderId="27" xfId="2" applyNumberFormat="1" applyFont="1" applyFill="1" applyBorder="1" applyAlignment="1" applyProtection="1">
      <alignment horizontal="left" shrinkToFit="1"/>
    </xf>
    <xf numFmtId="4" fontId="56" fillId="14" borderId="19" xfId="2" applyNumberFormat="1" applyFont="1" applyFill="1" applyBorder="1" applyAlignment="1" applyProtection="1">
      <alignment horizontal="left" shrinkToFit="1"/>
    </xf>
    <xf numFmtId="4" fontId="56" fillId="0" borderId="31" xfId="0" applyNumberFormat="1" applyFont="1" applyBorder="1" applyAlignment="1">
      <alignment horizontal="right" vertical="top" shrinkToFit="1"/>
    </xf>
    <xf numFmtId="4" fontId="56" fillId="0" borderId="21" xfId="2" applyNumberFormat="1" applyFont="1" applyFill="1" applyBorder="1" applyAlignment="1" applyProtection="1">
      <alignment horizontal="left" shrinkToFit="1"/>
    </xf>
    <xf numFmtId="4" fontId="56" fillId="0" borderId="27" xfId="2" applyNumberFormat="1" applyFont="1" applyFill="1" applyBorder="1" applyAlignment="1" applyProtection="1">
      <alignment horizontal="left" shrinkToFit="1"/>
    </xf>
    <xf numFmtId="4" fontId="56" fillId="0" borderId="19" xfId="2" applyNumberFormat="1" applyFont="1" applyFill="1" applyBorder="1" applyAlignment="1" applyProtection="1">
      <alignment horizontal="left" shrinkToFit="1"/>
    </xf>
    <xf numFmtId="4" fontId="32" fillId="14" borderId="28" xfId="0" applyNumberFormat="1" applyFont="1" applyFill="1" applyBorder="1" applyAlignment="1">
      <alignment shrinkToFit="1"/>
    </xf>
    <xf numFmtId="4" fontId="32" fillId="14" borderId="75" xfId="0" applyNumberFormat="1" applyFont="1" applyFill="1" applyBorder="1" applyAlignment="1">
      <alignment shrinkToFit="1"/>
    </xf>
    <xf numFmtId="4" fontId="32" fillId="14" borderId="22" xfId="0" applyNumberFormat="1" applyFont="1" applyFill="1" applyBorder="1" applyAlignment="1">
      <alignment shrinkToFit="1"/>
    </xf>
    <xf numFmtId="4" fontId="56" fillId="0" borderId="87" xfId="0" applyNumberFormat="1" applyFont="1" applyBorder="1" applyAlignment="1">
      <alignment horizontal="right" shrinkToFit="1"/>
    </xf>
    <xf numFmtId="4" fontId="44" fillId="0" borderId="87" xfId="0" applyNumberFormat="1" applyFont="1" applyBorder="1" applyAlignment="1">
      <alignment horizontal="right" shrinkToFit="1"/>
    </xf>
    <xf numFmtId="4" fontId="35" fillId="2" borderId="7" xfId="0" applyNumberFormat="1" applyFont="1" applyFill="1" applyBorder="1" applyAlignment="1">
      <alignment horizontal="right" shrinkToFit="1"/>
    </xf>
    <xf numFmtId="4" fontId="34" fillId="2" borderId="8" xfId="0" applyNumberFormat="1" applyFont="1" applyFill="1" applyBorder="1" applyAlignment="1">
      <alignment horizontal="right" shrinkToFit="1"/>
    </xf>
    <xf numFmtId="4" fontId="40" fillId="2" borderId="8" xfId="0" applyNumberFormat="1" applyFont="1" applyFill="1" applyBorder="1" applyAlignment="1">
      <alignment horizontal="right" vertical="top" shrinkToFit="1"/>
    </xf>
    <xf numFmtId="4" fontId="35" fillId="2" borderId="8" xfId="0" applyNumberFormat="1" applyFont="1" applyFill="1" applyBorder="1" applyAlignment="1">
      <alignment horizontal="right" shrinkToFit="1"/>
    </xf>
    <xf numFmtId="4" fontId="40" fillId="2" borderId="0" xfId="0" applyNumberFormat="1" applyFont="1" applyFill="1" applyAlignment="1">
      <alignment vertical="top" shrinkToFit="1"/>
    </xf>
    <xf numFmtId="4" fontId="40" fillId="2" borderId="0" xfId="0" applyNumberFormat="1" applyFont="1" applyFill="1" applyAlignment="1">
      <alignment horizontal="right" vertical="top" shrinkToFit="1"/>
    </xf>
    <xf numFmtId="4" fontId="35" fillId="2" borderId="0" xfId="0" applyNumberFormat="1" applyFont="1" applyFill="1" applyAlignment="1">
      <alignment horizontal="right" shrinkToFit="1"/>
    </xf>
    <xf numFmtId="4" fontId="40" fillId="2" borderId="0" xfId="0" applyNumberFormat="1" applyFont="1" applyFill="1" applyAlignment="1">
      <alignment horizontal="right" shrinkToFit="1"/>
    </xf>
    <xf numFmtId="4" fontId="36" fillId="23" borderId="6" xfId="0" applyNumberFormat="1" applyFont="1" applyFill="1" applyBorder="1" applyAlignment="1">
      <alignment horizontal="right" shrinkToFit="1"/>
    </xf>
    <xf numFmtId="0" fontId="45" fillId="21" borderId="7" xfId="0" applyFont="1" applyFill="1" applyBorder="1" applyAlignment="1">
      <alignment textRotation="90" shrinkToFit="1"/>
    </xf>
    <xf numFmtId="0" fontId="37" fillId="20" borderId="8" xfId="0" applyFont="1" applyFill="1" applyBorder="1" applyAlignment="1">
      <alignment horizontal="right" shrinkToFit="1"/>
    </xf>
    <xf numFmtId="4" fontId="37" fillId="20" borderId="8" xfId="0" applyNumberFormat="1" applyFont="1" applyFill="1" applyBorder="1" applyAlignment="1">
      <alignment horizontal="right" shrinkToFit="1"/>
    </xf>
    <xf numFmtId="4" fontId="38" fillId="20" borderId="9" xfId="0" applyNumberFormat="1" applyFont="1" applyFill="1" applyBorder="1" applyAlignment="1">
      <alignment horizontal="right" shrinkToFit="1"/>
    </xf>
    <xf numFmtId="4" fontId="35" fillId="0" borderId="58" xfId="0" applyNumberFormat="1" applyFont="1" applyBorder="1" applyAlignment="1">
      <alignment horizontal="right" shrinkToFit="1"/>
    </xf>
    <xf numFmtId="4" fontId="40" fillId="0" borderId="58" xfId="0" applyNumberFormat="1" applyFont="1" applyBorder="1" applyAlignment="1">
      <alignment horizontal="right" vertical="top" shrinkToFit="1"/>
    </xf>
    <xf numFmtId="4" fontId="34" fillId="0" borderId="80" xfId="0" applyNumberFormat="1" applyFont="1" applyBorder="1" applyAlignment="1">
      <alignment horizontal="right" vertical="top"/>
    </xf>
    <xf numFmtId="4" fontId="34" fillId="2" borderId="7" xfId="0" applyNumberFormat="1" applyFont="1" applyFill="1" applyBorder="1" applyAlignment="1">
      <alignment horizontal="right" vertical="center" shrinkToFit="1"/>
    </xf>
    <xf numFmtId="4" fontId="34" fillId="2" borderId="8" xfId="0" applyNumberFormat="1" applyFont="1" applyFill="1" applyBorder="1" applyAlignment="1">
      <alignment horizontal="left" vertical="center" shrinkToFit="1"/>
    </xf>
    <xf numFmtId="4" fontId="36" fillId="2" borderId="9" xfId="0" applyNumberFormat="1" applyFont="1" applyFill="1" applyBorder="1" applyAlignment="1">
      <alignment horizontal="right" shrinkToFit="1"/>
    </xf>
    <xf numFmtId="4" fontId="44" fillId="23" borderId="8" xfId="0" applyNumberFormat="1" applyFont="1" applyFill="1" applyBorder="1" applyAlignment="1">
      <alignment horizontal="right" shrinkToFit="1"/>
    </xf>
    <xf numFmtId="4" fontId="55" fillId="23" borderId="9" xfId="0" applyNumberFormat="1" applyFont="1" applyFill="1" applyBorder="1" applyAlignment="1">
      <alignment horizontal="right" shrinkToFit="1"/>
    </xf>
    <xf numFmtId="0" fontId="45" fillId="0" borderId="60" xfId="0" applyFont="1" applyBorder="1" applyAlignment="1">
      <alignment textRotation="90" shrinkToFit="1"/>
    </xf>
    <xf numFmtId="0" fontId="3" fillId="0" borderId="60" xfId="0" applyFont="1" applyBorder="1" applyAlignment="1">
      <alignment horizontal="right" shrinkToFit="1"/>
    </xf>
    <xf numFmtId="4" fontId="36" fillId="0" borderId="60" xfId="0" applyNumberFormat="1" applyFont="1" applyBorder="1" applyAlignment="1">
      <alignment horizontal="right" shrinkToFit="1"/>
    </xf>
    <xf numFmtId="4" fontId="36" fillId="0" borderId="59" xfId="0" applyNumberFormat="1" applyFont="1" applyBorder="1" applyAlignment="1">
      <alignment horizontal="right" shrinkToFit="1"/>
    </xf>
    <xf numFmtId="4" fontId="3" fillId="0" borderId="59" xfId="0" applyNumberFormat="1" applyFont="1" applyBorder="1" applyAlignment="1">
      <alignment horizontal="right" shrinkToFit="1"/>
    </xf>
    <xf numFmtId="4" fontId="3" fillId="0" borderId="60" xfId="0" applyNumberFormat="1" applyFont="1" applyBorder="1" applyAlignment="1">
      <alignment horizontal="right" shrinkToFit="1"/>
    </xf>
    <xf numFmtId="4" fontId="36" fillId="0" borderId="73" xfId="0" applyNumberFormat="1" applyFont="1" applyBorder="1" applyAlignment="1">
      <alignment horizontal="right" shrinkToFit="1"/>
    </xf>
    <xf numFmtId="4" fontId="36" fillId="0" borderId="30" xfId="0" applyNumberFormat="1" applyFont="1" applyBorder="1" applyAlignment="1">
      <alignment horizontal="right" shrinkToFit="1"/>
    </xf>
    <xf numFmtId="0" fontId="3" fillId="0" borderId="0" xfId="0" applyFont="1" applyAlignment="1">
      <alignment horizontal="right" shrinkToFit="1"/>
    </xf>
    <xf numFmtId="4" fontId="3" fillId="0" borderId="0" xfId="0" applyNumberFormat="1" applyFont="1" applyAlignment="1">
      <alignment horizontal="right" shrinkToFit="1"/>
    </xf>
    <xf numFmtId="4" fontId="1" fillId="7" borderId="8" xfId="0" applyNumberFormat="1" applyFont="1" applyFill="1" applyBorder="1" applyAlignment="1">
      <alignment horizontal="right"/>
    </xf>
    <xf numFmtId="4" fontId="1" fillId="3" borderId="8" xfId="0" applyNumberFormat="1" applyFont="1" applyFill="1" applyBorder="1" applyAlignment="1">
      <alignment horizontal="right"/>
    </xf>
    <xf numFmtId="4" fontId="1" fillId="4" borderId="8" xfId="0" applyNumberFormat="1" applyFont="1" applyFill="1" applyBorder="1" applyAlignment="1">
      <alignment horizontal="right"/>
    </xf>
    <xf numFmtId="4" fontId="1" fillId="8" borderId="8" xfId="0" applyNumberFormat="1" applyFont="1" applyFill="1" applyBorder="1" applyAlignment="1">
      <alignment horizontal="right"/>
    </xf>
    <xf numFmtId="4" fontId="1" fillId="9" borderId="8" xfId="0" applyNumberFormat="1" applyFont="1" applyFill="1" applyBorder="1" applyAlignment="1">
      <alignment horizontal="right"/>
    </xf>
    <xf numFmtId="4" fontId="8" fillId="0" borderId="90" xfId="0" applyNumberFormat="1" applyFont="1" applyBorder="1" applyAlignment="1">
      <alignment horizontal="right" shrinkToFit="1"/>
    </xf>
    <xf numFmtId="4" fontId="22" fillId="0" borderId="12" xfId="0" applyNumberFormat="1" applyFont="1" applyBorder="1" applyAlignment="1">
      <alignment horizontal="right" shrinkToFit="1"/>
    </xf>
    <xf numFmtId="4" fontId="22" fillId="0" borderId="91" xfId="0" applyNumberFormat="1" applyFont="1" applyBorder="1" applyAlignment="1">
      <alignment horizontal="right" shrinkToFit="1"/>
    </xf>
    <xf numFmtId="49" fontId="8" fillId="0" borderId="12" xfId="0" applyNumberFormat="1" applyFont="1" applyBorder="1" applyAlignment="1" applyProtection="1">
      <alignment horizontal="center" vertical="center" shrinkToFit="1"/>
      <protection locked="0"/>
    </xf>
    <xf numFmtId="4" fontId="22" fillId="0" borderId="12" xfId="0" applyNumberFormat="1" applyFont="1" applyBorder="1" applyAlignment="1">
      <alignment horizontal="right"/>
    </xf>
    <xf numFmtId="4" fontId="22" fillId="0" borderId="91" xfId="0" applyNumberFormat="1" applyFont="1" applyBorder="1" applyAlignment="1">
      <alignment horizontal="right"/>
    </xf>
    <xf numFmtId="49" fontId="8" fillId="0" borderId="12" xfId="0" applyNumberFormat="1" applyFont="1" applyBorder="1" applyAlignment="1" applyProtection="1">
      <alignment horizontal="center" vertical="center"/>
      <protection locked="0"/>
    </xf>
    <xf numFmtId="4" fontId="8" fillId="0" borderId="94" xfId="0" applyNumberFormat="1" applyFont="1" applyBorder="1" applyAlignment="1">
      <alignment horizontal="right"/>
    </xf>
    <xf numFmtId="4" fontId="8" fillId="0" borderId="93" xfId="0" applyNumberFormat="1" applyFont="1" applyBorder="1" applyAlignment="1" applyProtection="1">
      <alignment horizontal="right" shrinkToFit="1"/>
      <protection locked="0"/>
    </xf>
    <xf numFmtId="4" fontId="8" fillId="0" borderId="90" xfId="0" applyNumberFormat="1" applyFont="1" applyBorder="1" applyAlignment="1">
      <alignment horizontal="right"/>
    </xf>
    <xf numFmtId="4" fontId="8" fillId="0" borderId="14" xfId="0" applyNumberFormat="1" applyFont="1" applyBorder="1" applyAlignment="1">
      <alignment horizontal="right"/>
    </xf>
    <xf numFmtId="4" fontId="8" fillId="0" borderId="93" xfId="0" applyNumberFormat="1" applyFont="1" applyBorder="1" applyAlignment="1" applyProtection="1">
      <alignment horizontal="right"/>
      <protection locked="0"/>
    </xf>
    <xf numFmtId="0" fontId="63" fillId="0" borderId="92" xfId="0" applyFont="1" applyBorder="1" applyAlignment="1">
      <alignment horizontal="right"/>
    </xf>
    <xf numFmtId="0" fontId="63" fillId="0" borderId="12" xfId="0" applyFont="1" applyBorder="1" applyAlignment="1">
      <alignment horizontal="right"/>
    </xf>
    <xf numFmtId="0" fontId="63" fillId="0" borderId="91" xfId="0" applyFont="1" applyBorder="1" applyAlignment="1">
      <alignment horizontal="right"/>
    </xf>
    <xf numFmtId="4" fontId="44" fillId="11" borderId="39" xfId="0" applyNumberFormat="1" applyFont="1" applyFill="1" applyBorder="1" applyAlignment="1">
      <alignment shrinkToFit="1"/>
    </xf>
    <xf numFmtId="4" fontId="9" fillId="5" borderId="8" xfId="0" applyNumberFormat="1" applyFont="1" applyFill="1" applyBorder="1" applyAlignment="1">
      <alignment horizontal="left"/>
    </xf>
    <xf numFmtId="4" fontId="8" fillId="6" borderId="95" xfId="0" applyNumberFormat="1" applyFont="1" applyFill="1" applyBorder="1" applyAlignment="1">
      <alignment horizontal="right" shrinkToFit="1"/>
    </xf>
    <xf numFmtId="4" fontId="8" fillId="0" borderId="96" xfId="0" applyNumberFormat="1" applyFont="1" applyBorder="1" applyAlignment="1">
      <alignment horizontal="right" shrinkToFit="1"/>
    </xf>
    <xf numFmtId="4" fontId="29" fillId="0" borderId="0" xfId="0" applyNumberFormat="1" applyFont="1" applyAlignment="1">
      <alignment shrinkToFit="1"/>
    </xf>
    <xf numFmtId="4" fontId="28" fillId="6" borderId="0" xfId="0" applyNumberFormat="1" applyFont="1" applyFill="1"/>
    <xf numFmtId="4" fontId="29" fillId="6" borderId="0" xfId="0" applyNumberFormat="1" applyFont="1" applyFill="1" applyAlignment="1">
      <alignment shrinkToFit="1"/>
    </xf>
    <xf numFmtId="0" fontId="4" fillId="2" borderId="0" xfId="0" applyFont="1" applyFill="1" applyAlignment="1">
      <alignment vertical="center" shrinkToFit="1"/>
    </xf>
    <xf numFmtId="4" fontId="7" fillId="2" borderId="0" xfId="0" applyNumberFormat="1" applyFont="1" applyFill="1" applyAlignment="1">
      <alignment shrinkToFit="1"/>
    </xf>
    <xf numFmtId="4" fontId="53" fillId="2" borderId="0" xfId="0" applyNumberFormat="1" applyFont="1" applyFill="1"/>
    <xf numFmtId="4" fontId="53" fillId="2" borderId="0" xfId="0" applyNumberFormat="1" applyFont="1" applyFill="1" applyAlignment="1">
      <alignment shrinkToFit="1"/>
    </xf>
    <xf numFmtId="4" fontId="54" fillId="2" borderId="0" xfId="0" applyNumberFormat="1" applyFont="1" applyFill="1" applyAlignment="1">
      <alignment shrinkToFit="1"/>
    </xf>
    <xf numFmtId="4" fontId="0" fillId="2" borderId="6" xfId="0" applyNumberFormat="1" applyFill="1" applyBorder="1" applyAlignment="1">
      <alignment horizontal="right"/>
    </xf>
    <xf numFmtId="0" fontId="4" fillId="2" borderId="3" xfId="0" applyFont="1" applyFill="1" applyBorder="1" applyAlignment="1">
      <alignment horizontal="center"/>
    </xf>
    <xf numFmtId="4" fontId="0" fillId="2" borderId="4" xfId="0" applyNumberFormat="1" applyFill="1" applyBorder="1" applyAlignment="1">
      <alignment horizontal="center"/>
    </xf>
    <xf numFmtId="0" fontId="4" fillId="2" borderId="8" xfId="0" applyFont="1" applyFill="1" applyBorder="1" applyAlignment="1">
      <alignment horizontal="right" shrinkToFit="1"/>
    </xf>
    <xf numFmtId="4" fontId="4" fillId="2" borderId="8" xfId="0" applyNumberFormat="1" applyFont="1" applyFill="1" applyBorder="1" applyAlignment="1">
      <alignment horizontal="right" shrinkToFit="1"/>
    </xf>
    <xf numFmtId="4" fontId="31" fillId="2" borderId="8" xfId="0" applyNumberFormat="1" applyFont="1" applyFill="1" applyBorder="1" applyAlignment="1">
      <alignment horizontal="right" shrinkToFit="1"/>
    </xf>
    <xf numFmtId="4" fontId="7" fillId="2" borderId="8" xfId="0" applyNumberFormat="1" applyFont="1" applyFill="1" applyBorder="1" applyAlignment="1">
      <alignment horizontal="right" shrinkToFit="1"/>
    </xf>
    <xf numFmtId="4" fontId="0" fillId="2" borderId="9" xfId="0" applyNumberFormat="1" applyFill="1" applyBorder="1" applyAlignment="1">
      <alignment horizontal="right"/>
    </xf>
    <xf numFmtId="0" fontId="3" fillId="2" borderId="67" xfId="0" applyFont="1" applyFill="1" applyBorder="1" applyAlignment="1">
      <alignment horizontal="center"/>
    </xf>
    <xf numFmtId="0" fontId="3" fillId="2" borderId="67" xfId="0" quotePrefix="1" applyFont="1" applyFill="1" applyBorder="1" applyAlignment="1">
      <alignment horizontal="center"/>
    </xf>
    <xf numFmtId="4" fontId="0" fillId="2" borderId="68" xfId="0" applyNumberFormat="1" applyFill="1" applyBorder="1" applyAlignment="1">
      <alignment horizontal="center"/>
    </xf>
    <xf numFmtId="4" fontId="8" fillId="0" borderId="99" xfId="0" applyNumberFormat="1" applyFont="1" applyBorder="1" applyAlignment="1">
      <alignment horizontal="right" shrinkToFit="1"/>
    </xf>
    <xf numFmtId="4" fontId="8" fillId="6" borderId="103" xfId="0" applyNumberFormat="1" applyFont="1" applyFill="1" applyBorder="1" applyAlignment="1">
      <alignment horizontal="right" shrinkToFit="1"/>
    </xf>
    <xf numFmtId="4" fontId="28" fillId="6" borderId="104" xfId="0" applyNumberFormat="1" applyFont="1" applyFill="1" applyBorder="1"/>
    <xf numFmtId="4" fontId="29" fillId="6" borderId="104" xfId="0" applyNumberFormat="1" applyFont="1" applyFill="1" applyBorder="1" applyAlignment="1">
      <alignment shrinkToFit="1"/>
    </xf>
    <xf numFmtId="0" fontId="30" fillId="6" borderId="100" xfId="0" applyFont="1" applyFill="1" applyBorder="1" applyAlignment="1">
      <alignment shrinkToFit="1"/>
    </xf>
    <xf numFmtId="0" fontId="30" fillId="0" borderId="105" xfId="0" applyFont="1" applyBorder="1" applyAlignment="1">
      <alignment shrinkToFit="1"/>
    </xf>
    <xf numFmtId="0" fontId="30" fillId="6" borderId="101" xfId="0" applyFont="1" applyFill="1" applyBorder="1" applyAlignment="1">
      <alignment shrinkToFit="1"/>
    </xf>
    <xf numFmtId="4" fontId="28" fillId="0" borderId="106" xfId="0" applyNumberFormat="1" applyFont="1" applyBorder="1"/>
    <xf numFmtId="4" fontId="29" fillId="0" borderId="102" xfId="0" applyNumberFormat="1" applyFont="1" applyBorder="1" applyAlignment="1">
      <alignment shrinkToFit="1"/>
    </xf>
    <xf numFmtId="0" fontId="30" fillId="0" borderId="107" xfId="0" applyFont="1" applyBorder="1" applyAlignment="1">
      <alignment shrinkToFit="1"/>
    </xf>
    <xf numFmtId="0" fontId="4" fillId="24" borderId="30" xfId="0" applyFont="1" applyFill="1" applyBorder="1" applyAlignment="1">
      <alignment horizontal="right" vertical="top" shrinkToFit="1"/>
    </xf>
    <xf numFmtId="4" fontId="0" fillId="24" borderId="62" xfId="0" applyNumberFormat="1" applyFill="1" applyBorder="1" applyAlignment="1">
      <alignment horizontal="right"/>
    </xf>
    <xf numFmtId="0" fontId="3" fillId="14" borderId="108" xfId="0" applyFont="1" applyFill="1" applyBorder="1" applyAlignment="1">
      <alignment horizontal="right" shrinkToFit="1"/>
    </xf>
    <xf numFmtId="0" fontId="4" fillId="10" borderId="110" xfId="0" applyFont="1" applyFill="1" applyBorder="1" applyAlignment="1">
      <alignment horizontal="right" shrinkToFit="1"/>
    </xf>
    <xf numFmtId="0" fontId="4" fillId="10" borderId="104" xfId="0" applyFont="1" applyFill="1" applyBorder="1" applyAlignment="1">
      <alignment horizontal="right" shrinkToFit="1"/>
    </xf>
    <xf numFmtId="4" fontId="0" fillId="25" borderId="69" xfId="0" applyNumberFormat="1" applyFill="1" applyBorder="1" applyAlignment="1">
      <alignment horizontal="center"/>
    </xf>
    <xf numFmtId="4" fontId="0" fillId="25" borderId="57" xfId="0" applyNumberFormat="1" applyFill="1" applyBorder="1" applyAlignment="1">
      <alignment horizontal="right"/>
    </xf>
    <xf numFmtId="4" fontId="0" fillId="25" borderId="54" xfId="0" applyNumberFormat="1" applyFill="1" applyBorder="1" applyAlignment="1">
      <alignment horizontal="right"/>
    </xf>
    <xf numFmtId="4" fontId="0" fillId="25" borderId="57" xfId="0" applyNumberFormat="1" applyFill="1" applyBorder="1" applyAlignment="1">
      <alignment horizontal="center"/>
    </xf>
    <xf numFmtId="4" fontId="0" fillId="25" borderId="61" xfId="0" applyNumberFormat="1" applyFill="1" applyBorder="1" applyAlignment="1">
      <alignment horizontal="right"/>
    </xf>
    <xf numFmtId="0" fontId="4" fillId="14" borderId="0" xfId="0" applyFont="1" applyFill="1" applyAlignment="1">
      <alignment horizontal="right" shrinkToFit="1"/>
    </xf>
    <xf numFmtId="0" fontId="3" fillId="14" borderId="112" xfId="0" applyFont="1" applyFill="1" applyBorder="1" applyAlignment="1">
      <alignment horizontal="right" shrinkToFit="1"/>
    </xf>
    <xf numFmtId="0" fontId="3" fillId="14" borderId="0" xfId="0" applyFont="1" applyFill="1" applyAlignment="1">
      <alignment horizontal="right" shrinkToFit="1"/>
    </xf>
    <xf numFmtId="4" fontId="4" fillId="2" borderId="8" xfId="0" quotePrefix="1" applyNumberFormat="1" applyFont="1" applyFill="1" applyBorder="1" applyAlignment="1">
      <alignment horizontal="right" shrinkToFit="1"/>
    </xf>
    <xf numFmtId="4" fontId="0" fillId="2" borderId="113" xfId="0" applyNumberFormat="1" applyFill="1" applyBorder="1" applyAlignment="1">
      <alignment horizontal="right"/>
    </xf>
    <xf numFmtId="4" fontId="0" fillId="2" borderId="114" xfId="0" applyNumberFormat="1" applyFill="1" applyBorder="1" applyAlignment="1">
      <alignment horizontal="right"/>
    </xf>
    <xf numFmtId="4" fontId="0" fillId="2" borderId="115" xfId="0" applyNumberFormat="1" applyFill="1" applyBorder="1" applyAlignment="1">
      <alignment horizontal="right"/>
    </xf>
    <xf numFmtId="0" fontId="4" fillId="26" borderId="0" xfId="0" applyFont="1" applyFill="1" applyAlignment="1">
      <alignment horizontal="right" shrinkToFit="1"/>
    </xf>
    <xf numFmtId="0" fontId="3" fillId="26" borderId="0" xfId="0" applyFont="1" applyFill="1" applyAlignment="1">
      <alignment horizontal="right" shrinkToFit="1"/>
    </xf>
    <xf numFmtId="4" fontId="8" fillId="6" borderId="104" xfId="0" applyNumberFormat="1" applyFont="1" applyFill="1" applyBorder="1" applyAlignment="1">
      <alignment shrinkToFit="1"/>
    </xf>
    <xf numFmtId="4" fontId="8" fillId="0" borderId="26" xfId="0" applyNumberFormat="1" applyFont="1" applyBorder="1" applyAlignment="1">
      <alignment shrinkToFit="1"/>
    </xf>
    <xf numFmtId="4" fontId="8" fillId="6" borderId="0" xfId="0" applyNumberFormat="1" applyFont="1" applyFill="1" applyAlignment="1">
      <alignment shrinkToFit="1"/>
    </xf>
    <xf numFmtId="4" fontId="8" fillId="0" borderId="116" xfId="0" applyNumberFormat="1" applyFont="1" applyBorder="1" applyAlignment="1">
      <alignment shrinkToFit="1"/>
    </xf>
    <xf numFmtId="4" fontId="33" fillId="0" borderId="98" xfId="0" applyNumberFormat="1" applyFont="1" applyBorder="1" applyAlignment="1">
      <alignment horizontal="right" shrinkToFit="1"/>
    </xf>
    <xf numFmtId="4" fontId="33" fillId="6" borderId="0" xfId="0" applyNumberFormat="1" applyFont="1" applyFill="1" applyAlignment="1">
      <alignment horizontal="right" shrinkToFit="1"/>
    </xf>
    <xf numFmtId="4" fontId="33" fillId="0" borderId="26" xfId="0" applyNumberFormat="1" applyFont="1" applyBorder="1" applyAlignment="1">
      <alignment horizontal="right" shrinkToFit="1"/>
    </xf>
    <xf numFmtId="4" fontId="33" fillId="6" borderId="102" xfId="0" applyNumberFormat="1" applyFont="1" applyFill="1" applyBorder="1" applyAlignment="1">
      <alignment horizontal="right" shrinkToFit="1"/>
    </xf>
    <xf numFmtId="0" fontId="4" fillId="27" borderId="0" xfId="0" applyFont="1" applyFill="1" applyAlignment="1">
      <alignment horizontal="right" shrinkToFit="1"/>
    </xf>
    <xf numFmtId="0" fontId="3" fillId="27" borderId="0" xfId="0" applyFont="1" applyFill="1" applyAlignment="1">
      <alignment horizontal="right" shrinkToFit="1"/>
    </xf>
    <xf numFmtId="0" fontId="4" fillId="10" borderId="0" xfId="0" applyFont="1" applyFill="1" applyAlignment="1">
      <alignment horizontal="right" shrinkToFit="1"/>
    </xf>
    <xf numFmtId="0" fontId="3" fillId="10" borderId="0" xfId="0" applyFont="1" applyFill="1" applyAlignment="1">
      <alignment horizontal="right" shrinkToFit="1"/>
    </xf>
    <xf numFmtId="0" fontId="4" fillId="27" borderId="104" xfId="0" applyFont="1" applyFill="1" applyBorder="1" applyAlignment="1">
      <alignment horizontal="right" shrinkToFit="1"/>
    </xf>
    <xf numFmtId="0" fontId="4" fillId="14" borderId="117" xfId="0" applyFont="1" applyFill="1" applyBorder="1" applyAlignment="1">
      <alignment horizontal="right" shrinkToFit="1"/>
    </xf>
    <xf numFmtId="0" fontId="3" fillId="10" borderId="111" xfId="0" applyFont="1" applyFill="1" applyBorder="1" applyAlignment="1">
      <alignment horizontal="right" shrinkToFit="1"/>
    </xf>
    <xf numFmtId="4" fontId="64" fillId="14" borderId="109" xfId="0" applyNumberFormat="1" applyFont="1" applyFill="1" applyBorder="1" applyAlignment="1">
      <alignment horizontal="right" shrinkToFit="1"/>
    </xf>
    <xf numFmtId="4" fontId="64" fillId="14" borderId="104" xfId="0" quotePrefix="1" applyNumberFormat="1" applyFont="1" applyFill="1" applyBorder="1" applyAlignment="1">
      <alignment horizontal="right" shrinkToFit="1"/>
    </xf>
    <xf numFmtId="4" fontId="64" fillId="14" borderId="104" xfId="0" applyNumberFormat="1" applyFont="1" applyFill="1" applyBorder="1" applyAlignment="1">
      <alignment horizontal="right" shrinkToFit="1"/>
    </xf>
    <xf numFmtId="4" fontId="64" fillId="26" borderId="104" xfId="0" quotePrefix="1" applyNumberFormat="1" applyFont="1" applyFill="1" applyBorder="1" applyAlignment="1">
      <alignment horizontal="right" shrinkToFit="1"/>
    </xf>
    <xf numFmtId="4" fontId="64" fillId="10" borderId="0" xfId="0" applyNumberFormat="1" applyFont="1" applyFill="1" applyAlignment="1">
      <alignment horizontal="right" shrinkToFit="1"/>
    </xf>
    <xf numFmtId="4" fontId="64" fillId="10" borderId="0" xfId="0" quotePrefix="1" applyNumberFormat="1" applyFont="1" applyFill="1" applyAlignment="1">
      <alignment horizontal="right" shrinkToFit="1"/>
    </xf>
    <xf numFmtId="4" fontId="64" fillId="27" borderId="0" xfId="0" quotePrefix="1" applyNumberFormat="1" applyFont="1" applyFill="1" applyAlignment="1">
      <alignment horizontal="right" shrinkToFit="1"/>
    </xf>
    <xf numFmtId="4" fontId="64" fillId="14" borderId="0" xfId="0" applyNumberFormat="1" applyFont="1" applyFill="1" applyAlignment="1">
      <alignment horizontal="right" shrinkToFit="1"/>
    </xf>
    <xf numFmtId="4" fontId="64" fillId="14" borderId="0" xfId="0" quotePrefix="1" applyNumberFormat="1" applyFont="1" applyFill="1" applyAlignment="1">
      <alignment horizontal="right" shrinkToFit="1"/>
    </xf>
    <xf numFmtId="4" fontId="64" fillId="26" borderId="0" xfId="0" quotePrefix="1" applyNumberFormat="1" applyFont="1" applyFill="1" applyAlignment="1">
      <alignment horizontal="right" shrinkToFit="1"/>
    </xf>
    <xf numFmtId="0" fontId="0" fillId="14" borderId="104" xfId="0" applyFill="1" applyBorder="1" applyAlignment="1">
      <alignment horizontal="center" shrinkToFit="1"/>
    </xf>
    <xf numFmtId="0" fontId="0" fillId="10" borderId="0" xfId="0" applyFill="1" applyAlignment="1">
      <alignment horizontal="center" shrinkToFit="1"/>
    </xf>
    <xf numFmtId="0" fontId="0" fillId="14" borderId="0" xfId="0" applyFill="1" applyAlignment="1">
      <alignment horizontal="center" shrinkToFit="1"/>
    </xf>
    <xf numFmtId="0" fontId="0" fillId="18" borderId="0" xfId="0" applyFill="1" applyAlignment="1">
      <alignment horizontal="center"/>
    </xf>
    <xf numFmtId="14" fontId="0" fillId="18" borderId="0" xfId="0" applyNumberFormat="1" applyFill="1" applyAlignment="1">
      <alignment horizontal="center"/>
    </xf>
    <xf numFmtId="14" fontId="3" fillId="2" borderId="119" xfId="0" applyNumberFormat="1" applyFont="1" applyFill="1" applyBorder="1" applyAlignment="1">
      <alignment horizontal="center" vertical="center"/>
    </xf>
    <xf numFmtId="164" fontId="45" fillId="21" borderId="2" xfId="0" applyNumberFormat="1" applyFont="1" applyFill="1" applyBorder="1" applyAlignment="1" applyProtection="1">
      <alignment horizontal="center" textRotation="90" shrinkToFit="1"/>
      <protection locked="0"/>
    </xf>
    <xf numFmtId="164" fontId="45" fillId="21" borderId="5" xfId="0" applyNumberFormat="1" applyFont="1" applyFill="1" applyBorder="1" applyAlignment="1" applyProtection="1">
      <alignment horizontal="center" textRotation="90" shrinkToFit="1"/>
      <protection locked="0"/>
    </xf>
    <xf numFmtId="164" fontId="45" fillId="21" borderId="5" xfId="0" applyNumberFormat="1" applyFont="1" applyFill="1" applyBorder="1" applyAlignment="1">
      <alignment horizontal="center" vertical="top" textRotation="90" shrinkToFit="1"/>
    </xf>
    <xf numFmtId="4" fontId="32" fillId="6" borderId="102" xfId="0" applyNumberFormat="1" applyFont="1" applyFill="1" applyBorder="1" applyAlignment="1">
      <alignment shrinkToFit="1"/>
    </xf>
    <xf numFmtId="4" fontId="27" fillId="2" borderId="8" xfId="0" applyNumberFormat="1" applyFont="1" applyFill="1" applyBorder="1" applyAlignment="1">
      <alignment horizontal="right" shrinkToFit="1"/>
    </xf>
    <xf numFmtId="4" fontId="32" fillId="0" borderId="97" xfId="0" applyNumberFormat="1" applyFont="1" applyBorder="1" applyAlignment="1">
      <alignment shrinkToFit="1"/>
    </xf>
    <xf numFmtId="4" fontId="32" fillId="0" borderId="98" xfId="0" applyNumberFormat="1" applyFont="1" applyBorder="1" applyAlignment="1">
      <alignment shrinkToFit="1"/>
    </xf>
    <xf numFmtId="4" fontId="32" fillId="6" borderId="0" xfId="0" applyNumberFormat="1" applyFont="1" applyFill="1" applyAlignment="1">
      <alignment shrinkToFit="1"/>
    </xf>
    <xf numFmtId="4" fontId="32" fillId="0" borderId="24" xfId="0" applyNumberFormat="1" applyFont="1" applyBorder="1" applyAlignment="1">
      <alignment shrinkToFit="1"/>
    </xf>
    <xf numFmtId="4" fontId="32" fillId="0" borderId="26" xfId="0" applyNumberFormat="1" applyFont="1" applyBorder="1" applyAlignment="1">
      <alignment shrinkToFit="1"/>
    </xf>
    <xf numFmtId="4" fontId="4" fillId="24" borderId="30" xfId="0" applyNumberFormat="1" applyFont="1" applyFill="1" applyBorder="1" applyAlignment="1">
      <alignment horizontal="left" vertical="top" indent="2"/>
    </xf>
    <xf numFmtId="4" fontId="4" fillId="2" borderId="118" xfId="0" applyNumberFormat="1" applyFont="1" applyFill="1" applyBorder="1" applyAlignment="1">
      <alignment horizontal="center" vertical="center"/>
    </xf>
    <xf numFmtId="4" fontId="34" fillId="2" borderId="8" xfId="0" applyNumberFormat="1" applyFont="1" applyFill="1" applyBorder="1" applyAlignment="1">
      <alignment horizontal="left" vertical="center" shrinkToFit="1"/>
    </xf>
    <xf numFmtId="0" fontId="45" fillId="21" borderId="5" xfId="0" applyFont="1" applyFill="1" applyBorder="1" applyAlignment="1">
      <alignment horizontal="center" vertical="top" textRotation="90" shrinkToFit="1"/>
    </xf>
    <xf numFmtId="164" fontId="45" fillId="21" borderId="5" xfId="0" applyNumberFormat="1" applyFont="1" applyFill="1" applyBorder="1" applyAlignment="1">
      <alignment horizontal="center" textRotation="90" shrinkToFit="1"/>
    </xf>
    <xf numFmtId="4" fontId="34" fillId="10" borderId="67" xfId="0" applyNumberFormat="1" applyFont="1" applyFill="1" applyBorder="1" applyAlignment="1">
      <alignment horizontal="center" shrinkToFit="1"/>
    </xf>
    <xf numFmtId="4" fontId="55" fillId="23" borderId="5" xfId="0" applyNumberFormat="1" applyFont="1" applyFill="1" applyBorder="1" applyAlignment="1">
      <alignment horizontal="center" shrinkToFit="1"/>
    </xf>
    <xf numFmtId="4" fontId="55" fillId="23" borderId="0" xfId="0" applyNumberFormat="1" applyFont="1" applyFill="1" applyAlignment="1">
      <alignment horizontal="center" shrinkToFit="1"/>
    </xf>
    <xf numFmtId="0" fontId="10" fillId="23" borderId="5" xfId="0" applyFont="1" applyFill="1" applyBorder="1" applyAlignment="1">
      <alignment horizontal="right" shrinkToFit="1"/>
    </xf>
    <xf numFmtId="0" fontId="10" fillId="23" borderId="0" xfId="0" applyFont="1" applyFill="1" applyAlignment="1">
      <alignment horizontal="right" shrinkToFit="1"/>
    </xf>
    <xf numFmtId="4" fontId="10" fillId="23" borderId="7" xfId="0" applyNumberFormat="1" applyFont="1" applyFill="1" applyBorder="1" applyAlignment="1">
      <alignment horizontal="right" shrinkToFit="1"/>
    </xf>
    <xf numFmtId="4" fontId="10" fillId="23" borderId="8" xfId="0" applyNumberFormat="1" applyFont="1" applyFill="1" applyBorder="1" applyAlignment="1">
      <alignment horizontal="right" shrinkToFit="1"/>
    </xf>
    <xf numFmtId="4" fontId="10" fillId="23" borderId="5" xfId="0" applyNumberFormat="1" applyFont="1" applyFill="1" applyBorder="1" applyAlignment="1">
      <alignment horizontal="right" shrinkToFit="1"/>
    </xf>
    <xf numFmtId="4" fontId="10" fillId="23" borderId="0" xfId="0" applyNumberFormat="1" applyFont="1" applyFill="1" applyAlignment="1">
      <alignment horizontal="right" shrinkToFit="1"/>
    </xf>
    <xf numFmtId="4" fontId="57" fillId="14" borderId="0" xfId="0" applyNumberFormat="1" applyFont="1" applyFill="1" applyAlignment="1">
      <alignment horizontal="center" vertical="center" shrinkToFit="1"/>
    </xf>
    <xf numFmtId="4" fontId="59" fillId="14" borderId="0" xfId="0" applyNumberFormat="1" applyFont="1" applyFill="1" applyAlignment="1">
      <alignment horizontal="left" vertical="center" shrinkToFit="1"/>
    </xf>
  </cellXfs>
  <cellStyles count="3">
    <cellStyle name="Normal" xfId="0" builtinId="0"/>
    <cellStyle name="Normal 2" xfId="1" xr:uid="{B7299C7E-F26D-411B-8B6D-C57C87FE300F}"/>
    <cellStyle name="Vírgula" xfId="2" builtinId="3"/>
  </cellStyles>
  <dxfs count="432">
    <dxf>
      <font>
        <color theme="2"/>
      </font>
    </dxf>
    <dxf>
      <fill>
        <patternFill>
          <bgColor theme="9" tint="0.39994506668294322"/>
        </patternFill>
      </fill>
    </dxf>
    <dxf>
      <font>
        <color theme="9" tint="-0.24994659260841701"/>
      </font>
      <fill>
        <patternFill>
          <bgColor theme="9" tint="0.79998168889431442"/>
        </patternFill>
      </fill>
    </dxf>
    <dxf>
      <font>
        <color theme="8" tint="0.39994506668294322"/>
      </font>
    </dxf>
    <dxf>
      <font>
        <color theme="8" tint="0.39994506668294322"/>
      </font>
    </dxf>
    <dxf>
      <font>
        <color theme="8" tint="0.39994506668294322"/>
      </font>
    </dxf>
    <dxf>
      <font>
        <color theme="8" tint="0.39994506668294322"/>
      </font>
    </dxf>
    <dxf>
      <font>
        <color theme="8" tint="0.39994506668294322"/>
      </font>
    </dxf>
    <dxf>
      <font>
        <color theme="8" tint="0.39994506668294322"/>
      </font>
    </dxf>
    <dxf>
      <font>
        <color theme="8" tint="0.39994506668294322"/>
      </font>
    </dxf>
    <dxf>
      <font>
        <color theme="8" tint="0.39994506668294322"/>
      </font>
    </dxf>
    <dxf>
      <font>
        <color theme="8" tint="0.39994506668294322"/>
      </font>
    </dxf>
    <dxf>
      <font>
        <color theme="8" tint="0.39994506668294322"/>
      </font>
    </dxf>
    <dxf>
      <font>
        <color theme="8" tint="0.39994506668294322"/>
      </font>
    </dxf>
    <dxf>
      <font>
        <color theme="8" tint="0.39994506668294322"/>
      </font>
    </dxf>
    <dxf>
      <font>
        <b/>
        <i val="0"/>
        <color rgb="FFFFFF00"/>
      </font>
      <fill>
        <patternFill>
          <bgColor rgb="FFFF0000"/>
        </patternFill>
      </fill>
    </dxf>
    <dxf>
      <font>
        <b/>
        <i val="0"/>
        <strike val="0"/>
        <color rgb="FFC00000"/>
      </font>
    </dxf>
    <dxf>
      <font>
        <b val="0"/>
        <i/>
        <color auto="1"/>
      </font>
    </dxf>
    <dxf>
      <font>
        <b/>
        <i val="0"/>
        <color theme="0"/>
      </font>
      <fill>
        <patternFill>
          <bgColor rgb="FFC00000"/>
        </patternFill>
      </fill>
    </dxf>
    <dxf>
      <font>
        <b/>
        <i val="0"/>
        <color theme="0"/>
      </font>
      <fill>
        <patternFill>
          <bgColor rgb="FFC00000"/>
        </patternFill>
      </fill>
    </dxf>
    <dxf>
      <font>
        <b/>
        <i val="0"/>
        <color theme="0"/>
      </font>
      <fill>
        <patternFill>
          <bgColor theme="7" tint="-0.24994659260841701"/>
        </patternFill>
      </fill>
    </dxf>
    <dxf>
      <font>
        <b val="0"/>
        <i val="0"/>
        <color theme="0"/>
      </font>
      <fill>
        <patternFill>
          <bgColor theme="7" tint="-0.24994659260841701"/>
        </patternFill>
      </fill>
    </dxf>
    <dxf>
      <font>
        <color theme="2"/>
      </font>
    </dxf>
    <dxf>
      <font>
        <color rgb="FFC00000"/>
      </font>
    </dxf>
    <dxf>
      <font>
        <color theme="9" tint="-0.24994659260841701"/>
      </font>
    </dxf>
    <dxf>
      <font>
        <b/>
        <i val="0"/>
        <color theme="0"/>
      </font>
      <fill>
        <patternFill>
          <bgColor theme="9" tint="-0.24994659260841701"/>
        </patternFill>
      </fill>
    </dxf>
    <dxf>
      <font>
        <b val="0"/>
        <i val="0"/>
        <strike val="0"/>
        <color theme="9" tint="-0.24994659260841701"/>
      </font>
    </dxf>
    <dxf>
      <font>
        <b/>
        <i val="0"/>
        <color rgb="FFC00000"/>
      </font>
    </dxf>
    <dxf>
      <font>
        <b/>
        <i val="0"/>
        <color theme="9"/>
      </font>
    </dxf>
    <dxf>
      <font>
        <b/>
        <i val="0"/>
        <color rgb="FFFFFF00"/>
      </font>
      <fill>
        <patternFill>
          <bgColor rgb="FFFF0000"/>
        </patternFill>
      </fill>
    </dxf>
    <dxf>
      <font>
        <b val="0"/>
        <i val="0"/>
        <strike val="0"/>
        <condense val="0"/>
        <extend val="0"/>
        <outline val="0"/>
        <shadow val="0"/>
        <u val="none"/>
        <vertAlign val="baseline"/>
        <sz val="10"/>
        <color theme="1"/>
        <name val="Calibri"/>
        <family val="2"/>
        <scheme val="minor"/>
      </font>
      <numFmt numFmtId="4" formatCode="#,##0.00"/>
      <alignment horizontal="righ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strike val="0"/>
        <outline val="0"/>
        <shadow val="0"/>
        <u val="none"/>
        <vertAlign val="baseline"/>
        <sz val="10"/>
        <name val="Calibri"/>
        <family val="2"/>
        <scheme val="minor"/>
      </font>
      <numFmt numFmtId="4" formatCode="#,##0.00"/>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border>
      <protection locked="0" hidden="0"/>
    </dxf>
    <dxf>
      <font>
        <b val="0"/>
        <i val="0"/>
        <strike val="0"/>
        <condense val="0"/>
        <extend val="0"/>
        <outline val="0"/>
        <shadow val="0"/>
        <u val="none"/>
        <vertAlign val="baseline"/>
        <sz val="10"/>
        <color theme="1"/>
        <name val="Calibri"/>
        <family val="2"/>
        <scheme val="minor"/>
      </font>
      <numFmt numFmtId="4" formatCode="#,##0.00"/>
      <alignment horizontal="right" vertical="bottom" textRotation="0" wrapText="0" indent="0" justifyLastLine="0" shrinkToFit="0" readingOrder="0"/>
      <border diagonalUp="0" diagonalDown="0" outline="0">
        <left/>
        <right style="thin">
          <color theme="2" tint="-9.9978637043366805E-2"/>
        </right>
        <top style="thin">
          <color theme="2" tint="-9.9978637043366805E-2"/>
        </top>
        <bottom style="thin">
          <color theme="2" tint="-9.9978637043366805E-2"/>
        </bottom>
      </border>
    </dxf>
    <dxf>
      <font>
        <strike val="0"/>
        <outline val="0"/>
        <shadow val="0"/>
        <u val="none"/>
        <vertAlign val="baseline"/>
        <sz val="10"/>
        <name val="Calibri"/>
        <family val="2"/>
        <scheme val="minor"/>
      </font>
      <numFmt numFmtId="4" formatCode="#,##0.00"/>
      <alignment horizontal="righ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border>
      <protection locked="0" hidden="0"/>
    </dxf>
    <dxf>
      <font>
        <b val="0"/>
        <i val="0"/>
        <strike val="0"/>
        <condense val="0"/>
        <extend val="0"/>
        <outline val="0"/>
        <shadow val="0"/>
        <u val="none"/>
        <vertAlign val="baseline"/>
        <sz val="10"/>
        <color theme="1"/>
        <name val="Calibri"/>
        <family val="2"/>
        <scheme val="minor"/>
      </font>
      <numFmt numFmtId="4" formatCode="#,##0.00"/>
      <alignment horizontal="right" vertical="bottom" textRotation="0" wrapText="0" indent="0" justifyLastLine="0" shrinkToFit="0" readingOrder="0"/>
      <border diagonalUp="0" diagonalDown="0" outline="0">
        <left style="thin">
          <color theme="2" tint="-9.9978637043366805E-2"/>
        </left>
        <right style="thin">
          <color theme="2" tint="-9.9978637043366805E-2"/>
        </right>
        <top/>
        <bottom/>
      </border>
    </dxf>
    <dxf>
      <font>
        <strike val="0"/>
        <outline val="0"/>
        <shadow val="0"/>
        <u val="none"/>
        <vertAlign val="baseline"/>
        <sz val="10"/>
        <name val="Calibri"/>
        <family val="2"/>
        <scheme val="minor"/>
      </font>
      <numFmt numFmtId="4" formatCode="#,##0.00"/>
      <fill>
        <patternFill patternType="solid">
          <fgColor indexed="64"/>
          <bgColor theme="1" tint="0.499984740745262"/>
        </patternFill>
      </fill>
      <alignment horizontal="right" vertical="bottom" textRotation="0" wrapText="0" indent="0" justifyLastLine="0" shrinkToFit="0" readingOrder="0"/>
      <border diagonalUp="0" diagonalDown="0">
        <left style="thin">
          <color theme="2" tint="-9.9978637043366805E-2"/>
        </left>
      </border>
      <protection locked="1" hidden="0"/>
    </dxf>
    <dxf>
      <font>
        <b val="0"/>
        <i val="0"/>
        <strike val="0"/>
        <condense val="0"/>
        <extend val="0"/>
        <outline val="0"/>
        <shadow val="0"/>
        <u val="none"/>
        <vertAlign val="baseline"/>
        <sz val="10"/>
        <color theme="1"/>
        <name val="Calibri"/>
        <family val="2"/>
        <scheme val="minor"/>
      </font>
      <numFmt numFmtId="4" formatCode="#,##0.00"/>
      <alignment horizontal="righ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30" formatCode="@"/>
      <alignment horizontal="center" vertical="center"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protection locked="0" hidden="0"/>
    </dxf>
    <dxf>
      <font>
        <b val="0"/>
        <i val="0"/>
        <strike val="0"/>
        <condense val="0"/>
        <extend val="0"/>
        <outline val="0"/>
        <shadow val="0"/>
        <u val="none"/>
        <vertAlign val="baseline"/>
        <sz val="10"/>
        <color theme="1"/>
        <name val="Calibri"/>
        <family val="2"/>
        <scheme val="minor"/>
      </font>
      <numFmt numFmtId="4" formatCode="#,##0.00"/>
      <alignment horizontal="right" vertical="bottom" textRotation="0" wrapText="0" indent="0" justifyLastLine="0" shrinkToFit="0" readingOrder="0"/>
      <border diagonalUp="0" diagonalDown="0" outline="0">
        <left/>
        <right/>
        <top style="thin">
          <color theme="2" tint="-9.9978637043366805E-2"/>
        </top>
        <bottom style="thin">
          <color theme="2" tint="-9.9978637043366805E-2"/>
        </bottom>
      </border>
    </dxf>
    <dxf>
      <font>
        <b val="0"/>
        <i val="0"/>
        <strike val="0"/>
        <condense val="0"/>
        <extend val="0"/>
        <outline val="0"/>
        <shadow val="0"/>
        <u val="none"/>
        <vertAlign val="baseline"/>
        <sz val="10"/>
        <color rgb="FFFF99FF"/>
        <name val="Calibri"/>
        <family val="2"/>
        <scheme val="minor"/>
      </font>
      <numFmt numFmtId="0" formatCode="General"/>
      <alignment horizontal="righ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border>
      <protection locked="1" hidden="0"/>
    </dxf>
    <dxf>
      <font>
        <b val="0"/>
        <i val="0"/>
        <strike val="0"/>
        <condense val="0"/>
        <extend val="0"/>
        <outline val="0"/>
        <shadow val="0"/>
        <u val="none"/>
        <vertAlign val="baseline"/>
        <sz val="10"/>
        <color theme="1"/>
        <name val="Calibri"/>
        <family val="2"/>
        <scheme val="minor"/>
      </font>
      <numFmt numFmtId="4" formatCode="#,##0.00"/>
      <alignment horizontal="right" vertical="bottom" textRotation="0" wrapText="0" indent="0" justifyLastLine="0" shrinkToFit="0" readingOrder="0"/>
      <border diagonalUp="0" diagonalDown="0" outline="0">
        <left style="thin">
          <color theme="2" tint="-9.9978637043366805E-2"/>
        </left>
        <right/>
        <top style="thin">
          <color theme="2" tint="-9.9978637043366805E-2"/>
        </top>
        <bottom style="thin">
          <color theme="2" tint="-9.9978637043366805E-2"/>
        </bottom>
      </border>
    </dxf>
    <dxf>
      <font>
        <strike val="0"/>
        <outline val="0"/>
        <shadow val="0"/>
        <u val="none"/>
        <vertAlign val="baseline"/>
        <sz val="10"/>
        <name val="Calibri"/>
        <family val="2"/>
        <scheme val="minor"/>
      </font>
      <numFmt numFmtId="4" formatCode="#,##0.00"/>
      <alignment horizontal="right" vertical="bottom" textRotation="0" wrapText="0" indent="0" justifyLastLine="0" shrinkToFit="0" readingOrder="0"/>
      <border diagonalUp="0" diagonalDown="0">
        <left style="thin">
          <color theme="2" tint="-9.9978637043366805E-2"/>
        </left>
        <right/>
        <top style="thin">
          <color theme="2" tint="-9.9978637043366805E-2"/>
        </top>
        <bottom style="thin">
          <color theme="2" tint="-9.9978637043366805E-2"/>
        </bottom>
        <vertical/>
      </border>
      <protection locked="0" hidden="0"/>
    </dxf>
    <dxf>
      <font>
        <b val="0"/>
        <i val="0"/>
        <strike val="0"/>
        <condense val="0"/>
        <extend val="0"/>
        <outline val="0"/>
        <shadow val="0"/>
        <u val="none"/>
        <vertAlign val="baseline"/>
        <sz val="10"/>
        <color theme="1"/>
        <name val="Calibri"/>
        <family val="2"/>
        <scheme val="minor"/>
      </font>
      <numFmt numFmtId="4" formatCode="#,##0.00"/>
      <alignment horizontal="right" vertical="bottom" textRotation="0" wrapText="0" indent="0" justifyLastLine="0" shrinkToFit="0" readingOrder="0"/>
    </dxf>
    <dxf>
      <font>
        <strike val="0"/>
        <outline val="0"/>
        <shadow val="0"/>
        <u val="none"/>
        <vertAlign val="baseline"/>
        <sz val="10"/>
        <name val="Calibri"/>
        <family val="2"/>
        <scheme val="minor"/>
      </font>
      <numFmt numFmtId="4" formatCode="#,##0.00"/>
      <fill>
        <patternFill patternType="solid">
          <fgColor indexed="64"/>
          <bgColor theme="1" tint="0.499984740745262"/>
        </patternFill>
      </fill>
      <alignment horizontal="right" vertical="bottom" textRotation="0" wrapText="0" indent="0" justifyLastLine="0" shrinkToFit="0" readingOrder="0"/>
      <border diagonalUp="0" diagonalDown="0">
        <left style="thin">
          <color theme="2" tint="-9.9978637043366805E-2"/>
        </left>
      </border>
      <protection locked="1" hidden="0"/>
    </dxf>
    <dxf>
      <font>
        <b val="0"/>
        <i val="0"/>
        <strike val="0"/>
        <condense val="0"/>
        <extend val="0"/>
        <outline val="0"/>
        <shadow val="0"/>
        <u val="none"/>
        <vertAlign val="baseline"/>
        <sz val="10"/>
        <color theme="1"/>
        <name val="Calibri"/>
        <family val="2"/>
        <scheme val="minor"/>
      </font>
      <numFmt numFmtId="4" formatCode="#,##0.00"/>
      <alignment horizontal="righ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strike val="0"/>
        <outline val="0"/>
        <shadow val="0"/>
        <u val="none"/>
        <vertAlign val="baseline"/>
        <sz val="10"/>
        <color theme="1" tint="0.499984740745262"/>
        <name val="Calibri"/>
        <family val="2"/>
        <scheme val="minor"/>
      </font>
      <numFmt numFmtId="4" formatCode="#,##0.00"/>
      <alignment horizontal="righ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border>
      <protection locked="1" hidden="0"/>
    </dxf>
    <dxf>
      <font>
        <b val="0"/>
        <i val="0"/>
        <strike val="0"/>
        <condense val="0"/>
        <extend val="0"/>
        <outline val="0"/>
        <shadow val="0"/>
        <u val="none"/>
        <vertAlign val="baseline"/>
        <sz val="10"/>
        <color theme="1"/>
        <name val="Calibri"/>
        <family val="2"/>
        <scheme val="minor"/>
      </font>
      <numFmt numFmtId="4" formatCode="#,##0.00"/>
      <alignment horizontal="righ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strike val="0"/>
        <outline val="0"/>
        <shadow val="0"/>
        <u val="none"/>
        <vertAlign val="baseline"/>
        <sz val="10"/>
        <color theme="1" tint="0.499984740745262"/>
        <name val="Calibri"/>
        <family val="2"/>
        <scheme val="minor"/>
      </font>
      <numFmt numFmtId="4" formatCode="#,##0.00"/>
      <alignment horizontal="righ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border>
      <protection locked="1" hidden="0"/>
    </dxf>
    <dxf>
      <font>
        <b val="0"/>
        <i val="0"/>
        <strike val="0"/>
        <condense val="0"/>
        <extend val="0"/>
        <outline val="0"/>
        <shadow val="0"/>
        <u val="none"/>
        <vertAlign val="baseline"/>
        <sz val="10"/>
        <color theme="1"/>
        <name val="Calibri"/>
        <family val="2"/>
        <scheme val="minor"/>
      </font>
      <numFmt numFmtId="4" formatCode="#,##0.00"/>
      <alignment horizontal="right" vertical="bottom" textRotation="0" wrapText="0" indent="0" justifyLastLine="0" shrinkToFit="0" readingOrder="0"/>
      <border diagonalUp="0" diagonalDown="0" outline="0">
        <left/>
        <right style="thin">
          <color theme="2" tint="-9.9978637043366805E-2"/>
        </right>
        <top style="thin">
          <color theme="2" tint="-9.9978637043366805E-2"/>
        </top>
        <bottom style="thin">
          <color theme="2" tint="-9.9978637043366805E-2"/>
        </bottom>
      </border>
    </dxf>
    <dxf>
      <font>
        <strike val="0"/>
        <outline val="0"/>
        <shadow val="0"/>
        <u val="none"/>
        <vertAlign val="baseline"/>
        <sz val="10"/>
        <color theme="1" tint="0.499984740745262"/>
        <name val="Calibri"/>
        <family val="2"/>
        <scheme val="minor"/>
      </font>
      <numFmt numFmtId="4" formatCode="#,##0.00"/>
      <alignment horizontal="righ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protection locked="1" hidden="0"/>
    </dxf>
    <dxf>
      <font>
        <b val="0"/>
        <i val="0"/>
        <strike val="0"/>
        <condense val="0"/>
        <extend val="0"/>
        <outline val="0"/>
        <shadow val="0"/>
        <u val="none"/>
        <vertAlign val="baseline"/>
        <sz val="10"/>
        <color theme="1"/>
        <name val="Calibri"/>
        <family val="2"/>
        <scheme val="minor"/>
      </font>
      <numFmt numFmtId="4" formatCode="#,##0.00"/>
      <alignment horizontal="right" vertical="bottom" textRotation="0" wrapText="0" indent="0" justifyLastLine="0" shrinkToFit="0" readingOrder="0"/>
      <border diagonalUp="0" diagonalDown="0" outline="0">
        <left/>
        <right style="thin">
          <color theme="2" tint="-9.9978637043366805E-2"/>
        </right>
        <top/>
        <bottom/>
      </border>
    </dxf>
    <dxf>
      <font>
        <b val="0"/>
        <i val="0"/>
        <strike val="0"/>
        <condense val="0"/>
        <extend val="0"/>
        <outline val="0"/>
        <shadow val="0"/>
        <u val="none"/>
        <vertAlign val="baseline"/>
        <sz val="10"/>
        <color rgb="FFFF99FF"/>
        <name val="Calibri"/>
        <family val="2"/>
        <scheme val="minor"/>
      </font>
      <numFmt numFmtId="0" formatCode="General"/>
      <alignment horizontal="righ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border>
      <protection locked="1" hidden="0"/>
    </dxf>
    <dxf>
      <font>
        <b val="0"/>
        <i val="0"/>
        <strike val="0"/>
        <condense val="0"/>
        <extend val="0"/>
        <outline val="0"/>
        <shadow val="0"/>
        <u val="none"/>
        <vertAlign val="baseline"/>
        <sz val="10"/>
        <color theme="1"/>
        <name val="Calibri"/>
        <family val="2"/>
        <scheme val="minor"/>
      </font>
      <numFmt numFmtId="4" formatCode="#,##0.00"/>
      <alignment horizontal="right" vertical="bottom" textRotation="0" wrapText="0" indent="0" justifyLastLine="0" shrinkToFit="0" readingOrder="0"/>
      <border diagonalUp="0" diagonalDown="0" outline="0">
        <left style="thin">
          <color theme="2" tint="-9.9978637043366805E-2"/>
        </left>
        <right/>
        <top/>
        <bottom/>
      </border>
    </dxf>
    <dxf>
      <font>
        <strike val="0"/>
        <outline val="0"/>
        <shadow val="0"/>
        <u val="none"/>
        <vertAlign val="baseline"/>
        <sz val="10"/>
        <name val="Calibri"/>
        <family val="2"/>
        <scheme val="minor"/>
      </font>
      <numFmt numFmtId="4" formatCode="#,##0.00"/>
      <alignment horizontal="right" vertical="bottom" textRotation="0" wrapText="0" indent="0" justifyLastLine="0" shrinkToFit="0" readingOrder="0"/>
      <border diagonalUp="0" diagonalDown="0">
        <left style="thin">
          <color theme="2" tint="-9.9978637043366805E-2"/>
        </left>
        <right/>
        <top style="thin">
          <color theme="2" tint="-9.9978637043366805E-2"/>
        </top>
        <bottom style="thin">
          <color theme="2" tint="-9.9978637043366805E-2"/>
        </bottom>
        <vertical/>
      </border>
      <protection locked="0" hidden="0"/>
    </dxf>
    <dxf>
      <font>
        <b val="0"/>
        <i val="0"/>
        <strike val="0"/>
        <condense val="0"/>
        <extend val="0"/>
        <outline val="0"/>
        <shadow val="0"/>
        <u val="none"/>
        <vertAlign val="baseline"/>
        <sz val="10"/>
        <color theme="1"/>
        <name val="Calibri"/>
        <family val="2"/>
        <scheme val="minor"/>
      </font>
      <numFmt numFmtId="4" formatCode="#,##0.00"/>
      <alignment horizontal="righ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strike val="0"/>
        <outline val="0"/>
        <shadow val="0"/>
        <u val="none"/>
        <vertAlign val="baseline"/>
        <sz val="10"/>
        <name val="Calibri"/>
        <family val="2"/>
        <scheme val="minor"/>
      </font>
      <numFmt numFmtId="4" formatCode="#,##0.00"/>
      <alignment horizontal="righ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border>
      <protection locked="0" hidden="0"/>
    </dxf>
    <dxf>
      <border outline="0">
        <top style="thin">
          <color rgb="FFD0CECE"/>
        </top>
      </border>
    </dxf>
    <dxf>
      <font>
        <strike val="0"/>
        <outline val="0"/>
        <shadow val="0"/>
        <u val="none"/>
        <vertAlign val="baseline"/>
        <sz val="10"/>
        <name val="Calibri"/>
        <family val="2"/>
        <scheme val="none"/>
      </font>
      <numFmt numFmtId="4" formatCode="#,##0.00"/>
      <alignment horizontal="right" vertical="bottom" textRotation="0" wrapText="0" indent="0" justifyLastLine="0" shrinkToFit="0" readingOrder="0"/>
      <border diagonalUp="0" diagonalDown="0">
        <left style="thin">
          <color rgb="FFD0CECE"/>
        </left>
        <right style="thin">
          <color rgb="FFD0CECE"/>
        </right>
        <top/>
        <bottom/>
      </border>
      <protection locked="1" hidden="0"/>
    </dxf>
    <dxf>
      <border outline="0">
        <left style="thin">
          <color rgb="FFD0CECE"/>
        </left>
        <right style="thin">
          <color rgb="FFD0CECE"/>
        </right>
        <top style="thin">
          <color rgb="FFD0CECE"/>
        </top>
        <bottom style="thin">
          <color rgb="FFD0CECE"/>
        </bottom>
      </border>
    </dxf>
    <dxf>
      <font>
        <strike val="0"/>
        <outline val="0"/>
        <shadow val="0"/>
        <u val="none"/>
        <vertAlign val="baseline"/>
        <sz val="10"/>
        <name val="Calibri"/>
        <family val="2"/>
        <scheme val="none"/>
      </font>
      <numFmt numFmtId="4" formatCode="#,##0.00"/>
      <alignment horizontal="right" vertical="bottom" textRotation="0" wrapText="0" indent="0" justifyLastLine="0" shrinkToFit="0" readingOrder="0"/>
      <protection locked="1" hidden="0"/>
    </dxf>
    <dxf>
      <border outline="0">
        <bottom style="thin">
          <color rgb="FFD0CECE"/>
        </bottom>
      </border>
    </dxf>
    <dxf>
      <font>
        <b/>
        <i val="0"/>
        <strike val="0"/>
        <condense val="0"/>
        <extend val="0"/>
        <outline val="0"/>
        <shadow val="0"/>
        <u val="none"/>
        <vertAlign val="baseline"/>
        <sz val="10"/>
        <color theme="0"/>
        <name val="Calibri"/>
        <family val="2"/>
        <scheme val="minor"/>
      </font>
      <numFmt numFmtId="4" formatCode="#,##0.00"/>
      <fill>
        <patternFill patternType="solid">
          <fgColor indexed="64"/>
          <bgColor theme="1" tint="0.499984740745262"/>
        </patternFill>
      </fill>
      <alignment horizontal="center" vertical="bottom" textRotation="0" wrapText="0" indent="0" justifyLastLine="0" shrinkToFit="0" readingOrder="0"/>
      <border diagonalUp="0" diagonalDown="0">
        <left style="thin">
          <color theme="2" tint="-9.9978637043366805E-2"/>
        </left>
        <right style="thin">
          <color theme="2" tint="-9.9978637043366805E-2"/>
        </right>
        <top/>
        <bottom/>
      </border>
      <protection locked="1" hidden="0"/>
    </dxf>
    <dxf>
      <font>
        <b val="0"/>
        <i val="0"/>
        <strike val="0"/>
        <condense val="0"/>
        <extend val="0"/>
        <outline val="0"/>
        <shadow val="0"/>
        <u val="none"/>
        <vertAlign val="baseline"/>
        <sz val="10"/>
        <color theme="1"/>
        <name val="Calibri"/>
        <family val="2"/>
        <scheme val="minor"/>
      </font>
      <numFmt numFmtId="4" formatCode="#,##0.00"/>
      <alignment horizontal="righ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strike val="0"/>
        <outline val="0"/>
        <shadow val="0"/>
        <u val="none"/>
        <vertAlign val="baseline"/>
        <sz val="10"/>
        <name val="Calibri"/>
        <family val="2"/>
        <scheme val="minor"/>
      </font>
      <numFmt numFmtId="4" formatCode="#,##0.00"/>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border>
      <protection locked="0" hidden="0"/>
    </dxf>
    <dxf>
      <font>
        <b val="0"/>
        <i val="0"/>
        <strike val="0"/>
        <condense val="0"/>
        <extend val="0"/>
        <outline val="0"/>
        <shadow val="0"/>
        <u val="none"/>
        <vertAlign val="baseline"/>
        <sz val="10"/>
        <color theme="1"/>
        <name val="Calibri"/>
        <family val="2"/>
        <scheme val="minor"/>
      </font>
      <numFmt numFmtId="4" formatCode="#,##0.00"/>
      <alignment horizontal="right" vertical="bottom" textRotation="0" wrapText="0" indent="0" justifyLastLine="0" shrinkToFit="0" readingOrder="0"/>
      <border diagonalUp="0" diagonalDown="0" outline="0">
        <left/>
        <right style="thin">
          <color theme="2" tint="-9.9978637043366805E-2"/>
        </right>
        <top style="thin">
          <color theme="2" tint="-9.9978637043366805E-2"/>
        </top>
        <bottom style="thin">
          <color theme="2" tint="-9.9978637043366805E-2"/>
        </bottom>
      </border>
    </dxf>
    <dxf>
      <font>
        <strike val="0"/>
        <outline val="0"/>
        <shadow val="0"/>
        <u val="none"/>
        <vertAlign val="baseline"/>
        <sz val="10"/>
        <name val="Calibri"/>
        <family val="2"/>
        <scheme val="minor"/>
      </font>
      <numFmt numFmtId="4" formatCode="#,##0.00"/>
      <alignment horizontal="righ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border>
      <protection locked="0" hidden="0"/>
    </dxf>
    <dxf>
      <font>
        <b val="0"/>
        <i val="0"/>
        <strike val="0"/>
        <condense val="0"/>
        <extend val="0"/>
        <outline val="0"/>
        <shadow val="0"/>
        <u val="none"/>
        <vertAlign val="baseline"/>
        <sz val="10"/>
        <color theme="1"/>
        <name val="Calibri"/>
        <family val="2"/>
        <scheme val="minor"/>
      </font>
      <numFmt numFmtId="4" formatCode="#,##0.00"/>
      <alignment horizontal="right" vertical="bottom" textRotation="0" wrapText="0" indent="0" justifyLastLine="0" shrinkToFit="0" readingOrder="0"/>
      <border diagonalUp="0" diagonalDown="0" outline="0">
        <left style="thin">
          <color theme="2" tint="-9.9978637043366805E-2"/>
        </left>
        <right style="thin">
          <color theme="2" tint="-9.9978637043366805E-2"/>
        </right>
        <top/>
        <bottom/>
      </border>
    </dxf>
    <dxf>
      <font>
        <strike val="0"/>
        <outline val="0"/>
        <shadow val="0"/>
        <u val="none"/>
        <vertAlign val="baseline"/>
        <sz val="10"/>
        <name val="Calibri"/>
        <family val="2"/>
        <scheme val="minor"/>
      </font>
      <numFmt numFmtId="4" formatCode="#,##0.00"/>
      <fill>
        <patternFill patternType="solid">
          <fgColor indexed="64"/>
          <bgColor theme="1" tint="0.499984740745262"/>
        </patternFill>
      </fill>
      <alignment horizontal="right" vertical="bottom" textRotation="0" wrapText="0" indent="0" justifyLastLine="0" shrinkToFit="0" readingOrder="0"/>
      <border diagonalUp="0" diagonalDown="0">
        <left style="thin">
          <color theme="2" tint="-9.9978637043366805E-2"/>
        </left>
      </border>
      <protection locked="1" hidden="0"/>
    </dxf>
    <dxf>
      <font>
        <b val="0"/>
        <i val="0"/>
        <strike val="0"/>
        <condense val="0"/>
        <extend val="0"/>
        <outline val="0"/>
        <shadow val="0"/>
        <u val="none"/>
        <vertAlign val="baseline"/>
        <sz val="10"/>
        <color theme="1"/>
        <name val="Calibri"/>
        <family val="2"/>
        <scheme val="minor"/>
      </font>
      <numFmt numFmtId="4" formatCode="#,##0.00"/>
      <alignment horizontal="righ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30" formatCode="@"/>
      <alignment horizontal="center" vertical="center"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protection locked="0" hidden="0"/>
    </dxf>
    <dxf>
      <font>
        <b val="0"/>
        <i val="0"/>
        <strike val="0"/>
        <condense val="0"/>
        <extend val="0"/>
        <outline val="0"/>
        <shadow val="0"/>
        <u val="none"/>
        <vertAlign val="baseline"/>
        <sz val="10"/>
        <color theme="1"/>
        <name val="Calibri"/>
        <family val="2"/>
        <scheme val="minor"/>
      </font>
      <numFmt numFmtId="4" formatCode="#,##0.00"/>
      <alignment horizontal="right" vertical="bottom" textRotation="0" wrapText="0" indent="0" justifyLastLine="0" shrinkToFit="0" readingOrder="0"/>
      <border diagonalUp="0" diagonalDown="0" outline="0">
        <left/>
        <right/>
        <top style="thin">
          <color theme="2" tint="-9.9978637043366805E-2"/>
        </top>
        <bottom style="thin">
          <color theme="2" tint="-9.9978637043366805E-2"/>
        </bottom>
      </border>
    </dxf>
    <dxf>
      <font>
        <b val="0"/>
        <i val="0"/>
        <strike val="0"/>
        <condense val="0"/>
        <extend val="0"/>
        <outline val="0"/>
        <shadow val="0"/>
        <u val="none"/>
        <vertAlign val="baseline"/>
        <sz val="10"/>
        <color rgb="FFFF99FF"/>
        <name val="Calibri"/>
        <family val="2"/>
        <scheme val="minor"/>
      </font>
      <numFmt numFmtId="0" formatCode="General"/>
      <alignment horizontal="righ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border>
      <protection locked="1" hidden="0"/>
    </dxf>
    <dxf>
      <font>
        <b val="0"/>
        <i val="0"/>
        <strike val="0"/>
        <condense val="0"/>
        <extend val="0"/>
        <outline val="0"/>
        <shadow val="0"/>
        <u val="none"/>
        <vertAlign val="baseline"/>
        <sz val="10"/>
        <color theme="1"/>
        <name val="Calibri"/>
        <family val="2"/>
        <scheme val="minor"/>
      </font>
      <numFmt numFmtId="4" formatCode="#,##0.00"/>
      <alignment horizontal="right" vertical="bottom" textRotation="0" wrapText="0" indent="0" justifyLastLine="0" shrinkToFit="0" readingOrder="0"/>
      <border diagonalUp="0" diagonalDown="0" outline="0">
        <left style="thin">
          <color theme="2" tint="-9.9978637043366805E-2"/>
        </left>
        <right/>
        <top style="thin">
          <color theme="2" tint="-9.9978637043366805E-2"/>
        </top>
        <bottom style="thin">
          <color theme="2" tint="-9.9978637043366805E-2"/>
        </bottom>
      </border>
    </dxf>
    <dxf>
      <font>
        <strike val="0"/>
        <outline val="0"/>
        <shadow val="0"/>
        <u val="none"/>
        <vertAlign val="baseline"/>
        <sz val="10"/>
        <name val="Calibri"/>
        <family val="2"/>
        <scheme val="minor"/>
      </font>
      <numFmt numFmtId="4" formatCode="#,##0.00"/>
      <alignment horizontal="right" vertical="bottom" textRotation="0" wrapText="0" indent="0" justifyLastLine="0" shrinkToFit="0" readingOrder="0"/>
      <border diagonalUp="0" diagonalDown="0">
        <left style="thin">
          <color theme="2" tint="-9.9978637043366805E-2"/>
        </left>
        <right/>
        <top style="thin">
          <color theme="2" tint="-9.9978637043366805E-2"/>
        </top>
        <bottom style="thin">
          <color theme="2" tint="-9.9978637043366805E-2"/>
        </bottom>
        <vertical/>
      </border>
      <protection locked="0" hidden="0"/>
    </dxf>
    <dxf>
      <font>
        <b val="0"/>
        <i val="0"/>
        <strike val="0"/>
        <condense val="0"/>
        <extend val="0"/>
        <outline val="0"/>
        <shadow val="0"/>
        <u val="none"/>
        <vertAlign val="baseline"/>
        <sz val="10"/>
        <color theme="1"/>
        <name val="Calibri"/>
        <family val="2"/>
        <scheme val="minor"/>
      </font>
      <numFmt numFmtId="4" formatCode="#,##0.00"/>
      <alignment horizontal="right" vertical="bottom" textRotation="0" wrapText="0" indent="0" justifyLastLine="0" shrinkToFit="0" readingOrder="0"/>
    </dxf>
    <dxf>
      <font>
        <strike val="0"/>
        <outline val="0"/>
        <shadow val="0"/>
        <u val="none"/>
        <vertAlign val="baseline"/>
        <sz val="10"/>
        <name val="Calibri"/>
        <family val="2"/>
        <scheme val="minor"/>
      </font>
      <numFmt numFmtId="4" formatCode="#,##0.00"/>
      <fill>
        <patternFill patternType="solid">
          <fgColor indexed="64"/>
          <bgColor theme="1" tint="0.499984740745262"/>
        </patternFill>
      </fill>
      <alignment horizontal="right" vertical="bottom" textRotation="0" wrapText="0" indent="0" justifyLastLine="0" shrinkToFit="0" readingOrder="0"/>
      <border diagonalUp="0" diagonalDown="0">
        <left style="thin">
          <color theme="2" tint="-9.9978637043366805E-2"/>
        </left>
      </border>
      <protection locked="1" hidden="0"/>
    </dxf>
    <dxf>
      <font>
        <b val="0"/>
        <i val="0"/>
        <strike val="0"/>
        <condense val="0"/>
        <extend val="0"/>
        <outline val="0"/>
        <shadow val="0"/>
        <u val="none"/>
        <vertAlign val="baseline"/>
        <sz val="10"/>
        <color theme="1"/>
        <name val="Calibri"/>
        <family val="2"/>
        <scheme val="minor"/>
      </font>
      <numFmt numFmtId="4" formatCode="#,##0.00"/>
      <alignment horizontal="righ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strike val="0"/>
        <outline val="0"/>
        <shadow val="0"/>
        <u val="none"/>
        <vertAlign val="baseline"/>
        <sz val="10"/>
        <color theme="1" tint="0.499984740745262"/>
        <name val="Calibri"/>
        <family val="2"/>
        <scheme val="minor"/>
      </font>
      <numFmt numFmtId="4" formatCode="#,##0.00"/>
      <alignment horizontal="righ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border>
      <protection locked="1" hidden="0"/>
    </dxf>
    <dxf>
      <font>
        <b val="0"/>
        <i val="0"/>
        <strike val="0"/>
        <condense val="0"/>
        <extend val="0"/>
        <outline val="0"/>
        <shadow val="0"/>
        <u val="none"/>
        <vertAlign val="baseline"/>
        <sz val="10"/>
        <color theme="1"/>
        <name val="Calibri"/>
        <family val="2"/>
        <scheme val="minor"/>
      </font>
      <numFmt numFmtId="4" formatCode="#,##0.00"/>
      <alignment horizontal="righ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strike val="0"/>
        <outline val="0"/>
        <shadow val="0"/>
        <u val="none"/>
        <vertAlign val="baseline"/>
        <sz val="10"/>
        <color theme="1" tint="0.499984740745262"/>
        <name val="Calibri"/>
        <family val="2"/>
        <scheme val="minor"/>
      </font>
      <numFmt numFmtId="4" formatCode="#,##0.00"/>
      <alignment horizontal="righ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border>
      <protection locked="1" hidden="0"/>
    </dxf>
    <dxf>
      <font>
        <b val="0"/>
        <i val="0"/>
        <strike val="0"/>
        <condense val="0"/>
        <extend val="0"/>
        <outline val="0"/>
        <shadow val="0"/>
        <u val="none"/>
        <vertAlign val="baseline"/>
        <sz val="10"/>
        <color theme="1"/>
        <name val="Calibri"/>
        <family val="2"/>
        <scheme val="minor"/>
      </font>
      <numFmt numFmtId="4" formatCode="#,##0.00"/>
      <alignment horizontal="right" vertical="bottom" textRotation="0" wrapText="0" indent="0" justifyLastLine="0" shrinkToFit="0" readingOrder="0"/>
      <border diagonalUp="0" diagonalDown="0" outline="0">
        <left/>
        <right style="thin">
          <color theme="2" tint="-9.9978637043366805E-2"/>
        </right>
        <top style="thin">
          <color theme="2" tint="-9.9978637043366805E-2"/>
        </top>
        <bottom style="thin">
          <color theme="2" tint="-9.9978637043366805E-2"/>
        </bottom>
      </border>
    </dxf>
    <dxf>
      <font>
        <strike val="0"/>
        <outline val="0"/>
        <shadow val="0"/>
        <u val="none"/>
        <vertAlign val="baseline"/>
        <sz val="10"/>
        <color theme="1" tint="0.499984740745262"/>
        <name val="Calibri"/>
        <family val="2"/>
        <scheme val="minor"/>
      </font>
      <numFmt numFmtId="4" formatCode="#,##0.00"/>
      <alignment horizontal="righ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protection locked="1" hidden="0"/>
    </dxf>
    <dxf>
      <font>
        <b val="0"/>
        <i val="0"/>
        <strike val="0"/>
        <condense val="0"/>
        <extend val="0"/>
        <outline val="0"/>
        <shadow val="0"/>
        <u val="none"/>
        <vertAlign val="baseline"/>
        <sz val="10"/>
        <color theme="1"/>
        <name val="Calibri"/>
        <family val="2"/>
        <scheme val="minor"/>
      </font>
      <numFmt numFmtId="4" formatCode="#,##0.00"/>
      <alignment horizontal="right" vertical="bottom" textRotation="0" wrapText="0" indent="0" justifyLastLine="0" shrinkToFit="0" readingOrder="0"/>
      <border diagonalUp="0" diagonalDown="0" outline="0">
        <left/>
        <right style="thin">
          <color theme="2" tint="-9.9978637043366805E-2"/>
        </right>
        <top/>
        <bottom/>
      </border>
    </dxf>
    <dxf>
      <font>
        <b val="0"/>
        <i val="0"/>
        <strike val="0"/>
        <condense val="0"/>
        <extend val="0"/>
        <outline val="0"/>
        <shadow val="0"/>
        <u val="none"/>
        <vertAlign val="baseline"/>
        <sz val="10"/>
        <color rgb="FFFF99FF"/>
        <name val="Calibri"/>
        <family val="2"/>
        <scheme val="minor"/>
      </font>
      <numFmt numFmtId="0" formatCode="General"/>
      <alignment horizontal="righ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border>
      <protection locked="1" hidden="0"/>
    </dxf>
    <dxf>
      <font>
        <b val="0"/>
        <i val="0"/>
        <strike val="0"/>
        <condense val="0"/>
        <extend val="0"/>
        <outline val="0"/>
        <shadow val="0"/>
        <u val="none"/>
        <vertAlign val="baseline"/>
        <sz val="10"/>
        <color theme="1"/>
        <name val="Calibri"/>
        <family val="2"/>
        <scheme val="minor"/>
      </font>
      <numFmt numFmtId="4" formatCode="#,##0.00"/>
      <alignment horizontal="right" vertical="bottom" textRotation="0" wrapText="0" indent="0" justifyLastLine="0" shrinkToFit="0" readingOrder="0"/>
      <border diagonalUp="0" diagonalDown="0" outline="0">
        <left style="thin">
          <color theme="2" tint="-9.9978637043366805E-2"/>
        </left>
        <right/>
        <top/>
        <bottom/>
      </border>
    </dxf>
    <dxf>
      <font>
        <strike val="0"/>
        <outline val="0"/>
        <shadow val="0"/>
        <u val="none"/>
        <vertAlign val="baseline"/>
        <sz val="10"/>
        <name val="Calibri"/>
        <family val="2"/>
        <scheme val="minor"/>
      </font>
      <numFmt numFmtId="4" formatCode="#,##0.00"/>
      <alignment horizontal="right" vertical="bottom" textRotation="0" wrapText="0" indent="0" justifyLastLine="0" shrinkToFit="0" readingOrder="0"/>
      <border diagonalUp="0" diagonalDown="0">
        <left style="thin">
          <color theme="2" tint="-9.9978637043366805E-2"/>
        </left>
        <right/>
        <top style="thin">
          <color theme="2" tint="-9.9978637043366805E-2"/>
        </top>
        <bottom style="thin">
          <color theme="2" tint="-9.9978637043366805E-2"/>
        </bottom>
        <vertical/>
      </border>
      <protection locked="0" hidden="0"/>
    </dxf>
    <dxf>
      <font>
        <b val="0"/>
        <i val="0"/>
        <strike val="0"/>
        <condense val="0"/>
        <extend val="0"/>
        <outline val="0"/>
        <shadow val="0"/>
        <u val="none"/>
        <vertAlign val="baseline"/>
        <sz val="10"/>
        <color theme="1"/>
        <name val="Calibri"/>
        <family val="2"/>
        <scheme val="minor"/>
      </font>
      <numFmt numFmtId="4" formatCode="#,##0.00"/>
      <alignment horizontal="righ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strike val="0"/>
        <outline val="0"/>
        <shadow val="0"/>
        <u val="none"/>
        <vertAlign val="baseline"/>
        <sz val="10"/>
        <name val="Calibri"/>
        <family val="2"/>
        <scheme val="minor"/>
      </font>
      <numFmt numFmtId="4" formatCode="#,##0.00"/>
      <alignment horizontal="righ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protection locked="0" hidden="0"/>
    </dxf>
    <dxf>
      <border outline="0">
        <top style="thin">
          <color rgb="FFD0CECE"/>
        </top>
      </border>
    </dxf>
    <dxf>
      <font>
        <strike val="0"/>
        <outline val="0"/>
        <shadow val="0"/>
        <u val="none"/>
        <vertAlign val="baseline"/>
        <sz val="10"/>
        <name val="Calibri"/>
        <family val="2"/>
        <scheme val="none"/>
      </font>
      <numFmt numFmtId="4" formatCode="#,##0.00"/>
      <alignment horizontal="right" vertical="bottom" textRotation="0" wrapText="0" indent="0" justifyLastLine="0" shrinkToFit="0" readingOrder="0"/>
      <border diagonalUp="0" diagonalDown="0">
        <left style="thin">
          <color rgb="FFD0CECE"/>
        </left>
        <right style="thin">
          <color rgb="FFD0CECE"/>
        </right>
        <top/>
        <bottom/>
      </border>
      <protection locked="1" hidden="0"/>
    </dxf>
    <dxf>
      <border outline="0">
        <left style="thin">
          <color rgb="FFD0CECE"/>
        </left>
        <right style="thin">
          <color rgb="FFD0CECE"/>
        </right>
        <top style="thin">
          <color rgb="FFD0CECE"/>
        </top>
        <bottom style="thin">
          <color rgb="FFD0CECE"/>
        </bottom>
      </border>
    </dxf>
    <dxf>
      <font>
        <strike val="0"/>
        <outline val="0"/>
        <shadow val="0"/>
        <u val="none"/>
        <vertAlign val="baseline"/>
        <sz val="10"/>
        <name val="Calibri"/>
        <family val="2"/>
        <scheme val="none"/>
      </font>
      <numFmt numFmtId="4" formatCode="#,##0.00"/>
      <alignment horizontal="right" vertical="bottom" textRotation="0" wrapText="0" indent="0" justifyLastLine="0" shrinkToFit="0" readingOrder="0"/>
      <protection locked="1" hidden="0"/>
    </dxf>
    <dxf>
      <border outline="0">
        <bottom style="thin">
          <color rgb="FFD0CECE"/>
        </bottom>
      </border>
    </dxf>
    <dxf>
      <font>
        <b/>
        <i val="0"/>
        <strike val="0"/>
        <condense val="0"/>
        <extend val="0"/>
        <outline val="0"/>
        <shadow val="0"/>
        <u val="none"/>
        <vertAlign val="baseline"/>
        <sz val="10"/>
        <color theme="0"/>
        <name val="Calibri"/>
        <family val="2"/>
        <scheme val="minor"/>
      </font>
      <numFmt numFmtId="4" formatCode="#,##0.00"/>
      <fill>
        <patternFill patternType="solid">
          <fgColor indexed="64"/>
          <bgColor theme="1" tint="0.499984740745262"/>
        </patternFill>
      </fill>
      <alignment horizontal="center" vertical="bottom" textRotation="0" wrapText="0" indent="0" justifyLastLine="0" shrinkToFit="0" readingOrder="0"/>
      <border diagonalUp="0" diagonalDown="0">
        <left style="thin">
          <color theme="2" tint="-9.9978637043366805E-2"/>
        </left>
        <right style="thin">
          <color theme="2" tint="-9.9978637043366805E-2"/>
        </right>
        <top/>
        <bottom/>
      </border>
      <protection locked="1" hidden="0"/>
    </dxf>
    <dxf>
      <font>
        <b val="0"/>
        <i val="0"/>
        <strike val="0"/>
        <condense val="0"/>
        <extend val="0"/>
        <outline val="0"/>
        <shadow val="0"/>
        <u val="none"/>
        <vertAlign val="baseline"/>
        <sz val="10"/>
        <color theme="1"/>
        <name val="Calibri"/>
        <family val="2"/>
        <scheme val="minor"/>
      </font>
      <numFmt numFmtId="4" formatCode="#,##0.00"/>
      <alignment horizontal="righ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strike val="0"/>
        <outline val="0"/>
        <shadow val="0"/>
        <u val="none"/>
        <vertAlign val="baseline"/>
        <sz val="10"/>
        <name val="Calibri"/>
        <family val="2"/>
        <scheme val="minor"/>
      </font>
      <numFmt numFmtId="4" formatCode="#,##0.00"/>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border>
      <protection locked="0" hidden="0"/>
    </dxf>
    <dxf>
      <font>
        <b val="0"/>
        <i val="0"/>
        <strike val="0"/>
        <condense val="0"/>
        <extend val="0"/>
        <outline val="0"/>
        <shadow val="0"/>
        <u val="none"/>
        <vertAlign val="baseline"/>
        <sz val="10"/>
        <color theme="1"/>
        <name val="Calibri"/>
        <family val="2"/>
        <scheme val="minor"/>
      </font>
      <numFmt numFmtId="4" formatCode="#,##0.00"/>
      <alignment horizontal="right" vertical="bottom" textRotation="0" wrapText="0" indent="0" justifyLastLine="0" shrinkToFit="0" readingOrder="0"/>
      <border diagonalUp="0" diagonalDown="0" outline="0">
        <left/>
        <right style="thin">
          <color theme="2" tint="-9.9978637043366805E-2"/>
        </right>
        <top style="thin">
          <color theme="2" tint="-9.9978637043366805E-2"/>
        </top>
        <bottom style="thin">
          <color theme="2" tint="-9.9978637043366805E-2"/>
        </bottom>
      </border>
    </dxf>
    <dxf>
      <font>
        <strike val="0"/>
        <outline val="0"/>
        <shadow val="0"/>
        <u val="none"/>
        <vertAlign val="baseline"/>
        <sz val="10"/>
        <name val="Calibri"/>
        <family val="2"/>
        <scheme val="minor"/>
      </font>
      <numFmt numFmtId="4" formatCode="#,##0.00"/>
      <alignment horizontal="righ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border>
      <protection locked="0" hidden="0"/>
    </dxf>
    <dxf>
      <font>
        <b val="0"/>
        <i val="0"/>
        <strike val="0"/>
        <condense val="0"/>
        <extend val="0"/>
        <outline val="0"/>
        <shadow val="0"/>
        <u val="none"/>
        <vertAlign val="baseline"/>
        <sz val="10"/>
        <color theme="1"/>
        <name val="Calibri"/>
        <family val="2"/>
        <scheme val="minor"/>
      </font>
      <numFmt numFmtId="4" formatCode="#,##0.00"/>
      <alignment horizontal="right" vertical="bottom" textRotation="0" wrapText="0" indent="0" justifyLastLine="0" shrinkToFit="0" readingOrder="0"/>
      <border diagonalUp="0" diagonalDown="0" outline="0">
        <left style="thin">
          <color theme="2" tint="-9.9978637043366805E-2"/>
        </left>
        <right style="thin">
          <color theme="2" tint="-9.9978637043366805E-2"/>
        </right>
        <top/>
        <bottom/>
      </border>
    </dxf>
    <dxf>
      <font>
        <strike val="0"/>
        <outline val="0"/>
        <shadow val="0"/>
        <u val="none"/>
        <vertAlign val="baseline"/>
        <sz val="10"/>
        <name val="Calibri"/>
        <family val="2"/>
        <scheme val="minor"/>
      </font>
      <numFmt numFmtId="4" formatCode="#,##0.00"/>
      <fill>
        <patternFill patternType="solid">
          <fgColor indexed="64"/>
          <bgColor theme="1" tint="0.499984740745262"/>
        </patternFill>
      </fill>
      <alignment horizontal="right" vertical="bottom" textRotation="0" wrapText="0" indent="0" justifyLastLine="0" shrinkToFit="0" readingOrder="0"/>
      <border diagonalUp="0" diagonalDown="0">
        <left style="thin">
          <color theme="2" tint="-9.9978637043366805E-2"/>
        </left>
      </border>
      <protection locked="1" hidden="0"/>
    </dxf>
    <dxf>
      <font>
        <b val="0"/>
        <i val="0"/>
        <strike val="0"/>
        <condense val="0"/>
        <extend val="0"/>
        <outline val="0"/>
        <shadow val="0"/>
        <u val="none"/>
        <vertAlign val="baseline"/>
        <sz val="10"/>
        <color theme="1"/>
        <name val="Calibri"/>
        <family val="2"/>
        <scheme val="minor"/>
      </font>
      <numFmt numFmtId="4" formatCode="#,##0.00"/>
      <alignment horizontal="righ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30" formatCode="@"/>
      <alignment horizontal="center" vertical="center"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protection locked="0" hidden="0"/>
    </dxf>
    <dxf>
      <font>
        <b val="0"/>
        <i val="0"/>
        <strike val="0"/>
        <condense val="0"/>
        <extend val="0"/>
        <outline val="0"/>
        <shadow val="0"/>
        <u val="none"/>
        <vertAlign val="baseline"/>
        <sz val="10"/>
        <color theme="1"/>
        <name val="Calibri"/>
        <family val="2"/>
        <scheme val="minor"/>
      </font>
      <numFmt numFmtId="4" formatCode="#,##0.00"/>
      <alignment horizontal="right" vertical="bottom" textRotation="0" wrapText="0" indent="0" justifyLastLine="0" shrinkToFit="0" readingOrder="0"/>
      <border diagonalUp="0" diagonalDown="0" outline="0">
        <left/>
        <right/>
        <top style="thin">
          <color theme="2" tint="-9.9978637043366805E-2"/>
        </top>
        <bottom style="thin">
          <color theme="2" tint="-9.9978637043366805E-2"/>
        </bottom>
      </border>
    </dxf>
    <dxf>
      <font>
        <b val="0"/>
        <i val="0"/>
        <strike val="0"/>
        <condense val="0"/>
        <extend val="0"/>
        <outline val="0"/>
        <shadow val="0"/>
        <u val="none"/>
        <vertAlign val="baseline"/>
        <sz val="10"/>
        <color rgb="FFFF99FF"/>
        <name val="Calibri"/>
        <family val="2"/>
        <scheme val="minor"/>
      </font>
      <numFmt numFmtId="0" formatCode="General"/>
      <alignment horizontal="righ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border>
      <protection locked="1" hidden="0"/>
    </dxf>
    <dxf>
      <font>
        <b val="0"/>
        <i val="0"/>
        <strike val="0"/>
        <condense val="0"/>
        <extend val="0"/>
        <outline val="0"/>
        <shadow val="0"/>
        <u val="none"/>
        <vertAlign val="baseline"/>
        <sz val="10"/>
        <color theme="1"/>
        <name val="Calibri"/>
        <family val="2"/>
        <scheme val="minor"/>
      </font>
      <numFmt numFmtId="4" formatCode="#,##0.00"/>
      <alignment horizontal="right" vertical="bottom" textRotation="0" wrapText="0" indent="0" justifyLastLine="0" shrinkToFit="0" readingOrder="0"/>
      <border diagonalUp="0" diagonalDown="0" outline="0">
        <left style="thin">
          <color theme="2" tint="-9.9978637043366805E-2"/>
        </left>
        <right/>
        <top style="thin">
          <color theme="2" tint="-9.9978637043366805E-2"/>
        </top>
        <bottom style="thin">
          <color theme="2" tint="-9.9978637043366805E-2"/>
        </bottom>
      </border>
    </dxf>
    <dxf>
      <font>
        <strike val="0"/>
        <outline val="0"/>
        <shadow val="0"/>
        <u val="none"/>
        <vertAlign val="baseline"/>
        <sz val="10"/>
        <name val="Calibri"/>
        <family val="2"/>
        <scheme val="minor"/>
      </font>
      <numFmt numFmtId="4" formatCode="#,##0.00"/>
      <alignment horizontal="right" vertical="bottom" textRotation="0" wrapText="0" indent="0" justifyLastLine="0" shrinkToFit="0" readingOrder="0"/>
      <border diagonalUp="0" diagonalDown="0">
        <left style="thin">
          <color theme="2" tint="-9.9978637043366805E-2"/>
        </left>
        <right/>
        <top style="thin">
          <color theme="2" tint="-9.9978637043366805E-2"/>
        </top>
        <bottom style="thin">
          <color theme="2" tint="-9.9978637043366805E-2"/>
        </bottom>
        <vertical/>
      </border>
      <protection locked="0" hidden="0"/>
    </dxf>
    <dxf>
      <font>
        <b val="0"/>
        <i val="0"/>
        <strike val="0"/>
        <condense val="0"/>
        <extend val="0"/>
        <outline val="0"/>
        <shadow val="0"/>
        <u val="none"/>
        <vertAlign val="baseline"/>
        <sz val="10"/>
        <color theme="1"/>
        <name val="Calibri"/>
        <family val="2"/>
        <scheme val="minor"/>
      </font>
      <numFmt numFmtId="4" formatCode="#,##0.00"/>
      <alignment horizontal="right" vertical="bottom" textRotation="0" wrapText="0" indent="0" justifyLastLine="0" shrinkToFit="0" readingOrder="0"/>
    </dxf>
    <dxf>
      <font>
        <strike val="0"/>
        <outline val="0"/>
        <shadow val="0"/>
        <u val="none"/>
        <vertAlign val="baseline"/>
        <sz val="10"/>
        <name val="Calibri"/>
        <family val="2"/>
        <scheme val="minor"/>
      </font>
      <numFmt numFmtId="4" formatCode="#,##0.00"/>
      <fill>
        <patternFill patternType="solid">
          <fgColor indexed="64"/>
          <bgColor theme="1" tint="0.499984740745262"/>
        </patternFill>
      </fill>
      <alignment horizontal="right" vertical="bottom" textRotation="0" wrapText="0" indent="0" justifyLastLine="0" shrinkToFit="0" readingOrder="0"/>
      <border diagonalUp="0" diagonalDown="0">
        <left style="thin">
          <color theme="2" tint="-9.9978637043366805E-2"/>
        </left>
      </border>
      <protection locked="1" hidden="0"/>
    </dxf>
    <dxf>
      <font>
        <b val="0"/>
        <i val="0"/>
        <strike val="0"/>
        <condense val="0"/>
        <extend val="0"/>
        <outline val="0"/>
        <shadow val="0"/>
        <u val="none"/>
        <vertAlign val="baseline"/>
        <sz val="10"/>
        <color theme="1"/>
        <name val="Calibri"/>
        <family val="2"/>
        <scheme val="minor"/>
      </font>
      <numFmt numFmtId="4" formatCode="#,##0.00"/>
      <alignment horizontal="righ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strike val="0"/>
        <outline val="0"/>
        <shadow val="0"/>
        <u val="none"/>
        <vertAlign val="baseline"/>
        <sz val="10"/>
        <color theme="1" tint="0.499984740745262"/>
        <name val="Calibri"/>
        <family val="2"/>
        <scheme val="minor"/>
      </font>
      <numFmt numFmtId="4" formatCode="#,##0.00"/>
      <alignment horizontal="righ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border>
      <protection locked="1" hidden="0"/>
    </dxf>
    <dxf>
      <font>
        <b val="0"/>
        <i val="0"/>
        <strike val="0"/>
        <condense val="0"/>
        <extend val="0"/>
        <outline val="0"/>
        <shadow val="0"/>
        <u val="none"/>
        <vertAlign val="baseline"/>
        <sz val="10"/>
        <color theme="1"/>
        <name val="Calibri"/>
        <family val="2"/>
        <scheme val="minor"/>
      </font>
      <numFmt numFmtId="4" formatCode="#,##0.00"/>
      <alignment horizontal="righ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strike val="0"/>
        <outline val="0"/>
        <shadow val="0"/>
        <u val="none"/>
        <vertAlign val="baseline"/>
        <sz val="10"/>
        <color theme="1" tint="0.499984740745262"/>
        <name val="Calibri"/>
        <family val="2"/>
        <scheme val="minor"/>
      </font>
      <numFmt numFmtId="4" formatCode="#,##0.00"/>
      <alignment horizontal="righ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border>
      <protection locked="1" hidden="0"/>
    </dxf>
    <dxf>
      <font>
        <b val="0"/>
        <i val="0"/>
        <strike val="0"/>
        <condense val="0"/>
        <extend val="0"/>
        <outline val="0"/>
        <shadow val="0"/>
        <u val="none"/>
        <vertAlign val="baseline"/>
        <sz val="10"/>
        <color theme="1"/>
        <name val="Calibri"/>
        <family val="2"/>
        <scheme val="minor"/>
      </font>
      <numFmt numFmtId="4" formatCode="#,##0.00"/>
      <alignment horizontal="right" vertical="bottom" textRotation="0" wrapText="0" indent="0" justifyLastLine="0" shrinkToFit="0" readingOrder="0"/>
      <border diagonalUp="0" diagonalDown="0" outline="0">
        <left/>
        <right style="thin">
          <color theme="2" tint="-9.9978637043366805E-2"/>
        </right>
        <top style="thin">
          <color theme="2" tint="-9.9978637043366805E-2"/>
        </top>
        <bottom style="thin">
          <color theme="2" tint="-9.9978637043366805E-2"/>
        </bottom>
      </border>
    </dxf>
    <dxf>
      <font>
        <strike val="0"/>
        <outline val="0"/>
        <shadow val="0"/>
        <u val="none"/>
        <vertAlign val="baseline"/>
        <sz val="10"/>
        <color theme="1" tint="0.499984740745262"/>
        <name val="Calibri"/>
        <family val="2"/>
        <scheme val="minor"/>
      </font>
      <numFmt numFmtId="4" formatCode="#,##0.00"/>
      <alignment horizontal="righ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protection locked="1" hidden="0"/>
    </dxf>
    <dxf>
      <font>
        <b val="0"/>
        <i val="0"/>
        <strike val="0"/>
        <condense val="0"/>
        <extend val="0"/>
        <outline val="0"/>
        <shadow val="0"/>
        <u val="none"/>
        <vertAlign val="baseline"/>
        <sz val="10"/>
        <color theme="1"/>
        <name val="Calibri"/>
        <family val="2"/>
        <scheme val="minor"/>
      </font>
      <numFmt numFmtId="4" formatCode="#,##0.00"/>
      <alignment horizontal="right" vertical="bottom" textRotation="0" wrapText="0" indent="0" justifyLastLine="0" shrinkToFit="0" readingOrder="0"/>
      <border diagonalUp="0" diagonalDown="0" outline="0">
        <left/>
        <right style="thin">
          <color theme="2" tint="-9.9978637043366805E-2"/>
        </right>
        <top/>
        <bottom/>
      </border>
    </dxf>
    <dxf>
      <font>
        <b val="0"/>
        <i val="0"/>
        <strike val="0"/>
        <condense val="0"/>
        <extend val="0"/>
        <outline val="0"/>
        <shadow val="0"/>
        <u val="none"/>
        <vertAlign val="baseline"/>
        <sz val="10"/>
        <color rgb="FFFF99FF"/>
        <name val="Calibri"/>
        <family val="2"/>
        <scheme val="minor"/>
      </font>
      <numFmt numFmtId="0" formatCode="General"/>
      <alignment horizontal="righ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border>
      <protection locked="1" hidden="0"/>
    </dxf>
    <dxf>
      <font>
        <b val="0"/>
        <i val="0"/>
        <strike val="0"/>
        <condense val="0"/>
        <extend val="0"/>
        <outline val="0"/>
        <shadow val="0"/>
        <u val="none"/>
        <vertAlign val="baseline"/>
        <sz val="10"/>
        <color theme="1"/>
        <name val="Calibri"/>
        <family val="2"/>
        <scheme val="minor"/>
      </font>
      <numFmt numFmtId="4" formatCode="#,##0.00"/>
      <alignment horizontal="right" vertical="bottom" textRotation="0" wrapText="0" indent="0" justifyLastLine="0" shrinkToFit="0" readingOrder="0"/>
      <border diagonalUp="0" diagonalDown="0" outline="0">
        <left style="thin">
          <color theme="2" tint="-9.9978637043366805E-2"/>
        </left>
        <right/>
        <top/>
        <bottom/>
      </border>
    </dxf>
    <dxf>
      <font>
        <strike val="0"/>
        <outline val="0"/>
        <shadow val="0"/>
        <u val="none"/>
        <vertAlign val="baseline"/>
        <sz val="10"/>
        <name val="Calibri"/>
        <family val="2"/>
        <scheme val="minor"/>
      </font>
      <numFmt numFmtId="4" formatCode="#,##0.00"/>
      <alignment horizontal="right" vertical="bottom" textRotation="0" wrapText="0" indent="0" justifyLastLine="0" shrinkToFit="0" readingOrder="0"/>
      <border diagonalUp="0" diagonalDown="0">
        <left style="thin">
          <color theme="2" tint="-9.9978637043366805E-2"/>
        </left>
        <right/>
        <top style="thin">
          <color theme="2" tint="-9.9978637043366805E-2"/>
        </top>
        <bottom style="thin">
          <color theme="2" tint="-9.9978637043366805E-2"/>
        </bottom>
        <vertical/>
      </border>
      <protection locked="0" hidden="0"/>
    </dxf>
    <dxf>
      <font>
        <b val="0"/>
        <i val="0"/>
        <strike val="0"/>
        <condense val="0"/>
        <extend val="0"/>
        <outline val="0"/>
        <shadow val="0"/>
        <u val="none"/>
        <vertAlign val="baseline"/>
        <sz val="10"/>
        <color theme="1"/>
        <name val="Calibri"/>
        <family val="2"/>
        <scheme val="minor"/>
      </font>
      <numFmt numFmtId="4" formatCode="#,##0.00"/>
      <alignment horizontal="righ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strike val="0"/>
        <outline val="0"/>
        <shadow val="0"/>
        <u val="none"/>
        <vertAlign val="baseline"/>
        <sz val="10"/>
        <name val="Calibri"/>
        <family val="2"/>
        <scheme val="minor"/>
      </font>
      <numFmt numFmtId="4" formatCode="#,##0.00"/>
      <alignment horizontal="righ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border>
      <protection locked="0" hidden="0"/>
    </dxf>
    <dxf>
      <border outline="0">
        <top style="thin">
          <color rgb="FFD0CECE"/>
        </top>
      </border>
    </dxf>
    <dxf>
      <font>
        <strike val="0"/>
        <outline val="0"/>
        <shadow val="0"/>
        <u val="none"/>
        <vertAlign val="baseline"/>
        <sz val="10"/>
        <name val="Calibri"/>
        <family val="2"/>
        <scheme val="none"/>
      </font>
      <numFmt numFmtId="4" formatCode="#,##0.00"/>
      <alignment horizontal="right" vertical="bottom" textRotation="0" wrapText="0" indent="0" justifyLastLine="0" shrinkToFit="0" readingOrder="0"/>
      <border diagonalUp="0" diagonalDown="0">
        <left style="thin">
          <color rgb="FFD0CECE"/>
        </left>
        <right style="thin">
          <color rgb="FFD0CECE"/>
        </right>
        <top/>
        <bottom/>
      </border>
      <protection locked="1" hidden="0"/>
    </dxf>
    <dxf>
      <border outline="0">
        <left style="thin">
          <color rgb="FFD0CECE"/>
        </left>
        <right style="thin">
          <color rgb="FFD0CECE"/>
        </right>
        <top style="thin">
          <color rgb="FFD0CECE"/>
        </top>
        <bottom style="thin">
          <color rgb="FFD0CECE"/>
        </bottom>
      </border>
    </dxf>
    <dxf>
      <font>
        <strike val="0"/>
        <outline val="0"/>
        <shadow val="0"/>
        <u val="none"/>
        <vertAlign val="baseline"/>
        <sz val="10"/>
        <name val="Calibri"/>
        <family val="2"/>
        <scheme val="none"/>
      </font>
      <numFmt numFmtId="4" formatCode="#,##0.00"/>
      <alignment horizontal="right" vertical="bottom" textRotation="0" wrapText="0" indent="0" justifyLastLine="0" shrinkToFit="0" readingOrder="0"/>
      <protection locked="1" hidden="0"/>
    </dxf>
    <dxf>
      <border outline="0">
        <bottom style="thin">
          <color rgb="FFD0CECE"/>
        </bottom>
      </border>
    </dxf>
    <dxf>
      <font>
        <b/>
        <i val="0"/>
        <strike val="0"/>
        <condense val="0"/>
        <extend val="0"/>
        <outline val="0"/>
        <shadow val="0"/>
        <u val="none"/>
        <vertAlign val="baseline"/>
        <sz val="10"/>
        <color theme="0"/>
        <name val="Calibri"/>
        <family val="2"/>
        <scheme val="minor"/>
      </font>
      <numFmt numFmtId="4" formatCode="#,##0.00"/>
      <fill>
        <patternFill patternType="solid">
          <fgColor indexed="64"/>
          <bgColor theme="1" tint="0.499984740745262"/>
        </patternFill>
      </fill>
      <alignment horizontal="center" vertical="bottom" textRotation="0" wrapText="0" indent="0" justifyLastLine="0" shrinkToFit="0" readingOrder="0"/>
      <border diagonalUp="0" diagonalDown="0">
        <left style="thin">
          <color theme="2" tint="-9.9978637043366805E-2"/>
        </left>
        <right style="thin">
          <color theme="2" tint="-9.9978637043366805E-2"/>
        </right>
        <top/>
        <bottom/>
      </border>
      <protection locked="1" hidden="0"/>
    </dxf>
    <dxf>
      <font>
        <b val="0"/>
        <i val="0"/>
        <strike val="0"/>
        <condense val="0"/>
        <extend val="0"/>
        <outline val="0"/>
        <shadow val="0"/>
        <u val="none"/>
        <vertAlign val="baseline"/>
        <sz val="10"/>
        <color theme="1"/>
        <name val="Calibri"/>
        <family val="2"/>
        <scheme val="minor"/>
      </font>
      <numFmt numFmtId="4" formatCode="#,##0.00"/>
      <alignment horizontal="right" vertical="bottom" textRotation="0" wrapText="0" indent="0" justifyLastLine="0" shrinkToFit="0" readingOrder="0"/>
      <border diagonalUp="0" diagonalDown="0" outline="0">
        <left/>
        <right style="thin">
          <color theme="2" tint="-9.9978637043366805E-2"/>
        </right>
        <top style="thin">
          <color theme="2" tint="-9.9978637043366805E-2"/>
        </top>
        <bottom style="thin">
          <color theme="2" tint="-9.9978637043366805E-2"/>
        </bottom>
      </border>
    </dxf>
    <dxf>
      <font>
        <strike val="0"/>
        <outline val="0"/>
        <shadow val="0"/>
        <u val="none"/>
        <vertAlign val="baseline"/>
        <sz val="10"/>
        <name val="Calibri"/>
        <family val="2"/>
        <scheme val="minor"/>
      </font>
      <numFmt numFmtId="4" formatCode="#,##0.00"/>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border>
      <protection locked="0" hidden="0"/>
    </dxf>
    <dxf>
      <font>
        <b val="0"/>
        <i val="0"/>
        <strike val="0"/>
        <condense val="0"/>
        <extend val="0"/>
        <outline val="0"/>
        <shadow val="0"/>
        <u val="none"/>
        <vertAlign val="baseline"/>
        <sz val="10"/>
        <color theme="1"/>
        <name val="Calibri"/>
        <family val="2"/>
        <scheme val="minor"/>
      </font>
      <numFmt numFmtId="4" formatCode="#,##0.00"/>
      <alignment horizontal="right" vertical="bottom" textRotation="0" wrapText="0" indent="0" justifyLastLine="0" shrinkToFit="0" readingOrder="0"/>
      <border diagonalUp="0" diagonalDown="0" outline="0">
        <left style="thin">
          <color theme="2" tint="-9.9978637043366805E-2"/>
        </left>
        <right/>
        <top style="thin">
          <color theme="2" tint="-9.9978637043366805E-2"/>
        </top>
        <bottom style="thin">
          <color theme="2" tint="-9.9978637043366805E-2"/>
        </bottom>
      </border>
    </dxf>
    <dxf>
      <font>
        <strike val="0"/>
        <outline val="0"/>
        <shadow val="0"/>
        <u val="none"/>
        <vertAlign val="baseline"/>
        <sz val="10"/>
        <name val="Calibri"/>
        <family val="2"/>
        <scheme val="minor"/>
      </font>
      <numFmt numFmtId="4" formatCode="#,##0.00"/>
      <alignment horizontal="righ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border>
      <protection locked="0" hidden="0"/>
    </dxf>
    <dxf>
      <font>
        <b val="0"/>
        <i val="0"/>
        <strike val="0"/>
        <condense val="0"/>
        <extend val="0"/>
        <outline val="0"/>
        <shadow val="0"/>
        <u val="none"/>
        <vertAlign val="baseline"/>
        <sz val="10"/>
        <color theme="1"/>
        <name val="Calibri"/>
        <family val="2"/>
        <scheme val="minor"/>
      </font>
      <numFmt numFmtId="4" formatCode="#,##0.00"/>
      <alignment horizontal="right" vertical="bottom" textRotation="0" wrapText="0" indent="0" justifyLastLine="0" shrinkToFit="0" readingOrder="0"/>
      <border diagonalUp="0" diagonalDown="0" outline="0">
        <left style="thin">
          <color theme="2" tint="-9.9978637043366805E-2"/>
        </left>
        <right style="thin">
          <color theme="2" tint="-9.9978637043366805E-2"/>
        </right>
        <top/>
        <bottom/>
      </border>
    </dxf>
    <dxf>
      <protection locked="1" hidden="0"/>
    </dxf>
    <dxf>
      <font>
        <b val="0"/>
        <i val="0"/>
        <strike val="0"/>
        <condense val="0"/>
        <extend val="0"/>
        <outline val="0"/>
        <shadow val="0"/>
        <u val="none"/>
        <vertAlign val="baseline"/>
        <sz val="10"/>
        <color theme="1"/>
        <name val="Calibri"/>
        <family val="2"/>
        <scheme val="minor"/>
      </font>
      <numFmt numFmtId="4" formatCode="#,##0.00"/>
      <alignment horizontal="righ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30" formatCode="@"/>
      <alignment horizontal="center" vertical="center"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protection locked="0" hidden="0"/>
    </dxf>
    <dxf>
      <font>
        <b val="0"/>
        <i val="0"/>
        <strike val="0"/>
        <condense val="0"/>
        <extend val="0"/>
        <outline val="0"/>
        <shadow val="0"/>
        <u val="none"/>
        <vertAlign val="baseline"/>
        <sz val="10"/>
        <color theme="1"/>
        <name val="Calibri"/>
        <family val="2"/>
        <scheme val="minor"/>
      </font>
      <numFmt numFmtId="4" formatCode="#,##0.00"/>
      <alignment horizontal="right" vertical="bottom" textRotation="0" wrapText="0" indent="0" justifyLastLine="0" shrinkToFit="0" readingOrder="0"/>
      <border diagonalUp="0" diagonalDown="0" outline="0">
        <left/>
        <right/>
        <top style="thin">
          <color theme="2" tint="-9.9978637043366805E-2"/>
        </top>
        <bottom style="thin">
          <color theme="2" tint="-9.9978637043366805E-2"/>
        </bottom>
      </border>
    </dxf>
    <dxf>
      <font>
        <b val="0"/>
        <i val="0"/>
        <strike val="0"/>
        <condense val="0"/>
        <extend val="0"/>
        <outline val="0"/>
        <shadow val="0"/>
        <u val="none"/>
        <vertAlign val="baseline"/>
        <sz val="10"/>
        <color rgb="FFFF99FF"/>
        <name val="Calibri"/>
        <family val="2"/>
        <scheme val="minor"/>
      </font>
      <numFmt numFmtId="0" formatCode="General"/>
      <alignment horizontal="righ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border>
      <protection locked="1" hidden="0"/>
    </dxf>
    <dxf>
      <font>
        <b val="0"/>
        <i val="0"/>
        <strike val="0"/>
        <condense val="0"/>
        <extend val="0"/>
        <outline val="0"/>
        <shadow val="0"/>
        <u val="none"/>
        <vertAlign val="baseline"/>
        <sz val="10"/>
        <color theme="1"/>
        <name val="Calibri"/>
        <family val="2"/>
        <scheme val="minor"/>
      </font>
      <numFmt numFmtId="4" formatCode="#,##0.00"/>
      <alignment horizontal="right" vertical="bottom" textRotation="0" wrapText="0" indent="0" justifyLastLine="0" shrinkToFit="0" readingOrder="0"/>
      <border diagonalUp="0" diagonalDown="0" outline="0">
        <left style="thin">
          <color theme="2" tint="-9.9978637043366805E-2"/>
        </left>
        <right/>
        <top style="thin">
          <color theme="2" tint="-9.9978637043366805E-2"/>
        </top>
        <bottom style="thin">
          <color theme="2" tint="-9.9978637043366805E-2"/>
        </bottom>
      </border>
    </dxf>
    <dxf>
      <font>
        <strike val="0"/>
        <outline val="0"/>
        <shadow val="0"/>
        <u val="none"/>
        <vertAlign val="baseline"/>
        <sz val="10"/>
        <name val="Calibri"/>
        <family val="2"/>
        <scheme val="minor"/>
      </font>
      <numFmt numFmtId="4" formatCode="#,##0.00"/>
      <alignment horizontal="right" vertical="bottom" textRotation="0" wrapText="0" indent="0" justifyLastLine="0" shrinkToFit="0" readingOrder="0"/>
      <border diagonalUp="0" diagonalDown="0">
        <left style="thin">
          <color theme="2" tint="-9.9978637043366805E-2"/>
        </left>
        <right/>
        <top style="thin">
          <color theme="2" tint="-9.9978637043366805E-2"/>
        </top>
        <bottom style="thin">
          <color theme="2" tint="-9.9978637043366805E-2"/>
        </bottom>
        <vertical/>
      </border>
      <protection locked="0" hidden="0"/>
    </dxf>
    <dxf>
      <font>
        <b val="0"/>
        <i val="0"/>
        <strike val="0"/>
        <condense val="0"/>
        <extend val="0"/>
        <outline val="0"/>
        <shadow val="0"/>
        <u val="none"/>
        <vertAlign val="baseline"/>
        <sz val="10"/>
        <color theme="1"/>
        <name val="Calibri"/>
        <family val="2"/>
        <scheme val="minor"/>
      </font>
      <numFmt numFmtId="4" formatCode="#,##0.00"/>
      <alignment horizontal="right" vertical="bottom" textRotation="0" wrapText="0" indent="0" justifyLastLine="0" shrinkToFit="0" readingOrder="0"/>
    </dxf>
    <dxf>
      <font>
        <strike val="0"/>
        <outline val="0"/>
        <shadow val="0"/>
        <u val="none"/>
        <vertAlign val="baseline"/>
        <sz val="10"/>
        <name val="Calibri"/>
        <family val="2"/>
        <scheme val="minor"/>
      </font>
      <numFmt numFmtId="4" formatCode="#,##0.00"/>
      <fill>
        <patternFill patternType="solid">
          <fgColor indexed="64"/>
          <bgColor theme="1" tint="0.499984740745262"/>
        </patternFill>
      </fill>
      <alignment horizontal="right" vertical="bottom" textRotation="0" wrapText="0" indent="0" justifyLastLine="0" shrinkToFit="0" readingOrder="0"/>
      <border diagonalUp="0" diagonalDown="0">
        <left style="thin">
          <color theme="2" tint="-9.9978637043366805E-2"/>
        </left>
      </border>
      <protection locked="1" hidden="0"/>
    </dxf>
    <dxf>
      <font>
        <b val="0"/>
        <i val="0"/>
        <strike val="0"/>
        <condense val="0"/>
        <extend val="0"/>
        <outline val="0"/>
        <shadow val="0"/>
        <u val="none"/>
        <vertAlign val="baseline"/>
        <sz val="10"/>
        <color theme="1"/>
        <name val="Calibri"/>
        <family val="2"/>
        <scheme val="minor"/>
      </font>
      <numFmt numFmtId="4" formatCode="#,##0.00"/>
      <alignment horizontal="righ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strike val="0"/>
        <outline val="0"/>
        <shadow val="0"/>
        <u val="none"/>
        <vertAlign val="baseline"/>
        <sz val="10"/>
        <color theme="1" tint="0.499984740745262"/>
        <name val="Calibri"/>
        <family val="2"/>
        <scheme val="minor"/>
      </font>
      <numFmt numFmtId="4" formatCode="#,##0.00"/>
      <alignment horizontal="righ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border>
      <protection locked="1" hidden="0"/>
    </dxf>
    <dxf>
      <font>
        <b val="0"/>
        <i val="0"/>
        <strike val="0"/>
        <condense val="0"/>
        <extend val="0"/>
        <outline val="0"/>
        <shadow val="0"/>
        <u val="none"/>
        <vertAlign val="baseline"/>
        <sz val="10"/>
        <color theme="1"/>
        <name val="Calibri"/>
        <family val="2"/>
        <scheme val="minor"/>
      </font>
      <numFmt numFmtId="4" formatCode="#,##0.00"/>
      <alignment horizontal="righ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strike val="0"/>
        <outline val="0"/>
        <shadow val="0"/>
        <u val="none"/>
        <vertAlign val="baseline"/>
        <sz val="10"/>
        <color theme="1" tint="0.499984740745262"/>
        <name val="Calibri"/>
        <family val="2"/>
        <scheme val="minor"/>
      </font>
      <numFmt numFmtId="4" formatCode="#,##0.00"/>
      <alignment horizontal="righ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border>
      <protection locked="1" hidden="0"/>
    </dxf>
    <dxf>
      <font>
        <b val="0"/>
        <i val="0"/>
        <strike val="0"/>
        <condense val="0"/>
        <extend val="0"/>
        <outline val="0"/>
        <shadow val="0"/>
        <u val="none"/>
        <vertAlign val="baseline"/>
        <sz val="10"/>
        <color theme="1"/>
        <name val="Calibri"/>
        <family val="2"/>
        <scheme val="minor"/>
      </font>
      <numFmt numFmtId="4" formatCode="#,##0.00"/>
      <alignment horizontal="right" vertical="bottom" textRotation="0" wrapText="0" indent="0" justifyLastLine="0" shrinkToFit="0" readingOrder="0"/>
      <border diagonalUp="0" diagonalDown="0" outline="0">
        <left/>
        <right style="thin">
          <color theme="2" tint="-9.9978637043366805E-2"/>
        </right>
        <top style="thin">
          <color theme="2" tint="-9.9978637043366805E-2"/>
        </top>
        <bottom style="thin">
          <color theme="2" tint="-9.9978637043366805E-2"/>
        </bottom>
      </border>
    </dxf>
    <dxf>
      <font>
        <strike val="0"/>
        <outline val="0"/>
        <shadow val="0"/>
        <u val="none"/>
        <vertAlign val="baseline"/>
        <sz val="10"/>
        <color theme="1" tint="0.499984740745262"/>
        <name val="Calibri"/>
        <family val="2"/>
        <scheme val="minor"/>
      </font>
      <numFmt numFmtId="4" formatCode="#,##0.00"/>
      <alignment horizontal="righ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protection locked="1" hidden="0"/>
    </dxf>
    <dxf>
      <font>
        <b val="0"/>
        <i val="0"/>
        <strike val="0"/>
        <condense val="0"/>
        <extend val="0"/>
        <outline val="0"/>
        <shadow val="0"/>
        <u val="none"/>
        <vertAlign val="baseline"/>
        <sz val="10"/>
        <color theme="1"/>
        <name val="Calibri"/>
        <family val="2"/>
        <scheme val="minor"/>
      </font>
      <numFmt numFmtId="4" formatCode="#,##0.00"/>
      <alignment horizontal="right" vertical="bottom" textRotation="0" wrapText="0" indent="0" justifyLastLine="0" shrinkToFit="0" readingOrder="0"/>
      <border diagonalUp="0" diagonalDown="0" outline="0">
        <left/>
        <right style="thin">
          <color theme="2" tint="-9.9978637043366805E-2"/>
        </right>
        <top/>
        <bottom/>
      </border>
    </dxf>
    <dxf>
      <font>
        <b val="0"/>
        <i val="0"/>
        <strike val="0"/>
        <condense val="0"/>
        <extend val="0"/>
        <outline val="0"/>
        <shadow val="0"/>
        <u val="none"/>
        <vertAlign val="baseline"/>
        <sz val="10"/>
        <color rgb="FFFF99FF"/>
        <name val="Calibri"/>
        <family val="2"/>
        <scheme val="minor"/>
      </font>
      <numFmt numFmtId="0" formatCode="General"/>
      <alignment horizontal="righ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border>
      <protection locked="1" hidden="0"/>
    </dxf>
    <dxf>
      <font>
        <b val="0"/>
        <i val="0"/>
        <strike val="0"/>
        <condense val="0"/>
        <extend val="0"/>
        <outline val="0"/>
        <shadow val="0"/>
        <u val="none"/>
        <vertAlign val="baseline"/>
        <sz val="10"/>
        <color theme="1"/>
        <name val="Calibri"/>
        <family val="2"/>
        <scheme val="minor"/>
      </font>
      <numFmt numFmtId="4" formatCode="#,##0.00"/>
      <alignment horizontal="right" vertical="bottom" textRotation="0" wrapText="0" indent="0" justifyLastLine="0" shrinkToFit="0" readingOrder="0"/>
      <border diagonalUp="0" diagonalDown="0" outline="0">
        <left style="thin">
          <color theme="2" tint="-9.9978637043366805E-2"/>
        </left>
        <right/>
        <top/>
        <bottom/>
      </border>
    </dxf>
    <dxf>
      <font>
        <strike val="0"/>
        <outline val="0"/>
        <shadow val="0"/>
        <u val="none"/>
        <vertAlign val="baseline"/>
        <sz val="10"/>
        <name val="Calibri"/>
        <family val="2"/>
        <scheme val="minor"/>
      </font>
      <numFmt numFmtId="4" formatCode="#,##0.00"/>
      <alignment horizontal="right" vertical="bottom" textRotation="0" wrapText="0" indent="0" justifyLastLine="0" shrinkToFit="0" readingOrder="0"/>
      <border diagonalUp="0" diagonalDown="0">
        <left style="thin">
          <color theme="2" tint="-9.9978637043366805E-2"/>
        </left>
        <right/>
        <top style="thin">
          <color theme="2" tint="-9.9978637043366805E-2"/>
        </top>
        <bottom style="thin">
          <color theme="2" tint="-9.9978637043366805E-2"/>
        </bottom>
        <vertical/>
      </border>
      <protection locked="0" hidden="0"/>
    </dxf>
    <dxf>
      <font>
        <b val="0"/>
        <i val="0"/>
        <strike val="0"/>
        <condense val="0"/>
        <extend val="0"/>
        <outline val="0"/>
        <shadow val="0"/>
        <u val="none"/>
        <vertAlign val="baseline"/>
        <sz val="10"/>
        <color theme="1"/>
        <name val="Calibri"/>
        <family val="2"/>
        <scheme val="minor"/>
      </font>
      <numFmt numFmtId="4" formatCode="#,##0.00"/>
      <alignment horizontal="righ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strike val="0"/>
        <outline val="0"/>
        <shadow val="0"/>
        <u val="none"/>
        <vertAlign val="baseline"/>
        <sz val="10"/>
        <name val="Calibri"/>
        <family val="2"/>
        <scheme val="minor"/>
      </font>
      <numFmt numFmtId="4" formatCode="#,##0.00"/>
      <alignment horizontal="righ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border>
      <protection locked="0" hidden="0"/>
    </dxf>
    <dxf>
      <border outline="0">
        <top style="thin">
          <color rgb="FFD0CECE"/>
        </top>
      </border>
    </dxf>
    <dxf>
      <font>
        <strike val="0"/>
        <outline val="0"/>
        <shadow val="0"/>
        <u val="none"/>
        <vertAlign val="baseline"/>
        <sz val="10"/>
        <name val="Calibri"/>
        <family val="2"/>
        <scheme val="none"/>
      </font>
      <numFmt numFmtId="4" formatCode="#,##0.00"/>
      <alignment horizontal="right" vertical="bottom" textRotation="0" wrapText="0" indent="0" justifyLastLine="0" shrinkToFit="0" readingOrder="0"/>
      <border diagonalUp="0" diagonalDown="0">
        <left style="thin">
          <color rgb="FFD0CECE"/>
        </left>
        <right style="thin">
          <color rgb="FFD0CECE"/>
        </right>
        <top/>
        <bottom/>
      </border>
      <protection locked="1" hidden="0"/>
    </dxf>
    <dxf>
      <border outline="0">
        <left style="thin">
          <color rgb="FFD0CECE"/>
        </left>
        <right style="thin">
          <color rgb="FFD0CECE"/>
        </right>
        <top style="thin">
          <color rgb="FFD0CECE"/>
        </top>
        <bottom style="thin">
          <color rgb="FFD0CECE"/>
        </bottom>
      </border>
    </dxf>
    <dxf>
      <font>
        <strike val="0"/>
        <outline val="0"/>
        <shadow val="0"/>
        <u val="none"/>
        <vertAlign val="baseline"/>
        <sz val="10"/>
        <name val="Calibri"/>
        <family val="2"/>
        <scheme val="none"/>
      </font>
      <numFmt numFmtId="4" formatCode="#,##0.00"/>
      <alignment horizontal="right" vertical="bottom" textRotation="0" wrapText="0" indent="0" justifyLastLine="0" shrinkToFit="0" readingOrder="0"/>
      <protection locked="1" hidden="0"/>
    </dxf>
    <dxf>
      <border outline="0">
        <bottom style="thin">
          <color rgb="FFD0CECE"/>
        </bottom>
      </border>
    </dxf>
    <dxf>
      <font>
        <b/>
        <i val="0"/>
        <strike val="0"/>
        <condense val="0"/>
        <extend val="0"/>
        <outline val="0"/>
        <shadow val="0"/>
        <u val="none"/>
        <vertAlign val="baseline"/>
        <sz val="10"/>
        <color theme="0"/>
        <name val="Calibri"/>
        <family val="2"/>
        <scheme val="minor"/>
      </font>
      <numFmt numFmtId="4" formatCode="#,##0.00"/>
      <fill>
        <patternFill patternType="solid">
          <fgColor indexed="64"/>
          <bgColor theme="1" tint="0.499984740745262"/>
        </patternFill>
      </fill>
      <alignment horizontal="center" vertical="bottom" textRotation="0" wrapText="0" indent="0" justifyLastLine="0" shrinkToFit="0" readingOrder="0"/>
      <border diagonalUp="0" diagonalDown="0">
        <left style="thin">
          <color theme="2" tint="-9.9978637043366805E-2"/>
        </left>
        <right style="thin">
          <color theme="2" tint="-9.9978637043366805E-2"/>
        </right>
        <top/>
        <bottom/>
      </border>
      <protection locked="1" hidden="0"/>
    </dxf>
    <dxf>
      <font>
        <b val="0"/>
        <i val="0"/>
        <strike val="0"/>
        <condense val="0"/>
        <extend val="0"/>
        <outline val="0"/>
        <shadow val="0"/>
        <u val="none"/>
        <vertAlign val="baseline"/>
        <sz val="10"/>
        <color theme="1"/>
        <name val="Calibri"/>
        <family val="2"/>
        <scheme val="minor"/>
      </font>
      <numFmt numFmtId="4" formatCode="#,##0.00"/>
      <alignment horizontal="right" vertical="bottom" textRotation="0" wrapText="0" indent="0" justifyLastLine="0" shrinkToFit="0" readingOrder="0"/>
      <border diagonalUp="0" diagonalDown="0" outline="0">
        <left/>
        <right style="thin">
          <color theme="2" tint="-9.9978637043366805E-2"/>
        </right>
        <top style="thin">
          <color theme="2" tint="-9.9978637043366805E-2"/>
        </top>
        <bottom style="thin">
          <color theme="2" tint="-9.9978637043366805E-2"/>
        </bottom>
      </border>
    </dxf>
    <dxf>
      <font>
        <strike val="0"/>
        <outline val="0"/>
        <shadow val="0"/>
        <u val="none"/>
        <vertAlign val="baseline"/>
        <sz val="10"/>
        <name val="Calibri"/>
        <family val="2"/>
        <scheme val="minor"/>
      </font>
      <numFmt numFmtId="4" formatCode="#,##0.00"/>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border>
      <protection locked="0" hidden="0"/>
    </dxf>
    <dxf>
      <font>
        <b val="0"/>
        <i val="0"/>
        <strike val="0"/>
        <condense val="0"/>
        <extend val="0"/>
        <outline val="0"/>
        <shadow val="0"/>
        <u val="none"/>
        <vertAlign val="baseline"/>
        <sz val="10"/>
        <color theme="1"/>
        <name val="Calibri"/>
        <family val="2"/>
        <scheme val="minor"/>
      </font>
      <numFmt numFmtId="4" formatCode="#,##0.00"/>
      <alignment horizontal="right" vertical="bottom" textRotation="0" wrapText="0" indent="0" justifyLastLine="0" shrinkToFit="0" readingOrder="0"/>
      <border diagonalUp="0" diagonalDown="0" outline="0">
        <left style="thin">
          <color theme="2" tint="-9.9978637043366805E-2"/>
        </left>
        <right/>
        <top style="thin">
          <color theme="2" tint="-9.9978637043366805E-2"/>
        </top>
        <bottom style="thin">
          <color theme="2" tint="-9.9978637043366805E-2"/>
        </bottom>
      </border>
    </dxf>
    <dxf>
      <font>
        <strike val="0"/>
        <outline val="0"/>
        <shadow val="0"/>
        <u val="none"/>
        <vertAlign val="baseline"/>
        <sz val="10"/>
        <name val="Calibri"/>
        <family val="2"/>
        <scheme val="minor"/>
      </font>
      <numFmt numFmtId="4" formatCode="#,##0.00"/>
      <alignment horizontal="righ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border>
      <protection locked="0" hidden="0"/>
    </dxf>
    <dxf>
      <font>
        <b val="0"/>
        <i val="0"/>
        <strike val="0"/>
        <condense val="0"/>
        <extend val="0"/>
        <outline val="0"/>
        <shadow val="0"/>
        <u val="none"/>
        <vertAlign val="baseline"/>
        <sz val="10"/>
        <color theme="1"/>
        <name val="Calibri"/>
        <family val="2"/>
        <scheme val="minor"/>
      </font>
      <numFmt numFmtId="4" formatCode="#,##0.00"/>
      <alignment horizontal="right" vertical="bottom" textRotation="0" wrapText="0" indent="0" justifyLastLine="0" shrinkToFit="0" readingOrder="0"/>
      <border diagonalUp="0" diagonalDown="0" outline="0">
        <left style="thin">
          <color theme="2" tint="-9.9978637043366805E-2"/>
        </left>
        <right style="thin">
          <color theme="2" tint="-9.9978637043366805E-2"/>
        </right>
        <top/>
        <bottom/>
      </border>
    </dxf>
    <dxf>
      <font>
        <strike val="0"/>
        <outline val="0"/>
        <shadow val="0"/>
        <u val="none"/>
        <vertAlign val="baseline"/>
        <sz val="10"/>
        <name val="Calibri"/>
        <family val="2"/>
        <scheme val="minor"/>
      </font>
      <numFmt numFmtId="4" formatCode="#,##0.00"/>
      <fill>
        <patternFill patternType="solid">
          <fgColor indexed="64"/>
          <bgColor theme="1" tint="0.499984740745262"/>
        </patternFill>
      </fill>
      <alignment horizontal="right" vertical="bottom" textRotation="0" wrapText="0" indent="0" justifyLastLine="0" shrinkToFit="0" readingOrder="0"/>
      <border diagonalUp="0" diagonalDown="0">
        <left style="thin">
          <color theme="2" tint="-9.9978637043366805E-2"/>
        </left>
      </border>
      <protection locked="1" hidden="0"/>
    </dxf>
    <dxf>
      <font>
        <b val="0"/>
        <i val="0"/>
        <strike val="0"/>
        <condense val="0"/>
        <extend val="0"/>
        <outline val="0"/>
        <shadow val="0"/>
        <u val="none"/>
        <vertAlign val="baseline"/>
        <sz val="10"/>
        <color theme="1"/>
        <name val="Calibri"/>
        <family val="2"/>
        <scheme val="minor"/>
      </font>
      <numFmt numFmtId="4" formatCode="#,##0.00"/>
      <alignment horizontal="righ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30" formatCode="@"/>
      <alignment horizontal="center" vertical="center"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protection locked="0" hidden="0"/>
    </dxf>
    <dxf>
      <font>
        <b val="0"/>
        <i val="0"/>
        <strike val="0"/>
        <condense val="0"/>
        <extend val="0"/>
        <outline val="0"/>
        <shadow val="0"/>
        <u val="none"/>
        <vertAlign val="baseline"/>
        <sz val="10"/>
        <color theme="1"/>
        <name val="Calibri"/>
        <family val="2"/>
        <scheme val="minor"/>
      </font>
      <numFmt numFmtId="4" formatCode="#,##0.00"/>
      <alignment horizontal="right" vertical="bottom" textRotation="0" wrapText="0" indent="0" justifyLastLine="0" shrinkToFit="0" readingOrder="0"/>
      <border diagonalUp="0" diagonalDown="0" outline="0">
        <left/>
        <right/>
        <top style="thin">
          <color theme="2" tint="-9.9978637043366805E-2"/>
        </top>
        <bottom style="thin">
          <color theme="2" tint="-9.9978637043366805E-2"/>
        </bottom>
      </border>
    </dxf>
    <dxf>
      <font>
        <b val="0"/>
        <i val="0"/>
        <strike val="0"/>
        <condense val="0"/>
        <extend val="0"/>
        <outline val="0"/>
        <shadow val="0"/>
        <u val="none"/>
        <vertAlign val="baseline"/>
        <sz val="10"/>
        <color rgb="FFFF99FF"/>
        <name val="Calibri"/>
        <family val="2"/>
        <scheme val="minor"/>
      </font>
      <numFmt numFmtId="0" formatCode="General"/>
      <alignment horizontal="righ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border>
      <protection locked="1" hidden="0"/>
    </dxf>
    <dxf>
      <font>
        <b val="0"/>
        <i val="0"/>
        <strike val="0"/>
        <condense val="0"/>
        <extend val="0"/>
        <outline val="0"/>
        <shadow val="0"/>
        <u val="none"/>
        <vertAlign val="baseline"/>
        <sz val="10"/>
        <color theme="1"/>
        <name val="Calibri"/>
        <family val="2"/>
        <scheme val="minor"/>
      </font>
      <numFmt numFmtId="4" formatCode="#,##0.00"/>
      <alignment horizontal="right" vertical="bottom" textRotation="0" wrapText="0" indent="0" justifyLastLine="0" shrinkToFit="0" readingOrder="0"/>
      <border diagonalUp="0" diagonalDown="0" outline="0">
        <left style="thin">
          <color theme="2" tint="-9.9978637043366805E-2"/>
        </left>
        <right/>
        <top style="thin">
          <color theme="2" tint="-9.9978637043366805E-2"/>
        </top>
        <bottom style="thin">
          <color theme="2" tint="-9.9978637043366805E-2"/>
        </bottom>
      </border>
    </dxf>
    <dxf>
      <font>
        <strike val="0"/>
        <outline val="0"/>
        <shadow val="0"/>
        <u val="none"/>
        <vertAlign val="baseline"/>
        <sz val="10"/>
        <name val="Calibri"/>
        <family val="2"/>
        <scheme val="minor"/>
      </font>
      <numFmt numFmtId="4" formatCode="#,##0.00"/>
      <alignment horizontal="right" vertical="bottom" textRotation="0" wrapText="0" indent="0" justifyLastLine="0" shrinkToFit="0" readingOrder="0"/>
      <border diagonalUp="0" diagonalDown="0">
        <left style="thin">
          <color theme="2" tint="-9.9978637043366805E-2"/>
        </left>
        <right/>
        <top style="thin">
          <color theme="2" tint="-9.9978637043366805E-2"/>
        </top>
        <bottom style="thin">
          <color theme="2" tint="-9.9978637043366805E-2"/>
        </bottom>
        <vertical/>
      </border>
      <protection locked="0" hidden="0"/>
    </dxf>
    <dxf>
      <font>
        <b val="0"/>
        <i val="0"/>
        <strike val="0"/>
        <condense val="0"/>
        <extend val="0"/>
        <outline val="0"/>
        <shadow val="0"/>
        <u val="none"/>
        <vertAlign val="baseline"/>
        <sz val="10"/>
        <color theme="1"/>
        <name val="Calibri"/>
        <family val="2"/>
        <scheme val="minor"/>
      </font>
      <numFmt numFmtId="4" formatCode="#,##0.00"/>
      <alignment horizontal="right" vertical="bottom" textRotation="0" wrapText="0" indent="0" justifyLastLine="0" shrinkToFit="0" readingOrder="0"/>
    </dxf>
    <dxf>
      <font>
        <strike val="0"/>
        <outline val="0"/>
        <shadow val="0"/>
        <u val="none"/>
        <vertAlign val="baseline"/>
        <sz val="10"/>
        <name val="Calibri"/>
        <family val="2"/>
        <scheme val="minor"/>
      </font>
      <numFmt numFmtId="4" formatCode="#,##0.00"/>
      <fill>
        <patternFill patternType="solid">
          <fgColor indexed="64"/>
          <bgColor theme="1" tint="0.499984740745262"/>
        </patternFill>
      </fill>
      <alignment horizontal="right" vertical="bottom" textRotation="0" wrapText="0" indent="0" justifyLastLine="0" shrinkToFit="0" readingOrder="0"/>
      <border diagonalUp="0" diagonalDown="0">
        <left style="thin">
          <color theme="2" tint="-9.9978637043366805E-2"/>
        </left>
      </border>
      <protection locked="1" hidden="0"/>
    </dxf>
    <dxf>
      <font>
        <b val="0"/>
        <i val="0"/>
        <strike val="0"/>
        <condense val="0"/>
        <extend val="0"/>
        <outline val="0"/>
        <shadow val="0"/>
        <u val="none"/>
        <vertAlign val="baseline"/>
        <sz val="10"/>
        <color theme="1"/>
        <name val="Calibri"/>
        <family val="2"/>
        <scheme val="minor"/>
      </font>
      <numFmt numFmtId="4" formatCode="#,##0.00"/>
      <alignment horizontal="righ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strike val="0"/>
        <outline val="0"/>
        <shadow val="0"/>
        <u val="none"/>
        <vertAlign val="baseline"/>
        <sz val="10"/>
        <color theme="1" tint="0.499984740745262"/>
        <name val="Calibri"/>
        <family val="2"/>
        <scheme val="minor"/>
      </font>
      <numFmt numFmtId="4" formatCode="#,##0.00"/>
      <alignment horizontal="righ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border>
      <protection locked="1" hidden="0"/>
    </dxf>
    <dxf>
      <font>
        <b val="0"/>
        <i val="0"/>
        <strike val="0"/>
        <condense val="0"/>
        <extend val="0"/>
        <outline val="0"/>
        <shadow val="0"/>
        <u val="none"/>
        <vertAlign val="baseline"/>
        <sz val="10"/>
        <color theme="1"/>
        <name val="Calibri"/>
        <family val="2"/>
        <scheme val="minor"/>
      </font>
      <numFmt numFmtId="4" formatCode="#,##0.00"/>
      <alignment horizontal="righ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strike val="0"/>
        <outline val="0"/>
        <shadow val="0"/>
        <u val="none"/>
        <vertAlign val="baseline"/>
        <sz val="10"/>
        <color theme="1" tint="0.499984740745262"/>
        <name val="Calibri"/>
        <family val="2"/>
        <scheme val="minor"/>
      </font>
      <numFmt numFmtId="4" formatCode="#,##0.00"/>
      <alignment horizontal="righ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border>
      <protection locked="1" hidden="0"/>
    </dxf>
    <dxf>
      <font>
        <b val="0"/>
        <i val="0"/>
        <strike val="0"/>
        <condense val="0"/>
        <extend val="0"/>
        <outline val="0"/>
        <shadow val="0"/>
        <u val="none"/>
        <vertAlign val="baseline"/>
        <sz val="10"/>
        <color theme="1"/>
        <name val="Calibri"/>
        <family val="2"/>
        <scheme val="minor"/>
      </font>
      <numFmt numFmtId="4" formatCode="#,##0.00"/>
      <alignment horizontal="right" vertical="bottom" textRotation="0" wrapText="0" indent="0" justifyLastLine="0" shrinkToFit="0" readingOrder="0"/>
      <border diagonalUp="0" diagonalDown="0" outline="0">
        <left/>
        <right style="thin">
          <color theme="2" tint="-9.9978637043366805E-2"/>
        </right>
        <top style="thin">
          <color theme="2" tint="-9.9978637043366805E-2"/>
        </top>
        <bottom style="thin">
          <color theme="2" tint="-9.9978637043366805E-2"/>
        </bottom>
      </border>
    </dxf>
    <dxf>
      <font>
        <strike val="0"/>
        <outline val="0"/>
        <shadow val="0"/>
        <u val="none"/>
        <vertAlign val="baseline"/>
        <sz val="10"/>
        <color theme="1" tint="0.499984740745262"/>
        <name val="Calibri"/>
        <family val="2"/>
        <scheme val="minor"/>
      </font>
      <numFmt numFmtId="4" formatCode="#,##0.00"/>
      <alignment horizontal="righ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protection locked="1" hidden="0"/>
    </dxf>
    <dxf>
      <font>
        <b val="0"/>
        <i val="0"/>
        <strike val="0"/>
        <condense val="0"/>
        <extend val="0"/>
        <outline val="0"/>
        <shadow val="0"/>
        <u val="none"/>
        <vertAlign val="baseline"/>
        <sz val="10"/>
        <color theme="1"/>
        <name val="Calibri"/>
        <family val="2"/>
        <scheme val="minor"/>
      </font>
      <numFmt numFmtId="4" formatCode="#,##0.00"/>
      <alignment horizontal="right" vertical="bottom" textRotation="0" wrapText="0" indent="0" justifyLastLine="0" shrinkToFit="0" readingOrder="0"/>
      <border diagonalUp="0" diagonalDown="0" outline="0">
        <left/>
        <right style="thin">
          <color theme="2" tint="-9.9978637043366805E-2"/>
        </right>
        <top/>
        <bottom/>
      </border>
    </dxf>
    <dxf>
      <font>
        <b val="0"/>
        <i val="0"/>
        <strike val="0"/>
        <condense val="0"/>
        <extend val="0"/>
        <outline val="0"/>
        <shadow val="0"/>
        <u val="none"/>
        <vertAlign val="baseline"/>
        <sz val="10"/>
        <color rgb="FFFF99FF"/>
        <name val="Calibri"/>
        <family val="2"/>
        <scheme val="minor"/>
      </font>
      <numFmt numFmtId="0" formatCode="General"/>
      <alignment horizontal="righ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border>
      <protection locked="1" hidden="0"/>
    </dxf>
    <dxf>
      <font>
        <b val="0"/>
        <i val="0"/>
        <strike val="0"/>
        <condense val="0"/>
        <extend val="0"/>
        <outline val="0"/>
        <shadow val="0"/>
        <u val="none"/>
        <vertAlign val="baseline"/>
        <sz val="10"/>
        <color theme="1"/>
        <name val="Calibri"/>
        <family val="2"/>
        <scheme val="minor"/>
      </font>
      <numFmt numFmtId="4" formatCode="#,##0.00"/>
      <alignment horizontal="right" vertical="bottom" textRotation="0" wrapText="0" indent="0" justifyLastLine="0" shrinkToFit="0" readingOrder="0"/>
    </dxf>
    <dxf>
      <font>
        <strike val="0"/>
        <outline val="0"/>
        <shadow val="0"/>
        <u val="none"/>
        <vertAlign val="baseline"/>
        <sz val="10"/>
        <name val="Calibri"/>
        <family val="2"/>
        <scheme val="minor"/>
      </font>
      <numFmt numFmtId="4" formatCode="#,##0.00"/>
      <alignment horizontal="right" vertical="bottom" textRotation="0" wrapText="0" indent="0" justifyLastLine="0" shrinkToFit="0" readingOrder="0"/>
      <border diagonalUp="0" diagonalDown="0">
        <left style="thin">
          <color theme="2" tint="-9.9978637043366805E-2"/>
        </left>
        <right/>
        <top style="thin">
          <color theme="2" tint="-9.9978637043366805E-2"/>
        </top>
        <bottom style="thin">
          <color theme="2" tint="-9.9978637043366805E-2"/>
        </bottom>
        <vertical/>
        <horizontal style="thin">
          <color theme="2" tint="-9.9978637043366805E-2"/>
        </horizontal>
      </border>
      <protection locked="0" hidden="0"/>
    </dxf>
    <dxf>
      <font>
        <b val="0"/>
        <i val="0"/>
        <strike val="0"/>
        <condense val="0"/>
        <extend val="0"/>
        <outline val="0"/>
        <shadow val="0"/>
        <u val="none"/>
        <vertAlign val="baseline"/>
        <sz val="10"/>
        <color theme="1"/>
        <name val="Calibri"/>
        <family val="2"/>
        <scheme val="minor"/>
      </font>
      <numFmt numFmtId="4" formatCode="#,##0.00"/>
      <alignment horizontal="righ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strike val="0"/>
        <outline val="0"/>
        <shadow val="0"/>
        <u val="none"/>
        <vertAlign val="baseline"/>
        <sz val="10"/>
        <name val="Calibri"/>
        <family val="2"/>
        <scheme val="minor"/>
      </font>
      <numFmt numFmtId="4" formatCode="#,##0.00"/>
      <alignment horizontal="righ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border>
      <protection locked="0" hidden="0"/>
    </dxf>
    <dxf>
      <border outline="0">
        <top style="thin">
          <color rgb="FFD0CECE"/>
        </top>
      </border>
    </dxf>
    <dxf>
      <font>
        <strike val="0"/>
        <outline val="0"/>
        <shadow val="0"/>
        <u val="none"/>
        <vertAlign val="baseline"/>
        <sz val="10"/>
        <name val="Calibri"/>
        <family val="2"/>
        <scheme val="none"/>
      </font>
      <numFmt numFmtId="4" formatCode="#,##0.00"/>
      <alignment horizontal="right" vertical="bottom" textRotation="0" wrapText="0" indent="0" justifyLastLine="0" shrinkToFit="0" readingOrder="0"/>
      <border diagonalUp="0" diagonalDown="0">
        <left style="thin">
          <color rgb="FFD0CECE"/>
        </left>
        <right style="thin">
          <color rgb="FFD0CECE"/>
        </right>
        <top/>
        <bottom/>
      </border>
      <protection locked="1" hidden="0"/>
    </dxf>
    <dxf>
      <border outline="0">
        <left style="thin">
          <color rgb="FFD0CECE"/>
        </left>
        <right style="thin">
          <color rgb="FFD0CECE"/>
        </right>
        <top style="thin">
          <color rgb="FFD0CECE"/>
        </top>
        <bottom style="thin">
          <color rgb="FFD0CECE"/>
        </bottom>
      </border>
    </dxf>
    <dxf>
      <font>
        <strike val="0"/>
        <outline val="0"/>
        <shadow val="0"/>
        <u val="none"/>
        <vertAlign val="baseline"/>
        <sz val="10"/>
        <name val="Calibri"/>
        <family val="2"/>
        <scheme val="none"/>
      </font>
      <numFmt numFmtId="4" formatCode="#,##0.00"/>
      <alignment horizontal="right" vertical="bottom" textRotation="0" wrapText="0" indent="0" justifyLastLine="0" shrinkToFit="0" readingOrder="0"/>
      <protection locked="1" hidden="0"/>
    </dxf>
    <dxf>
      <border outline="0">
        <bottom style="thin">
          <color rgb="FFD0CECE"/>
        </bottom>
      </border>
    </dxf>
    <dxf>
      <font>
        <b/>
        <i val="0"/>
        <strike val="0"/>
        <condense val="0"/>
        <extend val="0"/>
        <outline val="0"/>
        <shadow val="0"/>
        <u val="none"/>
        <vertAlign val="baseline"/>
        <sz val="10"/>
        <color theme="0"/>
        <name val="Calibri"/>
        <family val="2"/>
        <scheme val="minor"/>
      </font>
      <numFmt numFmtId="4" formatCode="#,##0.00"/>
      <fill>
        <patternFill patternType="solid">
          <fgColor indexed="64"/>
          <bgColor theme="1" tint="0.499984740745262"/>
        </patternFill>
      </fill>
      <alignment horizontal="center" vertical="bottom" textRotation="0" wrapText="0" indent="0" justifyLastLine="0" shrinkToFit="0" readingOrder="0"/>
      <border diagonalUp="0" diagonalDown="0">
        <left style="thin">
          <color theme="2" tint="-9.9978637043366805E-2"/>
        </left>
        <right style="thin">
          <color theme="2" tint="-9.9978637043366805E-2"/>
        </right>
        <top/>
        <bottom/>
      </border>
      <protection locked="1" hidden="0"/>
    </dxf>
    <dxf>
      <font>
        <b val="0"/>
        <i val="0"/>
        <strike val="0"/>
        <condense val="0"/>
        <extend val="0"/>
        <outline val="0"/>
        <shadow val="0"/>
        <u val="none"/>
        <vertAlign val="baseline"/>
        <sz val="10"/>
        <color theme="1"/>
        <name val="Calibri"/>
        <family val="2"/>
        <scheme val="minor"/>
      </font>
      <numFmt numFmtId="4" formatCode="#,##0.00"/>
      <alignment horizontal="right" vertical="bottom" textRotation="0" wrapText="0" indent="0" justifyLastLine="0" shrinkToFit="0" readingOrder="0"/>
      <border diagonalUp="0" diagonalDown="0" outline="0">
        <left/>
        <right style="thin">
          <color theme="2" tint="-9.9978637043366805E-2"/>
        </right>
        <top style="thin">
          <color theme="2" tint="-9.9978637043366805E-2"/>
        </top>
        <bottom style="thin">
          <color theme="2" tint="-9.9978637043366805E-2"/>
        </bottom>
      </border>
    </dxf>
    <dxf>
      <font>
        <strike val="0"/>
        <outline val="0"/>
        <shadow val="0"/>
        <u val="none"/>
        <vertAlign val="baseline"/>
        <sz val="10"/>
        <name val="Calibri"/>
        <family val="2"/>
        <scheme val="minor"/>
      </font>
      <numFmt numFmtId="4" formatCode="#,##0.00"/>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border>
      <protection locked="0" hidden="0"/>
    </dxf>
    <dxf>
      <font>
        <b val="0"/>
        <i val="0"/>
        <strike val="0"/>
        <condense val="0"/>
        <extend val="0"/>
        <outline val="0"/>
        <shadow val="0"/>
        <u val="none"/>
        <vertAlign val="baseline"/>
        <sz val="10"/>
        <color theme="1"/>
        <name val="Calibri"/>
        <family val="2"/>
        <scheme val="minor"/>
      </font>
      <numFmt numFmtId="4" formatCode="#,##0.00"/>
      <alignment horizontal="right" vertical="bottom" textRotation="0" wrapText="0" indent="0" justifyLastLine="0" shrinkToFit="0" readingOrder="0"/>
      <border diagonalUp="0" diagonalDown="0" outline="0">
        <left style="thin">
          <color theme="2" tint="-9.9978637043366805E-2"/>
        </left>
        <right/>
        <top style="thin">
          <color theme="2" tint="-9.9978637043366805E-2"/>
        </top>
        <bottom style="thin">
          <color theme="2" tint="-9.9978637043366805E-2"/>
        </bottom>
      </border>
    </dxf>
    <dxf>
      <font>
        <strike val="0"/>
        <outline val="0"/>
        <shadow val="0"/>
        <u val="none"/>
        <vertAlign val="baseline"/>
        <sz val="10"/>
        <name val="Calibri"/>
        <family val="2"/>
        <scheme val="minor"/>
      </font>
      <numFmt numFmtId="4" formatCode="#,##0.00"/>
      <alignment horizontal="righ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border>
      <protection locked="0" hidden="0"/>
    </dxf>
    <dxf>
      <font>
        <b val="0"/>
        <i val="0"/>
        <strike val="0"/>
        <condense val="0"/>
        <extend val="0"/>
        <outline val="0"/>
        <shadow val="0"/>
        <u val="none"/>
        <vertAlign val="baseline"/>
        <sz val="10"/>
        <color theme="1"/>
        <name val="Calibri"/>
        <family val="2"/>
        <scheme val="minor"/>
      </font>
      <numFmt numFmtId="4" formatCode="#,##0.00"/>
      <alignment horizontal="right" vertical="bottom" textRotation="0" wrapText="0" indent="0" justifyLastLine="0" shrinkToFit="0" readingOrder="0"/>
      <border diagonalUp="0" diagonalDown="0" outline="0">
        <left style="thin">
          <color theme="2" tint="-9.9978637043366805E-2"/>
        </left>
        <right style="thin">
          <color theme="2" tint="-9.9978637043366805E-2"/>
        </right>
        <top/>
        <bottom/>
      </border>
    </dxf>
    <dxf>
      <font>
        <strike val="0"/>
        <outline val="0"/>
        <shadow val="0"/>
        <u val="none"/>
        <vertAlign val="baseline"/>
        <sz val="10"/>
        <name val="Calibri"/>
        <family val="2"/>
        <scheme val="minor"/>
      </font>
      <numFmt numFmtId="4" formatCode="#,##0.00"/>
      <fill>
        <patternFill patternType="solid">
          <fgColor indexed="64"/>
          <bgColor theme="1" tint="0.499984740745262"/>
        </patternFill>
      </fill>
      <alignment horizontal="right" vertical="bottom" textRotation="0" wrapText="0" indent="0" justifyLastLine="0" shrinkToFit="0" readingOrder="0"/>
      <border diagonalUp="0" diagonalDown="0">
        <left style="thin">
          <color theme="2" tint="-9.9978637043366805E-2"/>
        </left>
      </border>
      <protection locked="1" hidden="0"/>
    </dxf>
    <dxf>
      <font>
        <b val="0"/>
        <i val="0"/>
        <strike val="0"/>
        <condense val="0"/>
        <extend val="0"/>
        <outline val="0"/>
        <shadow val="0"/>
        <u val="none"/>
        <vertAlign val="baseline"/>
        <sz val="10"/>
        <color theme="1"/>
        <name val="Calibri"/>
        <family val="2"/>
        <scheme val="minor"/>
      </font>
      <numFmt numFmtId="4" formatCode="#,##0.00"/>
      <alignment horizontal="righ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numFmt numFmtId="30" formatCode="@"/>
      <alignment horizontal="center" vertical="center"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protection locked="0" hidden="0"/>
    </dxf>
    <dxf>
      <font>
        <b val="0"/>
        <i val="0"/>
        <strike val="0"/>
        <condense val="0"/>
        <extend val="0"/>
        <outline val="0"/>
        <shadow val="0"/>
        <u val="none"/>
        <vertAlign val="baseline"/>
        <sz val="10"/>
        <color theme="1"/>
        <name val="Calibri"/>
        <family val="2"/>
        <scheme val="minor"/>
      </font>
      <numFmt numFmtId="4" formatCode="#,##0.00"/>
      <alignment horizontal="right" vertical="bottom" textRotation="0" wrapText="0" indent="0" justifyLastLine="0" shrinkToFit="0" readingOrder="0"/>
      <border diagonalUp="0" diagonalDown="0" outline="0">
        <left/>
        <right/>
        <top style="thin">
          <color theme="2" tint="-9.9978637043366805E-2"/>
        </top>
        <bottom style="thin">
          <color theme="2" tint="-9.9978637043366805E-2"/>
        </bottom>
      </border>
    </dxf>
    <dxf>
      <font>
        <b val="0"/>
        <i val="0"/>
        <strike val="0"/>
        <condense val="0"/>
        <extend val="0"/>
        <outline val="0"/>
        <shadow val="0"/>
        <u val="none"/>
        <vertAlign val="baseline"/>
        <sz val="10"/>
        <color rgb="FFFF99FF"/>
        <name val="Calibri"/>
        <family val="2"/>
        <scheme val="minor"/>
      </font>
      <numFmt numFmtId="0" formatCode="General"/>
      <alignment horizontal="righ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border>
      <protection locked="1" hidden="0"/>
    </dxf>
    <dxf>
      <font>
        <b val="0"/>
        <i val="0"/>
        <strike val="0"/>
        <condense val="0"/>
        <extend val="0"/>
        <outline val="0"/>
        <shadow val="0"/>
        <u val="none"/>
        <vertAlign val="baseline"/>
        <sz val="10"/>
        <color theme="1"/>
        <name val="Calibri"/>
        <family val="2"/>
        <scheme val="minor"/>
      </font>
      <numFmt numFmtId="4" formatCode="#,##0.00"/>
      <alignment horizontal="right" vertical="bottom" textRotation="0" wrapText="0" indent="0" justifyLastLine="0" shrinkToFit="0" readingOrder="0"/>
      <border diagonalUp="0" diagonalDown="0" outline="0">
        <left style="thin">
          <color theme="2" tint="-9.9978637043366805E-2"/>
        </left>
        <right/>
        <top style="thin">
          <color theme="2" tint="-9.9978637043366805E-2"/>
        </top>
        <bottom style="thin">
          <color theme="2" tint="-9.9978637043366805E-2"/>
        </bottom>
      </border>
    </dxf>
    <dxf>
      <font>
        <strike val="0"/>
        <outline val="0"/>
        <shadow val="0"/>
        <u val="none"/>
        <vertAlign val="baseline"/>
        <sz val="10"/>
        <name val="Calibri"/>
        <family val="2"/>
        <scheme val="minor"/>
      </font>
      <numFmt numFmtId="4" formatCode="#,##0.00"/>
      <alignment horizontal="right" vertical="bottom" textRotation="0" wrapText="0" indent="0" justifyLastLine="0" shrinkToFit="0" readingOrder="0"/>
      <border diagonalUp="0" diagonalDown="0">
        <left style="thin">
          <color theme="2" tint="-9.9978637043366805E-2"/>
        </left>
        <right/>
        <top style="thin">
          <color theme="2" tint="-9.9978637043366805E-2"/>
        </top>
        <bottom style="thin">
          <color theme="2" tint="-9.9978637043366805E-2"/>
        </bottom>
        <vertical/>
      </border>
      <protection locked="0" hidden="0"/>
    </dxf>
    <dxf>
      <font>
        <b val="0"/>
        <i val="0"/>
        <strike val="0"/>
        <condense val="0"/>
        <extend val="0"/>
        <outline val="0"/>
        <shadow val="0"/>
        <u val="none"/>
        <vertAlign val="baseline"/>
        <sz val="10"/>
        <color theme="1"/>
        <name val="Calibri"/>
        <family val="2"/>
        <scheme val="minor"/>
      </font>
      <numFmt numFmtId="4" formatCode="#,##0.00"/>
      <alignment horizontal="right" vertical="bottom" textRotation="0" wrapText="0" indent="0" justifyLastLine="0" shrinkToFit="0" readingOrder="0"/>
    </dxf>
    <dxf>
      <font>
        <strike val="0"/>
        <outline val="0"/>
        <shadow val="0"/>
        <u val="none"/>
        <vertAlign val="baseline"/>
        <sz val="10"/>
        <name val="Calibri"/>
        <family val="2"/>
        <scheme val="minor"/>
      </font>
      <numFmt numFmtId="4" formatCode="#,##0.00"/>
      <fill>
        <patternFill patternType="solid">
          <fgColor indexed="64"/>
          <bgColor theme="1" tint="0.499984740745262"/>
        </patternFill>
      </fill>
      <alignment horizontal="right" vertical="bottom" textRotation="0" wrapText="0" indent="0" justifyLastLine="0" shrinkToFit="0" readingOrder="0"/>
      <border diagonalUp="0" diagonalDown="0">
        <left style="thin">
          <color theme="2" tint="-9.9978637043366805E-2"/>
        </left>
      </border>
      <protection locked="1" hidden="0"/>
    </dxf>
    <dxf>
      <font>
        <b val="0"/>
        <i val="0"/>
        <strike val="0"/>
        <condense val="0"/>
        <extend val="0"/>
        <outline val="0"/>
        <shadow val="0"/>
        <u val="none"/>
        <vertAlign val="baseline"/>
        <sz val="10"/>
        <color theme="1"/>
        <name val="Calibri"/>
        <family val="2"/>
        <scheme val="minor"/>
      </font>
      <numFmt numFmtId="4" formatCode="#,##0.00"/>
      <alignment horizontal="righ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strike val="0"/>
        <outline val="0"/>
        <shadow val="0"/>
        <u val="none"/>
        <vertAlign val="baseline"/>
        <sz val="10"/>
        <color theme="1" tint="0.499984740745262"/>
        <name val="Calibri"/>
        <family val="2"/>
        <scheme val="minor"/>
      </font>
      <numFmt numFmtId="4" formatCode="#,##0.00"/>
      <alignment horizontal="righ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border>
      <protection locked="1" hidden="0"/>
    </dxf>
    <dxf>
      <font>
        <b val="0"/>
        <i val="0"/>
        <strike val="0"/>
        <condense val="0"/>
        <extend val="0"/>
        <outline val="0"/>
        <shadow val="0"/>
        <u val="none"/>
        <vertAlign val="baseline"/>
        <sz val="10"/>
        <color theme="1"/>
        <name val="Calibri"/>
        <family val="2"/>
        <scheme val="minor"/>
      </font>
      <numFmt numFmtId="4" formatCode="#,##0.00"/>
      <alignment horizontal="righ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strike val="0"/>
        <outline val="0"/>
        <shadow val="0"/>
        <u val="none"/>
        <vertAlign val="baseline"/>
        <sz val="10"/>
        <color theme="1" tint="0.499984740745262"/>
        <name val="Calibri"/>
        <family val="2"/>
        <scheme val="minor"/>
      </font>
      <numFmt numFmtId="4" formatCode="#,##0.00"/>
      <alignment horizontal="righ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border>
      <protection locked="1" hidden="0"/>
    </dxf>
    <dxf>
      <font>
        <b val="0"/>
        <i val="0"/>
        <strike val="0"/>
        <condense val="0"/>
        <extend val="0"/>
        <outline val="0"/>
        <shadow val="0"/>
        <u val="none"/>
        <vertAlign val="baseline"/>
        <sz val="10"/>
        <color theme="1"/>
        <name val="Calibri"/>
        <family val="2"/>
        <scheme val="minor"/>
      </font>
      <numFmt numFmtId="4" formatCode="#,##0.00"/>
      <alignment horizontal="right" vertical="bottom" textRotation="0" wrapText="0" indent="0" justifyLastLine="0" shrinkToFit="0" readingOrder="0"/>
      <border diagonalUp="0" diagonalDown="0" outline="0">
        <left/>
        <right style="thin">
          <color theme="2" tint="-9.9978637043366805E-2"/>
        </right>
        <top style="thin">
          <color theme="2" tint="-9.9978637043366805E-2"/>
        </top>
        <bottom style="thin">
          <color theme="2" tint="-9.9978637043366805E-2"/>
        </bottom>
      </border>
    </dxf>
    <dxf>
      <font>
        <strike val="0"/>
        <outline val="0"/>
        <shadow val="0"/>
        <u val="none"/>
        <vertAlign val="baseline"/>
        <sz val="10"/>
        <color theme="1" tint="0.499984740745262"/>
        <name val="Calibri"/>
        <family val="2"/>
        <scheme val="minor"/>
      </font>
      <numFmt numFmtId="4" formatCode="#,##0.00"/>
      <alignment horizontal="righ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protection locked="1" hidden="0"/>
    </dxf>
    <dxf>
      <font>
        <b val="0"/>
        <i val="0"/>
        <strike val="0"/>
        <condense val="0"/>
        <extend val="0"/>
        <outline val="0"/>
        <shadow val="0"/>
        <u val="none"/>
        <vertAlign val="baseline"/>
        <sz val="10"/>
        <color theme="1"/>
        <name val="Calibri"/>
        <family val="2"/>
        <scheme val="minor"/>
      </font>
      <numFmt numFmtId="4" formatCode="#,##0.00"/>
      <alignment horizontal="right" vertical="bottom" textRotation="0" wrapText="0" indent="0" justifyLastLine="0" shrinkToFit="0" readingOrder="0"/>
      <border diagonalUp="0" diagonalDown="0" outline="0">
        <left/>
        <right style="thin">
          <color theme="2" tint="-9.9978637043366805E-2"/>
        </right>
        <top style="thin">
          <color theme="2" tint="-9.9978637043366805E-2"/>
        </top>
        <bottom style="thin">
          <color theme="2" tint="-9.9978637043366805E-2"/>
        </bottom>
      </border>
    </dxf>
    <dxf>
      <font>
        <b val="0"/>
        <i val="0"/>
        <strike val="0"/>
        <condense val="0"/>
        <extend val="0"/>
        <outline val="0"/>
        <shadow val="0"/>
        <u val="none"/>
        <vertAlign val="baseline"/>
        <sz val="10"/>
        <color rgb="FFFF99FF"/>
        <name val="Calibri"/>
        <family val="2"/>
        <scheme val="minor"/>
      </font>
      <numFmt numFmtId="0" formatCode="General"/>
      <alignment horizontal="righ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border>
      <protection locked="1" hidden="0"/>
    </dxf>
    <dxf>
      <font>
        <b val="0"/>
        <i val="0"/>
        <strike val="0"/>
        <condense val="0"/>
        <extend val="0"/>
        <outline val="0"/>
        <shadow val="0"/>
        <u val="none"/>
        <vertAlign val="baseline"/>
        <sz val="10"/>
        <color theme="1"/>
        <name val="Calibri"/>
        <family val="2"/>
        <scheme val="minor"/>
      </font>
      <numFmt numFmtId="4" formatCode="#,##0.00"/>
      <alignment horizontal="right" vertical="bottom" textRotation="0" wrapText="0" indent="0" justifyLastLine="0" shrinkToFit="0" readingOrder="0"/>
      <border diagonalUp="0" diagonalDown="0" outline="0">
        <left style="thin">
          <color theme="2" tint="-9.9978637043366805E-2"/>
        </left>
        <right/>
        <top style="thin">
          <color theme="2" tint="-9.9978637043366805E-2"/>
        </top>
        <bottom style="thin">
          <color theme="2" tint="-9.9978637043366805E-2"/>
        </bottom>
      </border>
    </dxf>
    <dxf>
      <font>
        <strike val="0"/>
        <outline val="0"/>
        <shadow val="0"/>
        <u val="none"/>
        <vertAlign val="baseline"/>
        <sz val="10"/>
        <name val="Calibri"/>
        <family val="2"/>
        <scheme val="minor"/>
      </font>
      <numFmt numFmtId="4" formatCode="#,##0.00"/>
      <alignment horizontal="right" vertical="bottom" textRotation="0" wrapText="0" indent="0" justifyLastLine="0" shrinkToFit="0" readingOrder="0"/>
      <border diagonalUp="0" diagonalDown="0">
        <left style="thin">
          <color theme="2" tint="-9.9978637043366805E-2"/>
        </left>
        <right/>
        <top style="thin">
          <color theme="2" tint="-9.9978637043366805E-2"/>
        </top>
        <bottom style="thin">
          <color theme="2" tint="-9.9978637043366805E-2"/>
        </bottom>
        <vertical/>
      </border>
      <protection locked="0" hidden="0"/>
    </dxf>
    <dxf>
      <font>
        <b val="0"/>
        <i val="0"/>
        <strike val="0"/>
        <condense val="0"/>
        <extend val="0"/>
        <outline val="0"/>
        <shadow val="0"/>
        <u val="none"/>
        <vertAlign val="baseline"/>
        <sz val="10"/>
        <color theme="1"/>
        <name val="Calibri"/>
        <family val="2"/>
        <scheme val="minor"/>
      </font>
      <numFmt numFmtId="4" formatCode="#,##0.00"/>
      <alignment horizontal="righ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strike val="0"/>
        <outline val="0"/>
        <shadow val="0"/>
        <u val="none"/>
        <vertAlign val="baseline"/>
        <sz val="10"/>
        <name val="Calibri"/>
        <family val="2"/>
        <scheme val="minor"/>
      </font>
      <numFmt numFmtId="4" formatCode="#,##0.00"/>
      <alignment horizontal="righ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border>
      <protection locked="0" hidden="0"/>
    </dxf>
    <dxf>
      <border outline="0">
        <top style="thin">
          <color rgb="FFD0CECE"/>
        </top>
      </border>
    </dxf>
    <dxf>
      <font>
        <strike val="0"/>
        <outline val="0"/>
        <shadow val="0"/>
        <u val="none"/>
        <vertAlign val="baseline"/>
        <sz val="10"/>
        <name val="Calibri"/>
        <family val="2"/>
        <scheme val="none"/>
      </font>
      <numFmt numFmtId="4" formatCode="#,##0.00"/>
      <alignment horizontal="right" vertical="bottom" textRotation="0" wrapText="0" indent="0" justifyLastLine="0" shrinkToFit="0" readingOrder="0"/>
      <border diagonalUp="0" diagonalDown="0">
        <left style="thin">
          <color rgb="FFD0CECE"/>
        </left>
        <right style="thin">
          <color rgb="FFD0CECE"/>
        </right>
        <top/>
        <bottom/>
      </border>
      <protection locked="1" hidden="0"/>
    </dxf>
    <dxf>
      <border outline="0">
        <left style="thin">
          <color rgb="FFD0CECE"/>
        </left>
        <right style="thin">
          <color rgb="FFD0CECE"/>
        </right>
        <top style="thin">
          <color rgb="FFD0CECE"/>
        </top>
        <bottom style="thin">
          <color rgb="FFD0CECE"/>
        </bottom>
      </border>
    </dxf>
    <dxf>
      <font>
        <strike val="0"/>
        <outline val="0"/>
        <shadow val="0"/>
        <u val="none"/>
        <vertAlign val="baseline"/>
        <sz val="10"/>
        <name val="Calibri"/>
        <family val="2"/>
        <scheme val="none"/>
      </font>
      <numFmt numFmtId="4" formatCode="#,##0.00"/>
      <alignment horizontal="right" vertical="bottom" textRotation="0" wrapText="0" indent="0" justifyLastLine="0" shrinkToFit="0" readingOrder="0"/>
      <protection locked="1" hidden="0"/>
    </dxf>
    <dxf>
      <border outline="0">
        <bottom style="thin">
          <color rgb="FFD0CECE"/>
        </bottom>
      </border>
    </dxf>
    <dxf>
      <font>
        <b/>
        <i val="0"/>
        <strike val="0"/>
        <condense val="0"/>
        <extend val="0"/>
        <outline val="0"/>
        <shadow val="0"/>
        <u val="none"/>
        <vertAlign val="baseline"/>
        <sz val="10"/>
        <color theme="0"/>
        <name val="Calibri"/>
        <family val="2"/>
        <scheme val="minor"/>
      </font>
      <numFmt numFmtId="4" formatCode="#,##0.00"/>
      <fill>
        <patternFill patternType="solid">
          <fgColor indexed="64"/>
          <bgColor theme="1" tint="0.499984740745262"/>
        </patternFill>
      </fill>
      <alignment horizontal="center" vertical="bottom" textRotation="0" wrapText="0" indent="0" justifyLastLine="0" shrinkToFit="0" readingOrder="0"/>
      <border diagonalUp="0" diagonalDown="0">
        <left style="thin">
          <color theme="2" tint="-9.9978637043366805E-2"/>
        </left>
        <right style="thin">
          <color theme="2" tint="-9.9978637043366805E-2"/>
        </right>
        <top/>
        <bottom/>
      </border>
      <protection locked="1" hidden="0"/>
    </dxf>
    <dxf>
      <font>
        <b val="0"/>
        <i val="0"/>
        <strike val="0"/>
        <condense val="0"/>
        <extend val="0"/>
        <outline val="0"/>
        <shadow val="0"/>
        <u val="none"/>
        <vertAlign val="baseline"/>
        <sz val="10"/>
        <color theme="1"/>
        <name val="Calibri"/>
        <family val="2"/>
        <scheme val="minor"/>
      </font>
      <numFmt numFmtId="4" formatCode="#,##0.00"/>
      <alignment horizontal="right" vertical="bottom" textRotation="0" wrapText="0" indent="0" justifyLastLine="0" shrinkToFit="1" readingOrder="0"/>
      <border diagonalUp="0" diagonalDown="0" outline="0">
        <left/>
        <right style="thin">
          <color theme="2" tint="-9.9978637043366805E-2"/>
        </right>
        <top style="thin">
          <color theme="2" tint="-9.9978637043366805E-2"/>
        </top>
        <bottom style="thin">
          <color theme="2" tint="-9.9978637043366805E-2"/>
        </bottom>
      </border>
    </dxf>
    <dxf>
      <font>
        <strike val="0"/>
        <outline val="0"/>
        <shadow val="0"/>
        <u val="none"/>
        <vertAlign val="baseline"/>
        <sz val="10"/>
        <name val="Calibri"/>
        <family val="2"/>
        <scheme val="minor"/>
      </font>
      <numFmt numFmtId="4" formatCode="#,##0.00"/>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border>
      <protection locked="0" hidden="0"/>
    </dxf>
    <dxf>
      <font>
        <b val="0"/>
        <i val="0"/>
        <strike val="0"/>
        <condense val="0"/>
        <extend val="0"/>
        <outline val="0"/>
        <shadow val="0"/>
        <u val="none"/>
        <vertAlign val="baseline"/>
        <sz val="10"/>
        <color theme="1"/>
        <name val="Calibri"/>
        <family val="2"/>
        <scheme val="minor"/>
      </font>
      <numFmt numFmtId="4" formatCode="#,##0.00"/>
      <alignment horizontal="right" vertical="bottom" textRotation="0" wrapText="0" indent="0" justifyLastLine="0" shrinkToFit="1" readingOrder="0"/>
      <border diagonalUp="0" diagonalDown="0" outline="0">
        <left style="thin">
          <color theme="2" tint="-9.9978637043366805E-2"/>
        </left>
        <right/>
        <top style="thin">
          <color theme="2" tint="-9.9978637043366805E-2"/>
        </top>
        <bottom style="thin">
          <color theme="2" tint="-9.9978637043366805E-2"/>
        </bottom>
      </border>
    </dxf>
    <dxf>
      <font>
        <strike val="0"/>
        <outline val="0"/>
        <shadow val="0"/>
        <u val="none"/>
        <vertAlign val="baseline"/>
        <sz val="10"/>
        <name val="Calibri"/>
        <family val="2"/>
        <scheme val="minor"/>
      </font>
      <numFmt numFmtId="4" formatCode="#,##0.00"/>
      <alignment horizontal="right" vertical="bottom" textRotation="0" wrapText="0" indent="0" justifyLastLine="0" shrinkToFit="1"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border>
      <protection locked="0" hidden="0"/>
    </dxf>
    <dxf>
      <font>
        <b val="0"/>
        <i val="0"/>
        <strike val="0"/>
        <condense val="0"/>
        <extend val="0"/>
        <outline val="0"/>
        <shadow val="0"/>
        <u val="none"/>
        <vertAlign val="baseline"/>
        <sz val="10"/>
        <color theme="1"/>
        <name val="Calibri"/>
        <family val="2"/>
        <scheme val="minor"/>
      </font>
      <numFmt numFmtId="4" formatCode="#,##0.00"/>
      <alignment horizontal="right" vertical="bottom" textRotation="0" wrapText="0" indent="0" justifyLastLine="0" shrinkToFit="1" readingOrder="0"/>
      <border diagonalUp="0" diagonalDown="0" outline="0">
        <left style="thin">
          <color theme="2" tint="-9.9978637043366805E-2"/>
        </left>
        <right style="thin">
          <color theme="2" tint="-9.9978637043366805E-2"/>
        </right>
        <top/>
        <bottom/>
      </border>
    </dxf>
    <dxf>
      <font>
        <strike val="0"/>
        <outline val="0"/>
        <shadow val="0"/>
        <u val="none"/>
        <vertAlign val="baseline"/>
        <sz val="10"/>
        <name val="Calibri"/>
        <family val="2"/>
        <scheme val="minor"/>
      </font>
      <numFmt numFmtId="4" formatCode="#,##0.00"/>
      <fill>
        <patternFill patternType="solid">
          <fgColor indexed="64"/>
          <bgColor theme="5" tint="-0.249977111117893"/>
        </patternFill>
      </fill>
      <alignment horizontal="right" vertical="bottom" textRotation="0" wrapText="0" indent="0" justifyLastLine="0" shrinkToFit="1" readingOrder="0"/>
      <border diagonalUp="0" diagonalDown="0">
        <left style="thin">
          <color theme="2" tint="-9.9978637043366805E-2"/>
        </left>
      </border>
      <protection locked="1" hidden="0"/>
    </dxf>
    <dxf>
      <font>
        <b val="0"/>
        <i val="0"/>
        <strike val="0"/>
        <condense val="0"/>
        <extend val="0"/>
        <outline val="0"/>
        <shadow val="0"/>
        <u val="none"/>
        <vertAlign val="baseline"/>
        <sz val="10"/>
        <color theme="1"/>
        <name val="Calibri"/>
        <family val="2"/>
        <scheme val="minor"/>
      </font>
      <numFmt numFmtId="4" formatCode="#,##0.00"/>
      <alignment horizontal="right" vertical="bottom" textRotation="0" wrapText="0" indent="0" justifyLastLine="0" shrinkToFit="1" readingOrder="0"/>
    </dxf>
    <dxf>
      <font>
        <b val="0"/>
        <i val="0"/>
        <strike val="0"/>
        <condense val="0"/>
        <extend val="0"/>
        <outline val="0"/>
        <shadow val="0"/>
        <u val="none"/>
        <vertAlign val="baseline"/>
        <sz val="10"/>
        <color theme="1"/>
        <name val="Calibri"/>
        <family val="2"/>
        <scheme val="minor"/>
      </font>
      <numFmt numFmtId="30" formatCode="@"/>
      <alignment horizontal="center" vertical="center" textRotation="0" wrapText="0" indent="0" justifyLastLine="0" shrinkToFit="1"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protection locked="0" hidden="0"/>
    </dxf>
    <dxf>
      <font>
        <b val="0"/>
        <i val="0"/>
        <strike val="0"/>
        <condense val="0"/>
        <extend val="0"/>
        <outline val="0"/>
        <shadow val="0"/>
        <u val="none"/>
        <vertAlign val="baseline"/>
        <sz val="10"/>
        <color theme="1"/>
        <name val="Calibri"/>
        <family val="2"/>
        <scheme val="minor"/>
      </font>
      <numFmt numFmtId="4" formatCode="#,##0.00"/>
      <alignment horizontal="right" vertical="bottom" textRotation="0" wrapText="0" indent="0" justifyLastLine="0" shrinkToFit="1" readingOrder="0"/>
      <border diagonalUp="0" diagonalDown="0" outline="0">
        <left/>
        <right/>
        <top style="thin">
          <color theme="2" tint="-9.9978637043366805E-2"/>
        </top>
        <bottom style="thin">
          <color theme="2" tint="-9.9978637043366805E-2"/>
        </bottom>
      </border>
    </dxf>
    <dxf>
      <font>
        <b val="0"/>
        <i val="0"/>
        <strike val="0"/>
        <condense val="0"/>
        <extend val="0"/>
        <outline val="0"/>
        <shadow val="0"/>
        <u val="none"/>
        <vertAlign val="baseline"/>
        <sz val="10"/>
        <color rgb="FFFF99FF"/>
        <name val="Calibri"/>
        <family val="2"/>
        <scheme val="minor"/>
      </font>
      <numFmt numFmtId="0" formatCode="General"/>
      <alignment horizontal="righ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border>
      <protection locked="1" hidden="0"/>
    </dxf>
    <dxf>
      <font>
        <b val="0"/>
        <i val="0"/>
        <strike val="0"/>
        <condense val="0"/>
        <extend val="0"/>
        <outline val="0"/>
        <shadow val="0"/>
        <u val="none"/>
        <vertAlign val="baseline"/>
        <sz val="10"/>
        <color theme="1"/>
        <name val="Calibri"/>
        <family val="2"/>
        <scheme val="minor"/>
      </font>
      <numFmt numFmtId="4" formatCode="#,##0.00"/>
      <alignment horizontal="right" vertical="bottom" textRotation="0" wrapText="0" indent="0" justifyLastLine="0" shrinkToFit="1" readingOrder="0"/>
      <border diagonalUp="0" diagonalDown="0" outline="0">
        <left style="thin">
          <color theme="2" tint="-9.9978637043366805E-2"/>
        </left>
        <right/>
        <top style="thin">
          <color theme="2" tint="-9.9978637043366805E-2"/>
        </top>
        <bottom style="thin">
          <color theme="2" tint="-9.9978637043366805E-2"/>
        </bottom>
      </border>
    </dxf>
    <dxf>
      <font>
        <strike val="0"/>
        <outline val="0"/>
        <shadow val="0"/>
        <u val="none"/>
        <vertAlign val="baseline"/>
        <sz val="10"/>
        <name val="Calibri"/>
        <family val="2"/>
        <scheme val="minor"/>
      </font>
      <numFmt numFmtId="4" formatCode="#,##0.00"/>
      <alignment horizontal="right" vertical="bottom" textRotation="0" wrapText="0" indent="0" justifyLastLine="0" shrinkToFit="1" readingOrder="0"/>
      <border diagonalUp="0" diagonalDown="0">
        <left style="thin">
          <color theme="2" tint="-9.9978637043366805E-2"/>
        </left>
        <right/>
        <top style="thin">
          <color theme="2" tint="-9.9978637043366805E-2"/>
        </top>
        <bottom style="thin">
          <color theme="2" tint="-9.9978637043366805E-2"/>
        </bottom>
        <vertical/>
      </border>
      <protection locked="0" hidden="0"/>
    </dxf>
    <dxf>
      <font>
        <b val="0"/>
        <i val="0"/>
        <strike val="0"/>
        <condense val="0"/>
        <extend val="0"/>
        <outline val="0"/>
        <shadow val="0"/>
        <u val="none"/>
        <vertAlign val="baseline"/>
        <sz val="10"/>
        <color theme="1"/>
        <name val="Calibri"/>
        <family val="2"/>
        <scheme val="minor"/>
      </font>
      <numFmt numFmtId="4" formatCode="#,##0.00"/>
      <alignment horizontal="right" vertical="bottom" textRotation="0" wrapText="0" indent="0" justifyLastLine="0" shrinkToFit="1" readingOrder="0"/>
    </dxf>
    <dxf>
      <font>
        <strike val="0"/>
        <outline val="0"/>
        <shadow val="0"/>
        <u val="none"/>
        <vertAlign val="baseline"/>
        <sz val="10"/>
        <name val="Calibri"/>
        <family val="2"/>
        <scheme val="minor"/>
      </font>
      <numFmt numFmtId="4" formatCode="#,##0.00"/>
      <fill>
        <patternFill patternType="solid">
          <fgColor indexed="64"/>
          <bgColor theme="5" tint="-0.249977111117893"/>
        </patternFill>
      </fill>
      <alignment horizontal="right" vertical="bottom" textRotation="0" wrapText="0" indent="0" justifyLastLine="0" shrinkToFit="1" readingOrder="0"/>
      <border diagonalUp="0" diagonalDown="0">
        <left style="thin">
          <color theme="2" tint="-9.9978637043366805E-2"/>
        </left>
      </border>
      <protection locked="1" hidden="0"/>
    </dxf>
    <dxf>
      <font>
        <b val="0"/>
        <i val="0"/>
        <strike val="0"/>
        <condense val="0"/>
        <extend val="0"/>
        <outline val="0"/>
        <shadow val="0"/>
        <u val="none"/>
        <vertAlign val="baseline"/>
        <sz val="10"/>
        <color theme="1"/>
        <name val="Calibri"/>
        <family val="2"/>
        <scheme val="minor"/>
      </font>
      <numFmt numFmtId="4" formatCode="#,##0.00"/>
      <alignment horizontal="right" vertical="bottom" textRotation="0" wrapText="0" indent="0" justifyLastLine="0" shrinkToFit="1"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strike val="0"/>
        <outline val="0"/>
        <shadow val="0"/>
        <u val="none"/>
        <vertAlign val="baseline"/>
        <sz val="10"/>
        <color theme="1" tint="0.499984740745262"/>
        <name val="Calibri"/>
        <family val="2"/>
        <scheme val="minor"/>
      </font>
      <numFmt numFmtId="4" formatCode="#,##0.00"/>
      <alignment horizontal="right" vertical="bottom" textRotation="0" wrapText="0" indent="0" justifyLastLine="0" shrinkToFit="1"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border>
      <protection locked="1" hidden="0"/>
    </dxf>
    <dxf>
      <font>
        <b val="0"/>
        <i val="0"/>
        <strike val="0"/>
        <condense val="0"/>
        <extend val="0"/>
        <outline val="0"/>
        <shadow val="0"/>
        <u val="none"/>
        <vertAlign val="baseline"/>
        <sz val="10"/>
        <color theme="1"/>
        <name val="Calibri"/>
        <family val="2"/>
        <scheme val="minor"/>
      </font>
      <numFmt numFmtId="4" formatCode="#,##0.00"/>
      <alignment horizontal="right" vertical="bottom" textRotation="0" wrapText="0" indent="0" justifyLastLine="0" shrinkToFit="1"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strike val="0"/>
        <outline val="0"/>
        <shadow val="0"/>
        <u val="none"/>
        <vertAlign val="baseline"/>
        <sz val="10"/>
        <color theme="1" tint="0.499984740745262"/>
        <name val="Calibri"/>
        <family val="2"/>
        <scheme val="minor"/>
      </font>
      <numFmt numFmtId="4" formatCode="#,##0.00"/>
      <alignment horizontal="right" vertical="bottom" textRotation="0" wrapText="0" indent="0" justifyLastLine="0" shrinkToFit="1"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border>
      <protection locked="1" hidden="0"/>
    </dxf>
    <dxf>
      <font>
        <b val="0"/>
        <i val="0"/>
        <strike val="0"/>
        <condense val="0"/>
        <extend val="0"/>
        <outline val="0"/>
        <shadow val="0"/>
        <u val="none"/>
        <vertAlign val="baseline"/>
        <sz val="10"/>
        <color theme="1"/>
        <name val="Calibri"/>
        <family val="2"/>
        <scheme val="minor"/>
      </font>
      <numFmt numFmtId="4" formatCode="#,##0.00"/>
      <alignment horizontal="right" vertical="bottom" textRotation="0" wrapText="0" indent="0" justifyLastLine="0" shrinkToFit="1" readingOrder="0"/>
      <border diagonalUp="0" diagonalDown="0" outline="0">
        <left/>
        <right style="thin">
          <color theme="2" tint="-9.9978637043366805E-2"/>
        </right>
        <top style="thin">
          <color theme="2" tint="-9.9978637043366805E-2"/>
        </top>
        <bottom style="thin">
          <color theme="2" tint="-9.9978637043366805E-2"/>
        </bottom>
      </border>
    </dxf>
    <dxf>
      <font>
        <strike val="0"/>
        <outline val="0"/>
        <shadow val="0"/>
        <u val="none"/>
        <vertAlign val="baseline"/>
        <sz val="10"/>
        <color theme="1" tint="0.499984740745262"/>
        <name val="Calibri"/>
        <family val="2"/>
        <scheme val="minor"/>
      </font>
      <numFmt numFmtId="4" formatCode="#,##0.00"/>
      <alignment horizontal="right" vertical="bottom" textRotation="0" wrapText="0" indent="0" justifyLastLine="0" shrinkToFit="1"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protection locked="1" hidden="0"/>
    </dxf>
    <dxf>
      <font>
        <b val="0"/>
        <i val="0"/>
        <strike val="0"/>
        <condense val="0"/>
        <extend val="0"/>
        <outline val="0"/>
        <shadow val="0"/>
        <u val="none"/>
        <vertAlign val="baseline"/>
        <sz val="10"/>
        <color theme="1"/>
        <name val="Calibri"/>
        <family val="2"/>
        <scheme val="minor"/>
      </font>
      <numFmt numFmtId="4" formatCode="#,##0.00"/>
      <alignment horizontal="right" vertical="bottom" textRotation="0" wrapText="0" indent="0" justifyLastLine="0" shrinkToFit="1" readingOrder="0"/>
      <border diagonalUp="0" diagonalDown="0" outline="0">
        <left/>
        <right style="thin">
          <color theme="2" tint="-9.9978637043366805E-2"/>
        </right>
        <top style="thin">
          <color theme="2" tint="-9.9978637043366805E-2"/>
        </top>
        <bottom style="thin">
          <color theme="2" tint="-9.9978637043366805E-2"/>
        </bottom>
      </border>
    </dxf>
    <dxf>
      <font>
        <b val="0"/>
        <i val="0"/>
        <strike val="0"/>
        <condense val="0"/>
        <extend val="0"/>
        <outline val="0"/>
        <shadow val="0"/>
        <u val="none"/>
        <vertAlign val="baseline"/>
        <sz val="10"/>
        <color rgb="FFFF99FF"/>
        <name val="Calibri"/>
        <family val="2"/>
        <scheme val="minor"/>
      </font>
      <numFmt numFmtId="0" formatCode="General"/>
      <alignment horizontal="righ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border>
      <protection locked="1" hidden="0"/>
    </dxf>
    <dxf>
      <font>
        <b val="0"/>
        <i val="0"/>
        <strike val="0"/>
        <condense val="0"/>
        <extend val="0"/>
        <outline val="0"/>
        <shadow val="0"/>
        <u val="none"/>
        <vertAlign val="baseline"/>
        <sz val="10"/>
        <color theme="1"/>
        <name val="Calibri"/>
        <family val="2"/>
        <scheme val="minor"/>
      </font>
      <numFmt numFmtId="4" formatCode="#,##0.00"/>
      <alignment horizontal="right" vertical="bottom" textRotation="0" wrapText="0" indent="0" justifyLastLine="0" shrinkToFit="1" readingOrder="0"/>
      <border diagonalUp="0" diagonalDown="0" outline="0">
        <left style="thin">
          <color theme="2" tint="-9.9978637043366805E-2"/>
        </left>
        <right/>
        <top style="thin">
          <color theme="2" tint="-9.9978637043366805E-2"/>
        </top>
        <bottom style="thin">
          <color theme="2" tint="-9.9978637043366805E-2"/>
        </bottom>
      </border>
    </dxf>
    <dxf>
      <font>
        <strike val="0"/>
        <outline val="0"/>
        <shadow val="0"/>
        <u val="none"/>
        <vertAlign val="baseline"/>
        <sz val="10"/>
        <name val="Calibri"/>
        <family val="2"/>
        <scheme val="minor"/>
      </font>
      <numFmt numFmtId="4" formatCode="#,##0.00"/>
      <alignment horizontal="right" vertical="bottom" textRotation="0" wrapText="0" indent="0" justifyLastLine="0" shrinkToFit="1" readingOrder="0"/>
      <border diagonalUp="0" diagonalDown="0">
        <left style="thin">
          <color theme="2" tint="-9.9978637043366805E-2"/>
        </left>
        <right/>
        <top style="thin">
          <color theme="2" tint="-9.9978637043366805E-2"/>
        </top>
        <bottom style="thin">
          <color theme="2" tint="-9.9978637043366805E-2"/>
        </bottom>
        <vertical/>
      </border>
      <protection locked="0" hidden="0"/>
    </dxf>
    <dxf>
      <font>
        <b val="0"/>
        <i val="0"/>
        <strike val="0"/>
        <condense val="0"/>
        <extend val="0"/>
        <outline val="0"/>
        <shadow val="0"/>
        <u val="none"/>
        <vertAlign val="baseline"/>
        <sz val="10"/>
        <color theme="1"/>
        <name val="Calibri"/>
        <family val="2"/>
        <scheme val="minor"/>
      </font>
      <numFmt numFmtId="4" formatCode="#,##0.00"/>
      <alignment horizontal="right" vertical="bottom" textRotation="0" wrapText="0" indent="0" justifyLastLine="0" shrinkToFit="1"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strike val="0"/>
        <outline val="0"/>
        <shadow val="0"/>
        <u val="none"/>
        <vertAlign val="baseline"/>
        <sz val="10"/>
        <name val="Calibri"/>
        <family val="2"/>
        <scheme val="minor"/>
      </font>
      <numFmt numFmtId="4" formatCode="#,##0.00"/>
      <alignment horizontal="right" vertical="bottom" textRotation="0" wrapText="0" indent="0" justifyLastLine="0" shrinkToFit="1"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border>
      <protection locked="0" hidden="0"/>
    </dxf>
    <dxf>
      <border outline="0">
        <top style="thin">
          <color rgb="FFD0CECE"/>
        </top>
      </border>
    </dxf>
    <dxf>
      <font>
        <strike val="0"/>
        <outline val="0"/>
        <shadow val="0"/>
        <u val="none"/>
        <vertAlign val="baseline"/>
        <sz val="10"/>
        <name val="Calibri"/>
        <family val="2"/>
        <scheme val="none"/>
      </font>
      <numFmt numFmtId="4" formatCode="#,##0.00"/>
      <alignment horizontal="right" vertical="bottom" textRotation="0" wrapText="0" indent="0" justifyLastLine="0" shrinkToFit="0" readingOrder="0"/>
      <border diagonalUp="0" diagonalDown="0">
        <left style="thin">
          <color rgb="FFD0CECE"/>
        </left>
        <right style="thin">
          <color rgb="FFD0CECE"/>
        </right>
        <top/>
        <bottom/>
      </border>
      <protection locked="1" hidden="0"/>
    </dxf>
    <dxf>
      <border outline="0">
        <left style="thin">
          <color rgb="FFD0CECE"/>
        </left>
        <right style="thin">
          <color rgb="FFD0CECE"/>
        </right>
        <top style="thin">
          <color rgb="FFD0CECE"/>
        </top>
        <bottom style="thin">
          <color rgb="FFD0CECE"/>
        </bottom>
      </border>
    </dxf>
    <dxf>
      <font>
        <strike val="0"/>
        <outline val="0"/>
        <shadow val="0"/>
        <u val="none"/>
        <vertAlign val="baseline"/>
        <sz val="10"/>
        <name val="Calibri"/>
        <family val="2"/>
        <scheme val="none"/>
      </font>
      <numFmt numFmtId="4" formatCode="#,##0.00"/>
      <alignment horizontal="right" vertical="bottom" textRotation="0" wrapText="0" indent="0" justifyLastLine="0" shrinkToFit="0" readingOrder="0"/>
      <protection locked="1" hidden="0"/>
    </dxf>
    <dxf>
      <border outline="0">
        <bottom style="thin">
          <color rgb="FFD0CECE"/>
        </bottom>
      </border>
    </dxf>
    <dxf>
      <font>
        <b/>
        <i val="0"/>
        <strike val="0"/>
        <condense val="0"/>
        <extend val="0"/>
        <outline val="0"/>
        <shadow val="0"/>
        <u val="none"/>
        <vertAlign val="baseline"/>
        <sz val="10"/>
        <color theme="0"/>
        <name val="Calibri"/>
        <family val="2"/>
        <scheme val="minor"/>
      </font>
      <numFmt numFmtId="4" formatCode="#,##0.00"/>
      <fill>
        <patternFill patternType="solid">
          <fgColor indexed="64"/>
          <bgColor theme="5" tint="-0.249977111117893"/>
        </patternFill>
      </fill>
      <alignment horizontal="center" vertical="bottom" textRotation="0" wrapText="0" indent="0" justifyLastLine="0" shrinkToFit="0" readingOrder="0"/>
      <border diagonalUp="0" diagonalDown="0">
        <left style="thin">
          <color theme="2" tint="-9.9978637043366805E-2"/>
        </left>
        <right style="thin">
          <color theme="2" tint="-9.9978637043366805E-2"/>
        </right>
        <top/>
        <bottom/>
      </border>
      <protection locked="1" hidden="0"/>
    </dxf>
    <dxf>
      <font>
        <b val="0"/>
        <i val="0"/>
        <strike val="0"/>
        <condense val="0"/>
        <extend val="0"/>
        <outline val="0"/>
        <shadow val="0"/>
        <u val="none"/>
        <vertAlign val="baseline"/>
        <sz val="10"/>
        <color theme="1"/>
        <name val="Calibri"/>
        <family val="2"/>
        <scheme val="minor"/>
      </font>
      <numFmt numFmtId="4" formatCode="#,##0.00"/>
      <alignment horizontal="right" vertical="bottom" textRotation="0" wrapText="0" indent="0" justifyLastLine="0" shrinkToFit="1" readingOrder="0"/>
      <border diagonalUp="0" diagonalDown="0" outline="0">
        <left/>
        <right style="thin">
          <color theme="2" tint="-9.9978637043366805E-2"/>
        </right>
        <top style="thin">
          <color theme="2" tint="-9.9978637043366805E-2"/>
        </top>
        <bottom style="thin">
          <color theme="2" tint="-9.9978637043366805E-2"/>
        </bottom>
      </border>
    </dxf>
    <dxf>
      <font>
        <strike val="0"/>
        <outline val="0"/>
        <shadow val="0"/>
        <u val="none"/>
        <vertAlign val="baseline"/>
        <sz val="10"/>
        <name val="Calibri"/>
        <family val="2"/>
        <scheme val="minor"/>
      </font>
      <numFmt numFmtId="4" formatCode="#,##0.00"/>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border>
      <protection locked="0" hidden="0"/>
    </dxf>
    <dxf>
      <font>
        <b val="0"/>
        <i val="0"/>
        <strike val="0"/>
        <condense val="0"/>
        <extend val="0"/>
        <outline val="0"/>
        <shadow val="0"/>
        <u val="none"/>
        <vertAlign val="baseline"/>
        <sz val="10"/>
        <color theme="1"/>
        <name val="Calibri"/>
        <family val="2"/>
        <scheme val="minor"/>
      </font>
      <numFmt numFmtId="4" formatCode="#,##0.00"/>
      <alignment horizontal="right" vertical="bottom" textRotation="0" wrapText="0" indent="0" justifyLastLine="0" shrinkToFit="1" readingOrder="0"/>
      <border diagonalUp="0" diagonalDown="0" outline="0">
        <left style="thin">
          <color theme="2" tint="-9.9978637043366805E-2"/>
        </left>
        <right/>
        <top style="thin">
          <color theme="2" tint="-9.9978637043366805E-2"/>
        </top>
        <bottom style="thin">
          <color theme="2" tint="-9.9978637043366805E-2"/>
        </bottom>
      </border>
    </dxf>
    <dxf>
      <font>
        <strike val="0"/>
        <outline val="0"/>
        <shadow val="0"/>
        <u val="none"/>
        <vertAlign val="baseline"/>
        <sz val="10"/>
        <name val="Calibri"/>
        <family val="2"/>
        <scheme val="minor"/>
      </font>
      <numFmt numFmtId="4" formatCode="#,##0.00"/>
      <alignment horizontal="right" vertical="bottom" textRotation="0" wrapText="0" indent="0" justifyLastLine="0" shrinkToFit="1"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border>
      <protection locked="0" hidden="0"/>
    </dxf>
    <dxf>
      <font>
        <b val="0"/>
        <i val="0"/>
        <strike val="0"/>
        <condense val="0"/>
        <extend val="0"/>
        <outline val="0"/>
        <shadow val="0"/>
        <u val="none"/>
        <vertAlign val="baseline"/>
        <sz val="10"/>
        <color theme="1"/>
        <name val="Calibri"/>
        <family val="2"/>
        <scheme val="minor"/>
      </font>
      <numFmt numFmtId="4" formatCode="#,##0.00"/>
      <alignment horizontal="right" vertical="bottom" textRotation="0" wrapText="0" indent="0" justifyLastLine="0" shrinkToFit="1" readingOrder="0"/>
      <border diagonalUp="0" diagonalDown="0" outline="0">
        <left style="thin">
          <color theme="2" tint="-9.9978637043366805E-2"/>
        </left>
        <right style="thin">
          <color theme="2" tint="-9.9978637043366805E-2"/>
        </right>
        <top/>
        <bottom/>
      </border>
    </dxf>
    <dxf>
      <font>
        <strike val="0"/>
        <outline val="0"/>
        <shadow val="0"/>
        <u val="none"/>
        <vertAlign val="baseline"/>
        <sz val="10"/>
        <name val="Calibri"/>
        <family val="2"/>
        <scheme val="minor"/>
      </font>
      <numFmt numFmtId="4" formatCode="#,##0.00"/>
      <fill>
        <patternFill patternType="solid">
          <fgColor indexed="64"/>
          <bgColor rgb="FF7030A0"/>
        </patternFill>
      </fill>
      <alignment horizontal="right" vertical="bottom" textRotation="0" wrapText="0" indent="0" justifyLastLine="0" shrinkToFit="1" readingOrder="0"/>
      <border diagonalUp="0" diagonalDown="0">
        <left style="thin">
          <color theme="2" tint="-9.9978637043366805E-2"/>
        </left>
      </border>
      <protection locked="1" hidden="0"/>
    </dxf>
    <dxf>
      <font>
        <b val="0"/>
        <i val="0"/>
        <strike val="0"/>
        <condense val="0"/>
        <extend val="0"/>
        <outline val="0"/>
        <shadow val="0"/>
        <u val="none"/>
        <vertAlign val="baseline"/>
        <sz val="10"/>
        <color theme="1"/>
        <name val="Calibri"/>
        <family val="2"/>
        <scheme val="minor"/>
      </font>
      <numFmt numFmtId="4" formatCode="#,##0.00"/>
      <alignment horizontal="right" vertical="bottom" textRotation="0" wrapText="0" indent="0" justifyLastLine="0" shrinkToFit="1" readingOrder="0"/>
    </dxf>
    <dxf>
      <font>
        <b val="0"/>
        <i val="0"/>
        <strike val="0"/>
        <condense val="0"/>
        <extend val="0"/>
        <outline val="0"/>
        <shadow val="0"/>
        <u val="none"/>
        <vertAlign val="baseline"/>
        <sz val="10"/>
        <color theme="1"/>
        <name val="Calibri"/>
        <family val="2"/>
        <scheme val="minor"/>
      </font>
      <numFmt numFmtId="30" formatCode="@"/>
      <alignment horizontal="center" vertical="center" textRotation="0" wrapText="0" indent="0" justifyLastLine="0" shrinkToFit="1"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protection locked="0" hidden="0"/>
    </dxf>
    <dxf>
      <font>
        <b val="0"/>
        <i val="0"/>
        <strike val="0"/>
        <condense val="0"/>
        <extend val="0"/>
        <outline val="0"/>
        <shadow val="0"/>
        <u val="none"/>
        <vertAlign val="baseline"/>
        <sz val="10"/>
        <color theme="1"/>
        <name val="Calibri"/>
        <family val="2"/>
        <scheme val="minor"/>
      </font>
      <numFmt numFmtId="4" formatCode="#,##0.00"/>
      <alignment horizontal="right" vertical="bottom" textRotation="0" wrapText="0" indent="0" justifyLastLine="0" shrinkToFit="1" readingOrder="0"/>
      <border diagonalUp="0" diagonalDown="0" outline="0">
        <left/>
        <right/>
        <top style="thin">
          <color theme="2" tint="-9.9978637043366805E-2"/>
        </top>
        <bottom style="thin">
          <color theme="2" tint="-9.9978637043366805E-2"/>
        </bottom>
      </border>
    </dxf>
    <dxf>
      <font>
        <b val="0"/>
        <i val="0"/>
        <strike val="0"/>
        <condense val="0"/>
        <extend val="0"/>
        <outline val="0"/>
        <shadow val="0"/>
        <u val="none"/>
        <vertAlign val="baseline"/>
        <sz val="10"/>
        <color rgb="FFFF99FF"/>
        <name val="Calibri"/>
        <family val="2"/>
        <scheme val="minor"/>
      </font>
      <numFmt numFmtId="0" formatCode="General"/>
      <alignment horizontal="righ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border>
      <protection locked="1" hidden="0"/>
    </dxf>
    <dxf>
      <font>
        <b val="0"/>
        <i val="0"/>
        <strike val="0"/>
        <condense val="0"/>
        <extend val="0"/>
        <outline val="0"/>
        <shadow val="0"/>
        <u val="none"/>
        <vertAlign val="baseline"/>
        <sz val="10"/>
        <color theme="1"/>
        <name val="Calibri"/>
        <family val="2"/>
        <scheme val="minor"/>
      </font>
      <numFmt numFmtId="4" formatCode="#,##0.00"/>
      <alignment horizontal="right" vertical="bottom" textRotation="0" wrapText="0" indent="0" justifyLastLine="0" shrinkToFit="1" readingOrder="0"/>
      <border diagonalUp="0" diagonalDown="0" outline="0">
        <left style="thin">
          <color theme="2" tint="-9.9978637043366805E-2"/>
        </left>
        <right/>
        <top style="thin">
          <color theme="2" tint="-9.9978637043366805E-2"/>
        </top>
        <bottom style="thin">
          <color theme="2" tint="-9.9978637043366805E-2"/>
        </bottom>
      </border>
    </dxf>
    <dxf>
      <font>
        <strike val="0"/>
        <outline val="0"/>
        <shadow val="0"/>
        <u val="none"/>
        <vertAlign val="baseline"/>
        <sz val="10"/>
        <name val="Calibri"/>
        <family val="2"/>
        <scheme val="minor"/>
      </font>
      <numFmt numFmtId="4" formatCode="#,##0.00"/>
      <alignment horizontal="right" vertical="bottom" textRotation="0" wrapText="0" indent="0" justifyLastLine="0" shrinkToFit="1" readingOrder="0"/>
      <border diagonalUp="0" diagonalDown="0">
        <left style="thin">
          <color theme="2" tint="-9.9978637043366805E-2"/>
        </left>
        <right/>
        <top style="thin">
          <color theme="2" tint="-9.9978637043366805E-2"/>
        </top>
        <bottom style="thin">
          <color theme="2" tint="-9.9978637043366805E-2"/>
        </bottom>
        <vertical/>
      </border>
      <protection locked="0" hidden="0"/>
    </dxf>
    <dxf>
      <font>
        <b val="0"/>
        <i val="0"/>
        <strike val="0"/>
        <condense val="0"/>
        <extend val="0"/>
        <outline val="0"/>
        <shadow val="0"/>
        <u val="none"/>
        <vertAlign val="baseline"/>
        <sz val="10"/>
        <color theme="1"/>
        <name val="Calibri"/>
        <family val="2"/>
        <scheme val="minor"/>
      </font>
      <numFmt numFmtId="4" formatCode="#,##0.00"/>
      <alignment horizontal="right" vertical="bottom" textRotation="0" wrapText="0" indent="0" justifyLastLine="0" shrinkToFit="1" readingOrder="0"/>
    </dxf>
    <dxf>
      <font>
        <strike val="0"/>
        <outline val="0"/>
        <shadow val="0"/>
        <u val="none"/>
        <vertAlign val="baseline"/>
        <sz val="10"/>
        <name val="Calibri"/>
        <family val="2"/>
        <scheme val="minor"/>
      </font>
      <numFmt numFmtId="4" formatCode="#,##0.00"/>
      <fill>
        <patternFill patternType="solid">
          <fgColor indexed="64"/>
          <bgColor rgb="FF7030A0"/>
        </patternFill>
      </fill>
      <alignment horizontal="right" vertical="bottom" textRotation="0" wrapText="0" indent="0" justifyLastLine="0" shrinkToFit="1" readingOrder="0"/>
      <border diagonalUp="0" diagonalDown="0">
        <left style="thin">
          <color theme="2" tint="-9.9978637043366805E-2"/>
        </left>
      </border>
      <protection locked="1" hidden="0"/>
    </dxf>
    <dxf>
      <font>
        <b val="0"/>
        <i val="0"/>
        <strike val="0"/>
        <condense val="0"/>
        <extend val="0"/>
        <outline val="0"/>
        <shadow val="0"/>
        <u val="none"/>
        <vertAlign val="baseline"/>
        <sz val="10"/>
        <color theme="1"/>
        <name val="Calibri"/>
        <family val="2"/>
        <scheme val="minor"/>
      </font>
      <numFmt numFmtId="4" formatCode="#,##0.00"/>
      <alignment horizontal="right" vertical="bottom" textRotation="0" wrapText="0" indent="0" justifyLastLine="0" shrinkToFit="1"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strike val="0"/>
        <outline val="0"/>
        <shadow val="0"/>
        <u val="none"/>
        <vertAlign val="baseline"/>
        <sz val="10"/>
        <color theme="1" tint="0.499984740745262"/>
        <name val="Calibri"/>
        <family val="2"/>
        <scheme val="minor"/>
      </font>
      <numFmt numFmtId="4" formatCode="#,##0.00"/>
      <alignment horizontal="right" vertical="bottom" textRotation="0" wrapText="0" indent="0" justifyLastLine="0" shrinkToFit="1"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border>
      <protection locked="1" hidden="0"/>
    </dxf>
    <dxf>
      <font>
        <b val="0"/>
        <i val="0"/>
        <strike val="0"/>
        <condense val="0"/>
        <extend val="0"/>
        <outline val="0"/>
        <shadow val="0"/>
        <u val="none"/>
        <vertAlign val="baseline"/>
        <sz val="10"/>
        <color theme="1"/>
        <name val="Calibri"/>
        <family val="2"/>
        <scheme val="minor"/>
      </font>
      <numFmt numFmtId="4" formatCode="#,##0.00"/>
      <alignment horizontal="right" vertical="bottom" textRotation="0" wrapText="0" indent="0" justifyLastLine="0" shrinkToFit="1"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strike val="0"/>
        <outline val="0"/>
        <shadow val="0"/>
        <u val="none"/>
        <vertAlign val="baseline"/>
        <sz val="10"/>
        <color theme="1" tint="0.499984740745262"/>
        <name val="Calibri"/>
        <family val="2"/>
        <scheme val="minor"/>
      </font>
      <numFmt numFmtId="4" formatCode="#,##0.00"/>
      <alignment horizontal="right" vertical="bottom" textRotation="0" wrapText="0" indent="0" justifyLastLine="0" shrinkToFit="1"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border>
      <protection locked="1" hidden="0"/>
    </dxf>
    <dxf>
      <font>
        <b val="0"/>
        <i val="0"/>
        <strike val="0"/>
        <condense val="0"/>
        <extend val="0"/>
        <outline val="0"/>
        <shadow val="0"/>
        <u val="none"/>
        <vertAlign val="baseline"/>
        <sz val="10"/>
        <color theme="1"/>
        <name val="Calibri"/>
        <family val="2"/>
        <scheme val="minor"/>
      </font>
      <numFmt numFmtId="4" formatCode="#,##0.00"/>
      <alignment horizontal="right" vertical="bottom" textRotation="0" wrapText="0" indent="0" justifyLastLine="0" shrinkToFit="1" readingOrder="0"/>
      <border diagonalUp="0" diagonalDown="0" outline="0">
        <left/>
        <right style="thin">
          <color theme="2" tint="-9.9978637043366805E-2"/>
        </right>
        <top style="thin">
          <color theme="2" tint="-9.9978637043366805E-2"/>
        </top>
        <bottom style="thin">
          <color theme="2" tint="-9.9978637043366805E-2"/>
        </bottom>
      </border>
    </dxf>
    <dxf>
      <font>
        <strike val="0"/>
        <outline val="0"/>
        <shadow val="0"/>
        <u val="none"/>
        <vertAlign val="baseline"/>
        <sz val="10"/>
        <color theme="1" tint="0.499984740745262"/>
        <name val="Calibri"/>
        <family val="2"/>
        <scheme val="minor"/>
      </font>
      <numFmt numFmtId="4" formatCode="#,##0.00"/>
      <alignment horizontal="right" vertical="bottom" textRotation="0" wrapText="0" indent="0" justifyLastLine="0" shrinkToFit="1"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protection locked="1" hidden="0"/>
    </dxf>
    <dxf>
      <font>
        <b val="0"/>
        <i val="0"/>
        <strike val="0"/>
        <condense val="0"/>
        <extend val="0"/>
        <outline val="0"/>
        <shadow val="0"/>
        <u val="none"/>
        <vertAlign val="baseline"/>
        <sz val="10"/>
        <color theme="1"/>
        <name val="Calibri"/>
        <family val="2"/>
        <scheme val="minor"/>
      </font>
      <numFmt numFmtId="4" formatCode="#,##0.00"/>
      <alignment horizontal="right" vertical="bottom" textRotation="0" wrapText="0" indent="0" justifyLastLine="0" shrinkToFit="1" readingOrder="0"/>
      <border diagonalUp="0" diagonalDown="0" outline="0">
        <left/>
        <right style="thin">
          <color theme="2" tint="-9.9978637043366805E-2"/>
        </right>
        <top style="thin">
          <color theme="2" tint="-9.9978637043366805E-2"/>
        </top>
        <bottom style="thin">
          <color theme="2" tint="-9.9978637043366805E-2"/>
        </bottom>
      </border>
    </dxf>
    <dxf>
      <font>
        <b val="0"/>
        <i val="0"/>
        <strike val="0"/>
        <condense val="0"/>
        <extend val="0"/>
        <outline val="0"/>
        <shadow val="0"/>
        <u val="none"/>
        <vertAlign val="baseline"/>
        <sz val="10"/>
        <color rgb="FFFF99FF"/>
        <name val="Calibri"/>
        <family val="2"/>
        <scheme val="minor"/>
      </font>
      <numFmt numFmtId="0" formatCode="General"/>
      <alignment horizontal="righ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border>
      <protection locked="1" hidden="0"/>
    </dxf>
    <dxf>
      <font>
        <b val="0"/>
        <i val="0"/>
        <strike val="0"/>
        <condense val="0"/>
        <extend val="0"/>
        <outline val="0"/>
        <shadow val="0"/>
        <u val="none"/>
        <vertAlign val="baseline"/>
        <sz val="10"/>
        <color theme="1"/>
        <name val="Calibri"/>
        <family val="2"/>
        <scheme val="minor"/>
      </font>
      <numFmt numFmtId="4" formatCode="#,##0.00"/>
      <alignment horizontal="right" vertical="bottom" textRotation="0" wrapText="0" indent="0" justifyLastLine="0" shrinkToFit="1" readingOrder="0"/>
      <border diagonalUp="0" diagonalDown="0" outline="0">
        <left style="thin">
          <color theme="2" tint="-9.9978637043366805E-2"/>
        </left>
        <right/>
        <top style="thin">
          <color theme="2" tint="-9.9978637043366805E-2"/>
        </top>
        <bottom style="thin">
          <color theme="2" tint="-9.9978637043366805E-2"/>
        </bottom>
      </border>
    </dxf>
    <dxf>
      <font>
        <strike val="0"/>
        <outline val="0"/>
        <shadow val="0"/>
        <u val="none"/>
        <vertAlign val="baseline"/>
        <sz val="10"/>
        <name val="Calibri"/>
        <family val="2"/>
        <scheme val="minor"/>
      </font>
      <numFmt numFmtId="4" formatCode="#,##0.00"/>
      <alignment horizontal="right" vertical="bottom" textRotation="0" wrapText="0" indent="0" justifyLastLine="0" shrinkToFit="1" readingOrder="0"/>
      <border diagonalUp="0" diagonalDown="0">
        <left style="thin">
          <color theme="2" tint="-9.9978637043366805E-2"/>
        </left>
        <right/>
        <top style="thin">
          <color theme="2" tint="-9.9978637043366805E-2"/>
        </top>
        <bottom style="thin">
          <color theme="2" tint="-9.9978637043366805E-2"/>
        </bottom>
        <vertical/>
      </border>
      <protection locked="0" hidden="0"/>
    </dxf>
    <dxf>
      <font>
        <b val="0"/>
        <i val="0"/>
        <strike val="0"/>
        <condense val="0"/>
        <extend val="0"/>
        <outline val="0"/>
        <shadow val="0"/>
        <u val="none"/>
        <vertAlign val="baseline"/>
        <sz val="10"/>
        <color theme="1"/>
        <name val="Calibri"/>
        <family val="2"/>
        <scheme val="minor"/>
      </font>
      <numFmt numFmtId="4" formatCode="#,##0.00"/>
      <alignment horizontal="right" vertical="bottom" textRotation="0" wrapText="0" indent="0" justifyLastLine="0" shrinkToFit="1"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strike val="0"/>
        <outline val="0"/>
        <shadow val="0"/>
        <u val="none"/>
        <vertAlign val="baseline"/>
        <sz val="10"/>
        <name val="Calibri"/>
        <family val="2"/>
        <scheme val="minor"/>
      </font>
      <numFmt numFmtId="4" formatCode="#,##0.00"/>
      <alignment horizontal="right" vertical="bottom" textRotation="0" wrapText="0" indent="0" justifyLastLine="0" shrinkToFit="1"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border>
      <protection locked="0" hidden="0"/>
    </dxf>
    <dxf>
      <border outline="0">
        <top style="thin">
          <color rgb="FFD0CECE"/>
        </top>
      </border>
    </dxf>
    <dxf>
      <font>
        <strike val="0"/>
        <outline val="0"/>
        <shadow val="0"/>
        <u val="none"/>
        <vertAlign val="baseline"/>
        <sz val="10"/>
        <name val="Calibri"/>
        <family val="2"/>
        <scheme val="none"/>
      </font>
      <numFmt numFmtId="4" formatCode="#,##0.00"/>
      <alignment horizontal="right" vertical="bottom" textRotation="0" wrapText="0" indent="0" justifyLastLine="0" shrinkToFit="0" readingOrder="0"/>
      <border diagonalUp="0" diagonalDown="0">
        <left style="thin">
          <color rgb="FFD0CECE"/>
        </left>
        <right style="thin">
          <color rgb="FFD0CECE"/>
        </right>
        <top/>
        <bottom/>
      </border>
      <protection locked="1" hidden="0"/>
    </dxf>
    <dxf>
      <border outline="0">
        <left style="thin">
          <color rgb="FFD0CECE"/>
        </left>
        <right style="thin">
          <color rgb="FFD0CECE"/>
        </right>
        <top style="thin">
          <color rgb="FFD0CECE"/>
        </top>
        <bottom style="thin">
          <color rgb="FFD0CECE"/>
        </bottom>
      </border>
    </dxf>
    <dxf>
      <font>
        <strike val="0"/>
        <outline val="0"/>
        <shadow val="0"/>
        <u val="none"/>
        <vertAlign val="baseline"/>
        <sz val="10"/>
        <name val="Calibri"/>
        <family val="2"/>
        <scheme val="none"/>
      </font>
      <numFmt numFmtId="4" formatCode="#,##0.00"/>
      <alignment horizontal="right" vertical="bottom" textRotation="0" wrapText="0" indent="0" justifyLastLine="0" shrinkToFit="0" readingOrder="0"/>
      <protection locked="1" hidden="0"/>
    </dxf>
    <dxf>
      <border outline="0">
        <bottom style="thin">
          <color rgb="FFD0CECE"/>
        </bottom>
      </border>
    </dxf>
    <dxf>
      <font>
        <b/>
        <i val="0"/>
        <strike val="0"/>
        <condense val="0"/>
        <extend val="0"/>
        <outline val="0"/>
        <shadow val="0"/>
        <u val="none"/>
        <vertAlign val="baseline"/>
        <sz val="10"/>
        <color theme="0"/>
        <name val="Calibri"/>
        <family val="2"/>
        <scheme val="minor"/>
      </font>
      <numFmt numFmtId="4" formatCode="#,##0.00"/>
      <fill>
        <patternFill patternType="solid">
          <fgColor indexed="64"/>
          <bgColor rgb="FF7030A0"/>
        </patternFill>
      </fill>
      <alignment horizontal="center" vertical="bottom" textRotation="0" wrapText="0" indent="0" justifyLastLine="0" shrinkToFit="0" readingOrder="0"/>
      <border diagonalUp="0" diagonalDown="0">
        <left style="thin">
          <color theme="2" tint="-9.9978637043366805E-2"/>
        </left>
        <right style="thin">
          <color theme="2" tint="-9.9978637043366805E-2"/>
        </right>
        <top/>
        <bottom/>
      </border>
      <protection locked="1" hidden="0"/>
    </dxf>
    <dxf>
      <font>
        <b val="0"/>
        <i val="0"/>
        <strike val="0"/>
        <condense val="0"/>
        <extend val="0"/>
        <outline val="0"/>
        <shadow val="0"/>
        <u val="none"/>
        <vertAlign val="baseline"/>
        <sz val="10"/>
        <color theme="1"/>
        <name val="Calibri"/>
        <family val="2"/>
        <scheme val="minor"/>
      </font>
      <numFmt numFmtId="4" formatCode="#,##0.00"/>
      <alignment horizontal="right" vertical="bottom" textRotation="0" wrapText="0" indent="0" justifyLastLine="0" shrinkToFit="1" readingOrder="0"/>
      <border diagonalUp="0" diagonalDown="0" outline="0">
        <left/>
        <right style="thin">
          <color theme="2" tint="-9.9978637043366805E-2"/>
        </right>
        <top style="thin">
          <color theme="2" tint="-9.9978637043366805E-2"/>
        </top>
        <bottom style="thin">
          <color theme="2" tint="-9.9978637043366805E-2"/>
        </bottom>
      </border>
    </dxf>
    <dxf>
      <font>
        <strike val="0"/>
        <outline val="0"/>
        <shadow val="0"/>
        <u val="none"/>
        <vertAlign val="baseline"/>
        <sz val="10"/>
        <name val="Calibri"/>
        <family val="2"/>
        <scheme val="minor"/>
      </font>
      <numFmt numFmtId="4" formatCode="#,##0.00"/>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border>
      <protection locked="0" hidden="0"/>
    </dxf>
    <dxf>
      <font>
        <b val="0"/>
        <i val="0"/>
        <strike val="0"/>
        <condense val="0"/>
        <extend val="0"/>
        <outline val="0"/>
        <shadow val="0"/>
        <u val="none"/>
        <vertAlign val="baseline"/>
        <sz val="10"/>
        <color theme="1"/>
        <name val="Calibri"/>
        <family val="2"/>
        <scheme val="minor"/>
      </font>
      <numFmt numFmtId="4" formatCode="#,##0.00"/>
      <alignment horizontal="right" vertical="bottom" textRotation="0" wrapText="0" indent="0" justifyLastLine="0" shrinkToFit="1" readingOrder="0"/>
      <border diagonalUp="0" diagonalDown="0" outline="0">
        <left style="thin">
          <color theme="2" tint="-9.9978637043366805E-2"/>
        </left>
        <right/>
        <top style="thin">
          <color theme="2" tint="-9.9978637043366805E-2"/>
        </top>
        <bottom style="thin">
          <color theme="2" tint="-9.9978637043366805E-2"/>
        </bottom>
      </border>
    </dxf>
    <dxf>
      <font>
        <strike val="0"/>
        <outline val="0"/>
        <shadow val="0"/>
        <u val="none"/>
        <vertAlign val="baseline"/>
        <sz val="10"/>
        <name val="Calibri"/>
        <family val="2"/>
        <scheme val="minor"/>
      </font>
      <numFmt numFmtId="4" formatCode="#,##0.00"/>
      <alignment horizontal="right" vertical="bottom" textRotation="0" wrapText="0" indent="0" justifyLastLine="0" shrinkToFit="1"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border>
      <protection locked="0" hidden="0"/>
    </dxf>
    <dxf>
      <font>
        <b val="0"/>
        <i val="0"/>
        <strike val="0"/>
        <condense val="0"/>
        <extend val="0"/>
        <outline val="0"/>
        <shadow val="0"/>
        <u val="none"/>
        <vertAlign val="baseline"/>
        <sz val="10"/>
        <color theme="1"/>
        <name val="Calibri"/>
        <family val="2"/>
        <scheme val="minor"/>
      </font>
      <numFmt numFmtId="4" formatCode="#,##0.00"/>
      <alignment horizontal="right" vertical="bottom" textRotation="0" wrapText="0" indent="0" justifyLastLine="0" shrinkToFit="1" readingOrder="0"/>
      <border diagonalUp="0" diagonalDown="0" outline="0">
        <left style="thin">
          <color theme="2" tint="-9.9978637043366805E-2"/>
        </left>
        <right style="thin">
          <color theme="2" tint="-9.9978637043366805E-2"/>
        </right>
        <top/>
        <bottom/>
      </border>
    </dxf>
    <dxf>
      <font>
        <strike val="0"/>
        <outline val="0"/>
        <shadow val="0"/>
        <u val="none"/>
        <vertAlign val="baseline"/>
        <sz val="10"/>
        <name val="Calibri"/>
        <family val="2"/>
        <scheme val="minor"/>
      </font>
      <numFmt numFmtId="4" formatCode="#,##0.00"/>
      <fill>
        <patternFill patternType="solid">
          <fgColor indexed="64"/>
          <bgColor theme="8" tint="-0.249977111117893"/>
        </patternFill>
      </fill>
      <alignment horizontal="right" vertical="bottom" textRotation="0" wrapText="0" indent="0" justifyLastLine="0" shrinkToFit="1" readingOrder="0"/>
      <border diagonalUp="0" diagonalDown="0">
        <left style="thin">
          <color theme="2" tint="-9.9978637043366805E-2"/>
        </left>
      </border>
      <protection locked="1" hidden="0"/>
    </dxf>
    <dxf>
      <font>
        <b val="0"/>
        <i val="0"/>
        <strike val="0"/>
        <condense val="0"/>
        <extend val="0"/>
        <outline val="0"/>
        <shadow val="0"/>
        <u val="none"/>
        <vertAlign val="baseline"/>
        <sz val="10"/>
        <color theme="1"/>
        <name val="Calibri"/>
        <family val="2"/>
        <scheme val="minor"/>
      </font>
      <numFmt numFmtId="4" formatCode="#,##0.00"/>
      <alignment horizontal="right" vertical="bottom" textRotation="0" wrapText="0" indent="0" justifyLastLine="0" shrinkToFit="1" readingOrder="0"/>
    </dxf>
    <dxf>
      <font>
        <b val="0"/>
        <i val="0"/>
        <strike val="0"/>
        <condense val="0"/>
        <extend val="0"/>
        <outline val="0"/>
        <shadow val="0"/>
        <u val="none"/>
        <vertAlign val="baseline"/>
        <sz val="10"/>
        <color theme="1"/>
        <name val="Calibri"/>
        <family val="2"/>
        <scheme val="minor"/>
      </font>
      <numFmt numFmtId="30" formatCode="@"/>
      <alignment horizontal="center" vertical="center" textRotation="0" wrapText="0" indent="0" justifyLastLine="0" shrinkToFit="1"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protection locked="0" hidden="0"/>
    </dxf>
    <dxf>
      <font>
        <b val="0"/>
        <i val="0"/>
        <strike val="0"/>
        <condense val="0"/>
        <extend val="0"/>
        <outline val="0"/>
        <shadow val="0"/>
        <u val="none"/>
        <vertAlign val="baseline"/>
        <sz val="10"/>
        <color theme="1"/>
        <name val="Calibri"/>
        <family val="2"/>
        <scheme val="minor"/>
      </font>
      <numFmt numFmtId="4" formatCode="#,##0.00"/>
      <alignment horizontal="right" vertical="bottom" textRotation="0" wrapText="0" indent="0" justifyLastLine="0" shrinkToFit="1" readingOrder="0"/>
      <border diagonalUp="0" diagonalDown="0" outline="0">
        <left/>
        <right/>
        <top style="thin">
          <color theme="2" tint="-9.9978637043366805E-2"/>
        </top>
        <bottom style="thin">
          <color theme="2" tint="-9.9978637043366805E-2"/>
        </bottom>
      </border>
    </dxf>
    <dxf>
      <font>
        <b val="0"/>
        <i val="0"/>
        <strike val="0"/>
        <condense val="0"/>
        <extend val="0"/>
        <outline val="0"/>
        <shadow val="0"/>
        <u val="none"/>
        <vertAlign val="baseline"/>
        <sz val="10"/>
        <color rgb="FFFF99FF"/>
        <name val="Calibri"/>
        <family val="2"/>
        <scheme val="minor"/>
      </font>
      <numFmt numFmtId="0" formatCode="General"/>
      <alignment horizontal="righ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border>
      <protection locked="1" hidden="0"/>
    </dxf>
    <dxf>
      <font>
        <b val="0"/>
        <i val="0"/>
        <strike val="0"/>
        <condense val="0"/>
        <extend val="0"/>
        <outline val="0"/>
        <shadow val="0"/>
        <u val="none"/>
        <vertAlign val="baseline"/>
        <sz val="10"/>
        <color theme="1"/>
        <name val="Calibri"/>
        <family val="2"/>
        <scheme val="minor"/>
      </font>
      <numFmt numFmtId="4" formatCode="#,##0.00"/>
      <alignment horizontal="right" vertical="bottom" textRotation="0" wrapText="0" indent="0" justifyLastLine="0" shrinkToFit="1" readingOrder="0"/>
      <border diagonalUp="0" diagonalDown="0" outline="0">
        <left style="thin">
          <color theme="2" tint="-9.9978637043366805E-2"/>
        </left>
        <right/>
        <top style="thin">
          <color theme="2" tint="-9.9978637043366805E-2"/>
        </top>
        <bottom style="thin">
          <color theme="2" tint="-9.9978637043366805E-2"/>
        </bottom>
      </border>
    </dxf>
    <dxf>
      <font>
        <strike val="0"/>
        <outline val="0"/>
        <shadow val="0"/>
        <u val="none"/>
        <vertAlign val="baseline"/>
        <sz val="10"/>
        <name val="Calibri"/>
        <family val="2"/>
        <scheme val="minor"/>
      </font>
      <numFmt numFmtId="4" formatCode="#,##0.00"/>
      <alignment horizontal="right" vertical="bottom" textRotation="0" wrapText="0" indent="0" justifyLastLine="0" shrinkToFit="1" readingOrder="0"/>
      <border diagonalUp="0" diagonalDown="0">
        <left style="thin">
          <color theme="2" tint="-9.9978637043366805E-2"/>
        </left>
        <right/>
        <top style="thin">
          <color theme="2" tint="-9.9978637043366805E-2"/>
        </top>
        <bottom style="thin">
          <color theme="2" tint="-9.9978637043366805E-2"/>
        </bottom>
        <vertical/>
      </border>
      <protection locked="0" hidden="0"/>
    </dxf>
    <dxf>
      <font>
        <b val="0"/>
        <i val="0"/>
        <strike val="0"/>
        <condense val="0"/>
        <extend val="0"/>
        <outline val="0"/>
        <shadow val="0"/>
        <u val="none"/>
        <vertAlign val="baseline"/>
        <sz val="10"/>
        <color theme="1"/>
        <name val="Calibri"/>
        <family val="2"/>
        <scheme val="minor"/>
      </font>
      <numFmt numFmtId="4" formatCode="#,##0.00"/>
      <alignment horizontal="right" vertical="bottom" textRotation="0" wrapText="0" indent="0" justifyLastLine="0" shrinkToFit="1" readingOrder="0"/>
    </dxf>
    <dxf>
      <font>
        <strike val="0"/>
        <outline val="0"/>
        <shadow val="0"/>
        <u val="none"/>
        <vertAlign val="baseline"/>
        <sz val="10"/>
        <name val="Calibri"/>
        <family val="2"/>
        <scheme val="minor"/>
      </font>
      <numFmt numFmtId="4" formatCode="#,##0.00"/>
      <fill>
        <patternFill patternType="solid">
          <fgColor indexed="64"/>
          <bgColor theme="8" tint="-0.249977111117893"/>
        </patternFill>
      </fill>
      <alignment horizontal="right" vertical="bottom" textRotation="0" wrapText="0" indent="0" justifyLastLine="0" shrinkToFit="1" readingOrder="0"/>
      <border diagonalUp="0" diagonalDown="0">
        <left style="thin">
          <color theme="2" tint="-9.9978637043366805E-2"/>
        </left>
      </border>
      <protection locked="1" hidden="0"/>
    </dxf>
    <dxf>
      <font>
        <b val="0"/>
        <i val="0"/>
        <strike val="0"/>
        <condense val="0"/>
        <extend val="0"/>
        <outline val="0"/>
        <shadow val="0"/>
        <u val="none"/>
        <vertAlign val="baseline"/>
        <sz val="10"/>
        <color theme="1"/>
        <name val="Calibri"/>
        <family val="2"/>
        <scheme val="minor"/>
      </font>
      <numFmt numFmtId="4" formatCode="#,##0.00"/>
      <alignment horizontal="right" vertical="bottom" textRotation="0" wrapText="0" indent="0" justifyLastLine="0" shrinkToFit="1"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strike val="0"/>
        <outline val="0"/>
        <shadow val="0"/>
        <u val="none"/>
        <vertAlign val="baseline"/>
        <sz val="10"/>
        <color theme="1" tint="0.499984740745262"/>
        <name val="Calibri"/>
        <family val="2"/>
        <scheme val="minor"/>
      </font>
      <numFmt numFmtId="4" formatCode="#,##0.00"/>
      <alignment horizontal="right" vertical="bottom" textRotation="0" wrapText="0" indent="0" justifyLastLine="0" shrinkToFit="1"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border>
      <protection locked="1" hidden="0"/>
    </dxf>
    <dxf>
      <font>
        <b val="0"/>
        <i val="0"/>
        <strike val="0"/>
        <condense val="0"/>
        <extend val="0"/>
        <outline val="0"/>
        <shadow val="0"/>
        <u val="none"/>
        <vertAlign val="baseline"/>
        <sz val="10"/>
        <color theme="1"/>
        <name val="Calibri"/>
        <family val="2"/>
        <scheme val="minor"/>
      </font>
      <numFmt numFmtId="4" formatCode="#,##0.00"/>
      <alignment horizontal="right" vertical="bottom" textRotation="0" wrapText="0" indent="0" justifyLastLine="0" shrinkToFit="1"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strike val="0"/>
        <outline val="0"/>
        <shadow val="0"/>
        <u val="none"/>
        <vertAlign val="baseline"/>
        <sz val="10"/>
        <color theme="1" tint="0.499984740745262"/>
        <name val="Calibri"/>
        <family val="2"/>
        <scheme val="minor"/>
      </font>
      <numFmt numFmtId="4" formatCode="#,##0.00"/>
      <alignment horizontal="right" vertical="bottom" textRotation="0" wrapText="0" indent="0" justifyLastLine="0" shrinkToFit="1"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border>
      <protection locked="1" hidden="0"/>
    </dxf>
    <dxf>
      <font>
        <b val="0"/>
        <i val="0"/>
        <strike val="0"/>
        <condense val="0"/>
        <extend val="0"/>
        <outline val="0"/>
        <shadow val="0"/>
        <u val="none"/>
        <vertAlign val="baseline"/>
        <sz val="10"/>
        <color theme="1"/>
        <name val="Calibri"/>
        <family val="2"/>
        <scheme val="minor"/>
      </font>
      <numFmt numFmtId="4" formatCode="#,##0.00"/>
      <alignment horizontal="right" vertical="bottom" textRotation="0" wrapText="0" indent="0" justifyLastLine="0" shrinkToFit="1" readingOrder="0"/>
      <border diagonalUp="0" diagonalDown="0" outline="0">
        <left/>
        <right style="thin">
          <color theme="2" tint="-9.9978637043366805E-2"/>
        </right>
        <top style="thin">
          <color theme="2" tint="-9.9978637043366805E-2"/>
        </top>
        <bottom style="thin">
          <color theme="2" tint="-9.9978637043366805E-2"/>
        </bottom>
      </border>
    </dxf>
    <dxf>
      <font>
        <strike val="0"/>
        <outline val="0"/>
        <shadow val="0"/>
        <u val="none"/>
        <vertAlign val="baseline"/>
        <sz val="10"/>
        <color theme="1" tint="0.499984740745262"/>
        <name val="Calibri"/>
        <family val="2"/>
        <scheme val="minor"/>
      </font>
      <numFmt numFmtId="4" formatCode="#,##0.00"/>
      <alignment horizontal="right" vertical="bottom" textRotation="0" wrapText="0" indent="0" justifyLastLine="0" shrinkToFit="1"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protection locked="1" hidden="0"/>
    </dxf>
    <dxf>
      <font>
        <b val="0"/>
        <i val="0"/>
        <strike val="0"/>
        <condense val="0"/>
        <extend val="0"/>
        <outline val="0"/>
        <shadow val="0"/>
        <u val="none"/>
        <vertAlign val="baseline"/>
        <sz val="10"/>
        <color theme="1"/>
        <name val="Calibri"/>
        <family val="2"/>
        <scheme val="minor"/>
      </font>
      <numFmt numFmtId="4" formatCode="#,##0.00"/>
      <alignment horizontal="right" vertical="bottom" textRotation="0" wrapText="0" indent="0" justifyLastLine="0" shrinkToFit="1" readingOrder="0"/>
      <border diagonalUp="0" diagonalDown="0" outline="0">
        <left/>
        <right style="thin">
          <color theme="2" tint="-9.9978637043366805E-2"/>
        </right>
        <top style="thin">
          <color theme="2" tint="-9.9978637043366805E-2"/>
        </top>
        <bottom style="thin">
          <color theme="2" tint="-9.9978637043366805E-2"/>
        </bottom>
      </border>
    </dxf>
    <dxf>
      <font>
        <b val="0"/>
        <i val="0"/>
        <strike val="0"/>
        <condense val="0"/>
        <extend val="0"/>
        <outline val="0"/>
        <shadow val="0"/>
        <u val="none"/>
        <vertAlign val="baseline"/>
        <sz val="10"/>
        <color rgb="FFFF99FF"/>
        <name val="Calibri"/>
        <family val="2"/>
        <scheme val="minor"/>
      </font>
      <numFmt numFmtId="0" formatCode="General"/>
      <alignment horizontal="righ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border>
      <protection locked="1" hidden="0"/>
    </dxf>
    <dxf>
      <font>
        <b val="0"/>
        <i val="0"/>
        <strike val="0"/>
        <condense val="0"/>
        <extend val="0"/>
        <outline val="0"/>
        <shadow val="0"/>
        <u val="none"/>
        <vertAlign val="baseline"/>
        <sz val="10"/>
        <color theme="1"/>
        <name val="Calibri"/>
        <family val="2"/>
        <scheme val="minor"/>
      </font>
      <numFmt numFmtId="4" formatCode="#,##0.00"/>
      <alignment horizontal="right" vertical="bottom" textRotation="0" wrapText="0" indent="0" justifyLastLine="0" shrinkToFit="1" readingOrder="0"/>
      <border diagonalUp="0" diagonalDown="0" outline="0">
        <left style="thin">
          <color theme="2" tint="-9.9978637043366805E-2"/>
        </left>
        <right/>
        <top style="thin">
          <color theme="2" tint="-9.9978637043366805E-2"/>
        </top>
        <bottom style="thin">
          <color theme="2" tint="-9.9978637043366805E-2"/>
        </bottom>
      </border>
    </dxf>
    <dxf>
      <font>
        <strike val="0"/>
        <outline val="0"/>
        <shadow val="0"/>
        <u val="none"/>
        <vertAlign val="baseline"/>
        <sz val="10"/>
        <name val="Calibri"/>
        <family val="2"/>
        <scheme val="minor"/>
      </font>
      <numFmt numFmtId="4" formatCode="#,##0.00"/>
      <alignment horizontal="right" vertical="bottom" textRotation="0" wrapText="0" indent="0" justifyLastLine="0" shrinkToFit="1" readingOrder="0"/>
      <border diagonalUp="0" diagonalDown="0">
        <left style="thin">
          <color theme="2" tint="-9.9978637043366805E-2"/>
        </left>
        <right/>
        <top style="thin">
          <color theme="2" tint="-9.9978637043366805E-2"/>
        </top>
        <bottom style="thin">
          <color theme="2" tint="-9.9978637043366805E-2"/>
        </bottom>
        <vertical/>
      </border>
      <protection locked="0" hidden="0"/>
    </dxf>
    <dxf>
      <font>
        <b val="0"/>
        <i val="0"/>
        <strike val="0"/>
        <condense val="0"/>
        <extend val="0"/>
        <outline val="0"/>
        <shadow val="0"/>
        <u val="none"/>
        <vertAlign val="baseline"/>
        <sz val="10"/>
        <color theme="1"/>
        <name val="Calibri"/>
        <family val="2"/>
        <scheme val="minor"/>
      </font>
      <numFmt numFmtId="4" formatCode="#,##0.00"/>
      <alignment horizontal="right" vertical="bottom" textRotation="0" wrapText="0" indent="0" justifyLastLine="0" shrinkToFit="1"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strike val="0"/>
        <outline val="0"/>
        <shadow val="0"/>
        <u val="none"/>
        <vertAlign val="baseline"/>
        <sz val="10"/>
        <name val="Calibri"/>
        <family val="2"/>
        <scheme val="minor"/>
      </font>
      <numFmt numFmtId="4" formatCode="#,##0.00"/>
      <alignment horizontal="right" vertical="bottom" textRotation="0" wrapText="0" indent="0" justifyLastLine="0" shrinkToFit="1"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border>
      <protection locked="0" hidden="0"/>
    </dxf>
    <dxf>
      <border outline="0">
        <top style="thin">
          <color rgb="FFD0CECE"/>
        </top>
      </border>
    </dxf>
    <dxf>
      <font>
        <strike val="0"/>
        <outline val="0"/>
        <shadow val="0"/>
        <u val="none"/>
        <vertAlign val="baseline"/>
        <sz val="10"/>
        <name val="Calibri"/>
        <family val="2"/>
        <scheme val="none"/>
      </font>
      <numFmt numFmtId="4" formatCode="#,##0.00"/>
      <alignment horizontal="right" vertical="bottom" textRotation="0" wrapText="0" indent="0" justifyLastLine="0" shrinkToFit="0" readingOrder="0"/>
      <border diagonalUp="0" diagonalDown="0">
        <left style="thin">
          <color rgb="FFD0CECE"/>
        </left>
        <right style="thin">
          <color rgb="FFD0CECE"/>
        </right>
        <top/>
        <bottom/>
      </border>
      <protection locked="1" hidden="0"/>
    </dxf>
    <dxf>
      <border outline="0">
        <left style="thin">
          <color rgb="FFD0CECE"/>
        </left>
        <right style="thin">
          <color rgb="FFD0CECE"/>
        </right>
        <top style="thin">
          <color rgb="FFD0CECE"/>
        </top>
        <bottom style="thin">
          <color rgb="FFD0CECE"/>
        </bottom>
      </border>
    </dxf>
    <dxf>
      <font>
        <strike val="0"/>
        <outline val="0"/>
        <shadow val="0"/>
        <u val="none"/>
        <vertAlign val="baseline"/>
        <sz val="10"/>
        <name val="Calibri"/>
        <family val="2"/>
        <scheme val="none"/>
      </font>
      <numFmt numFmtId="4" formatCode="#,##0.00"/>
      <alignment horizontal="right" vertical="bottom" textRotation="0" wrapText="0" indent="0" justifyLastLine="0" shrinkToFit="0" readingOrder="0"/>
      <protection locked="1" hidden="0"/>
    </dxf>
    <dxf>
      <border outline="0">
        <bottom style="thin">
          <color rgb="FFD0CECE"/>
        </bottom>
      </border>
    </dxf>
    <dxf>
      <font>
        <b/>
        <i val="0"/>
        <strike val="0"/>
        <condense val="0"/>
        <extend val="0"/>
        <outline val="0"/>
        <shadow val="0"/>
        <u val="none"/>
        <vertAlign val="baseline"/>
        <sz val="10"/>
        <color theme="0"/>
        <name val="Calibri"/>
        <family val="2"/>
        <scheme val="minor"/>
      </font>
      <numFmt numFmtId="4" formatCode="#,##0.00"/>
      <fill>
        <patternFill patternType="solid">
          <fgColor indexed="64"/>
          <bgColor theme="8" tint="-0.249977111117893"/>
        </patternFill>
      </fill>
      <alignment horizontal="center" vertical="bottom" textRotation="0" wrapText="0" indent="0" justifyLastLine="0" shrinkToFit="0" readingOrder="0"/>
      <border diagonalUp="0" diagonalDown="0">
        <left style="thin">
          <color theme="2" tint="-9.9978637043366805E-2"/>
        </left>
        <right style="thin">
          <color theme="2" tint="-9.9978637043366805E-2"/>
        </right>
        <top/>
        <bottom/>
      </border>
      <protection locked="1" hidden="0"/>
    </dxf>
    <dxf>
      <font>
        <b val="0"/>
        <i val="0"/>
        <strike val="0"/>
        <condense val="0"/>
        <extend val="0"/>
        <outline val="0"/>
        <shadow val="0"/>
        <u val="none"/>
        <vertAlign val="baseline"/>
        <sz val="10"/>
        <color theme="1"/>
        <name val="Calibri"/>
        <family val="2"/>
        <scheme val="minor"/>
      </font>
      <numFmt numFmtId="4" formatCode="#,##0.00"/>
      <alignment horizontal="right" vertical="bottom" textRotation="0" wrapText="0" indent="0" justifyLastLine="0" shrinkToFit="1" readingOrder="0"/>
      <border diagonalUp="0" diagonalDown="0" outline="0">
        <left/>
        <right style="thin">
          <color theme="2" tint="-9.9978637043366805E-2"/>
        </right>
        <top style="thin">
          <color theme="2" tint="-9.9978637043366805E-2"/>
        </top>
        <bottom style="thin">
          <color theme="2" tint="-9.9978637043366805E-2"/>
        </bottom>
      </border>
    </dxf>
    <dxf>
      <font>
        <strike val="0"/>
        <outline val="0"/>
        <shadow val="0"/>
        <u val="none"/>
        <vertAlign val="baseline"/>
        <sz val="10"/>
        <name val="Calibri"/>
        <family val="2"/>
        <scheme val="minor"/>
      </font>
      <numFmt numFmtId="4" formatCode="#,##0.00"/>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border>
      <protection locked="0" hidden="0"/>
    </dxf>
    <dxf>
      <font>
        <b val="0"/>
        <i val="0"/>
        <strike val="0"/>
        <condense val="0"/>
        <extend val="0"/>
        <outline val="0"/>
        <shadow val="0"/>
        <u val="none"/>
        <vertAlign val="baseline"/>
        <sz val="10"/>
        <color theme="1"/>
        <name val="Calibri"/>
        <family val="2"/>
        <scheme val="minor"/>
      </font>
      <numFmt numFmtId="4" formatCode="#,##0.00"/>
      <alignment horizontal="right" vertical="bottom" textRotation="0" wrapText="0" indent="0" justifyLastLine="0" shrinkToFit="1" readingOrder="0"/>
      <border diagonalUp="0" diagonalDown="0" outline="0">
        <left style="thin">
          <color theme="2" tint="-9.9978637043366805E-2"/>
        </left>
        <right/>
        <top style="thin">
          <color theme="2" tint="-9.9978637043366805E-2"/>
        </top>
        <bottom style="thin">
          <color theme="2" tint="-9.9978637043366805E-2"/>
        </bottom>
      </border>
    </dxf>
    <dxf>
      <font>
        <strike val="0"/>
        <outline val="0"/>
        <shadow val="0"/>
        <u val="none"/>
        <vertAlign val="baseline"/>
        <sz val="10"/>
        <name val="Calibri"/>
        <family val="2"/>
        <scheme val="minor"/>
      </font>
      <numFmt numFmtId="4" formatCode="#,##0.00"/>
      <alignment horizontal="right" vertical="bottom" textRotation="0" wrapText="0" indent="0" justifyLastLine="0" shrinkToFit="1"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border>
      <protection locked="0" hidden="0"/>
    </dxf>
    <dxf>
      <font>
        <b val="0"/>
        <i val="0"/>
        <strike val="0"/>
        <condense val="0"/>
        <extend val="0"/>
        <outline val="0"/>
        <shadow val="0"/>
        <u val="none"/>
        <vertAlign val="baseline"/>
        <sz val="10"/>
        <color theme="1"/>
        <name val="Calibri"/>
        <family val="2"/>
        <scheme val="minor"/>
      </font>
      <numFmt numFmtId="4" formatCode="#,##0.00"/>
      <alignment horizontal="right" vertical="bottom" textRotation="0" wrapText="0" indent="0" justifyLastLine="0" shrinkToFit="1" readingOrder="0"/>
      <border diagonalUp="0" diagonalDown="0" outline="0">
        <left style="thin">
          <color theme="2" tint="-9.9978637043366805E-2"/>
        </left>
        <right style="thin">
          <color theme="2" tint="-9.9978637043366805E-2"/>
        </right>
        <top/>
        <bottom/>
      </border>
    </dxf>
    <dxf>
      <font>
        <strike val="0"/>
        <outline val="0"/>
        <shadow val="0"/>
        <u val="none"/>
        <vertAlign val="baseline"/>
        <sz val="10"/>
        <name val="Calibri"/>
        <family val="2"/>
        <scheme val="minor"/>
      </font>
      <numFmt numFmtId="4" formatCode="#,##0.00"/>
      <fill>
        <patternFill patternType="solid">
          <fgColor indexed="64"/>
          <bgColor theme="9" tint="-0.249977111117893"/>
        </patternFill>
      </fill>
      <alignment horizontal="right" vertical="bottom" textRotation="0" wrapText="0" indent="0" justifyLastLine="0" shrinkToFit="1" readingOrder="0"/>
      <border diagonalUp="0" diagonalDown="0">
        <left style="thin">
          <color theme="2" tint="-9.9978637043366805E-2"/>
        </left>
      </border>
      <protection locked="1" hidden="0"/>
    </dxf>
    <dxf>
      <font>
        <b val="0"/>
        <i val="0"/>
        <strike val="0"/>
        <condense val="0"/>
        <extend val="0"/>
        <outline val="0"/>
        <shadow val="0"/>
        <u val="none"/>
        <vertAlign val="baseline"/>
        <sz val="10"/>
        <color theme="1"/>
        <name val="Calibri"/>
        <family val="2"/>
        <scheme val="minor"/>
      </font>
      <numFmt numFmtId="4" formatCode="#,##0.00"/>
      <alignment horizontal="right" vertical="bottom" textRotation="0" wrapText="0" indent="0" justifyLastLine="0" shrinkToFit="1" readingOrder="0"/>
    </dxf>
    <dxf>
      <font>
        <b val="0"/>
        <i val="0"/>
        <strike val="0"/>
        <condense val="0"/>
        <extend val="0"/>
        <outline val="0"/>
        <shadow val="0"/>
        <u val="none"/>
        <vertAlign val="baseline"/>
        <sz val="10"/>
        <color theme="1"/>
        <name val="Calibri"/>
        <family val="2"/>
        <scheme val="minor"/>
      </font>
      <numFmt numFmtId="30" formatCode="@"/>
      <alignment horizontal="center" vertical="center" textRotation="0" wrapText="0" indent="0" justifyLastLine="0" shrinkToFit="1"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protection locked="0" hidden="0"/>
    </dxf>
    <dxf>
      <font>
        <b val="0"/>
        <i val="0"/>
        <strike val="0"/>
        <condense val="0"/>
        <extend val="0"/>
        <outline val="0"/>
        <shadow val="0"/>
        <u val="none"/>
        <vertAlign val="baseline"/>
        <sz val="10"/>
        <color theme="1"/>
        <name val="Calibri"/>
        <family val="2"/>
        <scheme val="minor"/>
      </font>
      <numFmt numFmtId="4" formatCode="#,##0.00"/>
      <alignment horizontal="right" vertical="bottom" textRotation="0" wrapText="0" indent="0" justifyLastLine="0" shrinkToFit="1" readingOrder="0"/>
      <border diagonalUp="0" diagonalDown="0" outline="0">
        <left/>
        <right/>
        <top style="thin">
          <color theme="2" tint="-9.9978637043366805E-2"/>
        </top>
        <bottom style="thin">
          <color theme="2" tint="-9.9978637043366805E-2"/>
        </bottom>
      </border>
    </dxf>
    <dxf>
      <font>
        <b val="0"/>
        <i val="0"/>
        <strike val="0"/>
        <condense val="0"/>
        <extend val="0"/>
        <outline val="0"/>
        <shadow val="0"/>
        <u val="none"/>
        <vertAlign val="baseline"/>
        <sz val="10"/>
        <color rgb="FFFF99FF"/>
        <name val="Calibri"/>
        <family val="2"/>
        <scheme val="minor"/>
      </font>
      <numFmt numFmtId="0" formatCode="General"/>
      <alignment horizontal="righ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border>
      <protection locked="1" hidden="0"/>
    </dxf>
    <dxf>
      <font>
        <b val="0"/>
        <i val="0"/>
        <strike val="0"/>
        <condense val="0"/>
        <extend val="0"/>
        <outline val="0"/>
        <shadow val="0"/>
        <u val="none"/>
        <vertAlign val="baseline"/>
        <sz val="10"/>
        <color theme="1"/>
        <name val="Calibri"/>
        <family val="2"/>
        <scheme val="minor"/>
      </font>
      <numFmt numFmtId="4" formatCode="#,##0.00"/>
      <alignment horizontal="right" vertical="bottom" textRotation="0" wrapText="0" indent="0" justifyLastLine="0" shrinkToFit="1" readingOrder="0"/>
      <border diagonalUp="0" diagonalDown="0" outline="0">
        <left style="thin">
          <color theme="2" tint="-9.9978637043366805E-2"/>
        </left>
        <right/>
        <top style="thin">
          <color theme="2" tint="-9.9978637043366805E-2"/>
        </top>
        <bottom style="thin">
          <color theme="2" tint="-9.9978637043366805E-2"/>
        </bottom>
      </border>
    </dxf>
    <dxf>
      <font>
        <strike val="0"/>
        <outline val="0"/>
        <shadow val="0"/>
        <u val="none"/>
        <vertAlign val="baseline"/>
        <sz val="10"/>
        <name val="Calibri"/>
        <family val="2"/>
        <scheme val="minor"/>
      </font>
      <numFmt numFmtId="4" formatCode="#,##0.00"/>
      <alignment horizontal="right" vertical="bottom" textRotation="0" wrapText="0" indent="0" justifyLastLine="0" shrinkToFit="1" readingOrder="0"/>
      <border diagonalUp="0" diagonalDown="0">
        <left style="thin">
          <color theme="2" tint="-9.9978637043366805E-2"/>
        </left>
        <right/>
        <top style="thin">
          <color theme="2" tint="-9.9978637043366805E-2"/>
        </top>
        <bottom style="thin">
          <color theme="2" tint="-9.9978637043366805E-2"/>
        </bottom>
        <vertical/>
      </border>
      <protection locked="0" hidden="0"/>
    </dxf>
    <dxf>
      <font>
        <b val="0"/>
        <i val="0"/>
        <strike val="0"/>
        <condense val="0"/>
        <extend val="0"/>
        <outline val="0"/>
        <shadow val="0"/>
        <u val="none"/>
        <vertAlign val="baseline"/>
        <sz val="10"/>
        <color theme="1"/>
        <name val="Calibri"/>
        <family val="2"/>
        <scheme val="minor"/>
      </font>
      <numFmt numFmtId="4" formatCode="#,##0.00"/>
      <alignment horizontal="right" vertical="bottom" textRotation="0" wrapText="0" indent="0" justifyLastLine="0" shrinkToFit="1" readingOrder="0"/>
    </dxf>
    <dxf>
      <font>
        <strike val="0"/>
        <outline val="0"/>
        <shadow val="0"/>
        <u val="none"/>
        <vertAlign val="baseline"/>
        <sz val="10"/>
        <name val="Calibri"/>
        <family val="2"/>
        <scheme val="minor"/>
      </font>
      <numFmt numFmtId="4" formatCode="#,##0.00"/>
      <fill>
        <patternFill patternType="solid">
          <fgColor indexed="64"/>
          <bgColor theme="9" tint="-0.249977111117893"/>
        </patternFill>
      </fill>
      <alignment horizontal="right" vertical="bottom" textRotation="0" wrapText="0" indent="0" justifyLastLine="0" shrinkToFit="1" readingOrder="0"/>
      <border diagonalUp="0" diagonalDown="0">
        <left style="thin">
          <color theme="2" tint="-9.9978637043366805E-2"/>
        </left>
      </border>
      <protection locked="1" hidden="0"/>
    </dxf>
    <dxf>
      <font>
        <b val="0"/>
        <i val="0"/>
        <strike val="0"/>
        <condense val="0"/>
        <extend val="0"/>
        <outline val="0"/>
        <shadow val="0"/>
        <u val="none"/>
        <vertAlign val="baseline"/>
        <sz val="10"/>
        <color theme="1"/>
        <name val="Calibri"/>
        <family val="2"/>
        <scheme val="minor"/>
      </font>
      <numFmt numFmtId="4" formatCode="#,##0.00"/>
      <alignment horizontal="right" vertical="bottom" textRotation="0" wrapText="0" indent="0" justifyLastLine="0" shrinkToFit="1"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strike val="0"/>
        <outline val="0"/>
        <shadow val="0"/>
        <u val="none"/>
        <vertAlign val="baseline"/>
        <sz val="10"/>
        <color theme="1" tint="0.499984740745262"/>
        <name val="Calibri"/>
        <family val="2"/>
        <scheme val="minor"/>
      </font>
      <numFmt numFmtId="4" formatCode="#,##0.00"/>
      <alignment horizontal="right" vertical="bottom" textRotation="0" wrapText="0" indent="0" justifyLastLine="0" shrinkToFit="1"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border>
      <protection locked="1" hidden="0"/>
    </dxf>
    <dxf>
      <font>
        <b val="0"/>
        <i val="0"/>
        <strike val="0"/>
        <condense val="0"/>
        <extend val="0"/>
        <outline val="0"/>
        <shadow val="0"/>
        <u val="none"/>
        <vertAlign val="baseline"/>
        <sz val="10"/>
        <color theme="1"/>
        <name val="Calibri"/>
        <family val="2"/>
        <scheme val="minor"/>
      </font>
      <numFmt numFmtId="4" formatCode="#,##0.00"/>
      <alignment horizontal="right" vertical="bottom" textRotation="0" wrapText="0" indent="0" justifyLastLine="0" shrinkToFit="1"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strike val="0"/>
        <outline val="0"/>
        <shadow val="0"/>
        <u val="none"/>
        <vertAlign val="baseline"/>
        <sz val="10"/>
        <color theme="1" tint="0.499984740745262"/>
        <name val="Calibri"/>
        <family val="2"/>
        <scheme val="minor"/>
      </font>
      <numFmt numFmtId="4" formatCode="#,##0.00"/>
      <alignment horizontal="right" vertical="bottom" textRotation="0" wrapText="0" indent="0" justifyLastLine="0" shrinkToFit="1"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border>
      <protection locked="1" hidden="0"/>
    </dxf>
    <dxf>
      <font>
        <b val="0"/>
        <i val="0"/>
        <strike val="0"/>
        <condense val="0"/>
        <extend val="0"/>
        <outline val="0"/>
        <shadow val="0"/>
        <u val="none"/>
        <vertAlign val="baseline"/>
        <sz val="10"/>
        <color theme="1"/>
        <name val="Calibri"/>
        <family val="2"/>
        <scheme val="minor"/>
      </font>
      <numFmt numFmtId="4" formatCode="#,##0.00"/>
      <alignment horizontal="right" vertical="bottom" textRotation="0" wrapText="0" indent="0" justifyLastLine="0" shrinkToFit="1" readingOrder="0"/>
      <border diagonalUp="0" diagonalDown="0" outline="0">
        <left/>
        <right style="thin">
          <color theme="2" tint="-9.9978637043366805E-2"/>
        </right>
        <top style="thin">
          <color theme="2" tint="-9.9978637043366805E-2"/>
        </top>
        <bottom style="thin">
          <color theme="2" tint="-9.9978637043366805E-2"/>
        </bottom>
      </border>
    </dxf>
    <dxf>
      <font>
        <strike val="0"/>
        <outline val="0"/>
        <shadow val="0"/>
        <u val="none"/>
        <vertAlign val="baseline"/>
        <sz val="10"/>
        <color theme="1" tint="0.499984740745262"/>
        <name val="Calibri"/>
        <family val="2"/>
        <scheme val="minor"/>
      </font>
      <numFmt numFmtId="4" formatCode="#,##0.00"/>
      <alignment horizontal="right" vertical="bottom" textRotation="0" wrapText="0" indent="0" justifyLastLine="0" shrinkToFit="1"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protection locked="1" hidden="0"/>
    </dxf>
    <dxf>
      <font>
        <b val="0"/>
        <i val="0"/>
        <strike val="0"/>
        <condense val="0"/>
        <extend val="0"/>
        <outline val="0"/>
        <shadow val="0"/>
        <u val="none"/>
        <vertAlign val="baseline"/>
        <sz val="10"/>
        <color theme="1"/>
        <name val="Calibri"/>
        <family val="2"/>
        <scheme val="minor"/>
      </font>
      <numFmt numFmtId="4" formatCode="#,##0.00"/>
      <alignment horizontal="right" vertical="bottom" textRotation="0" wrapText="0" indent="0" justifyLastLine="0" shrinkToFit="1" readingOrder="0"/>
      <border diagonalUp="0" diagonalDown="0" outline="0">
        <left/>
        <right style="thin">
          <color theme="2" tint="-9.9978637043366805E-2"/>
        </right>
        <top style="thin">
          <color theme="2" tint="-9.9978637043366805E-2"/>
        </top>
        <bottom style="thin">
          <color theme="2" tint="-9.9978637043366805E-2"/>
        </bottom>
      </border>
    </dxf>
    <dxf>
      <font>
        <b val="0"/>
        <i val="0"/>
        <strike val="0"/>
        <condense val="0"/>
        <extend val="0"/>
        <outline val="0"/>
        <shadow val="0"/>
        <u val="none"/>
        <vertAlign val="baseline"/>
        <sz val="10"/>
        <color rgb="FFFF99FF"/>
        <name val="Calibri"/>
        <family val="2"/>
        <scheme val="minor"/>
      </font>
      <numFmt numFmtId="0" formatCode="General"/>
      <alignment horizontal="righ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border>
      <protection locked="1" hidden="0"/>
    </dxf>
    <dxf>
      <font>
        <b val="0"/>
        <i val="0"/>
        <strike val="0"/>
        <condense val="0"/>
        <extend val="0"/>
        <outline val="0"/>
        <shadow val="0"/>
        <u val="none"/>
        <vertAlign val="baseline"/>
        <sz val="10"/>
        <color theme="1"/>
        <name val="Calibri"/>
        <family val="2"/>
        <scheme val="minor"/>
      </font>
      <numFmt numFmtId="4" formatCode="#,##0.00"/>
      <alignment horizontal="right" vertical="bottom" textRotation="0" wrapText="0" indent="0" justifyLastLine="0" shrinkToFit="1" readingOrder="0"/>
      <border diagonalUp="0" diagonalDown="0" outline="0">
        <left style="thin">
          <color theme="2" tint="-9.9978637043366805E-2"/>
        </left>
        <right/>
        <top style="thin">
          <color theme="2" tint="-9.9978637043366805E-2"/>
        </top>
        <bottom style="thin">
          <color theme="2" tint="-9.9978637043366805E-2"/>
        </bottom>
      </border>
    </dxf>
    <dxf>
      <font>
        <strike val="0"/>
        <outline val="0"/>
        <shadow val="0"/>
        <u val="none"/>
        <vertAlign val="baseline"/>
        <sz val="10"/>
        <name val="Calibri"/>
        <family val="2"/>
        <scheme val="minor"/>
      </font>
      <numFmt numFmtId="4" formatCode="#,##0.00"/>
      <alignment horizontal="right" vertical="bottom" textRotation="0" wrapText="0" indent="0" justifyLastLine="0" shrinkToFit="1" readingOrder="0"/>
      <border diagonalUp="0" diagonalDown="0">
        <left style="thin">
          <color theme="2" tint="-9.9978637043366805E-2"/>
        </left>
        <right/>
        <top style="thin">
          <color theme="2" tint="-9.9978637043366805E-2"/>
        </top>
        <bottom style="thin">
          <color theme="2" tint="-9.9978637043366805E-2"/>
        </bottom>
        <vertical/>
      </border>
      <protection locked="0" hidden="0"/>
    </dxf>
    <dxf>
      <font>
        <b val="0"/>
        <i val="0"/>
        <strike val="0"/>
        <condense val="0"/>
        <extend val="0"/>
        <outline val="0"/>
        <shadow val="0"/>
        <u val="none"/>
        <vertAlign val="baseline"/>
        <sz val="10"/>
        <color theme="1"/>
        <name val="Calibri"/>
        <family val="2"/>
        <scheme val="minor"/>
      </font>
      <numFmt numFmtId="4" formatCode="#,##0.00"/>
      <alignment horizontal="right" vertical="bottom" textRotation="0" wrapText="0" indent="0" justifyLastLine="0" shrinkToFit="1"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strike val="0"/>
        <outline val="0"/>
        <shadow val="0"/>
        <u val="none"/>
        <vertAlign val="baseline"/>
        <sz val="10"/>
        <name val="Calibri"/>
        <family val="2"/>
        <scheme val="minor"/>
      </font>
      <numFmt numFmtId="4" formatCode="#,##0.00"/>
      <alignment horizontal="right" vertical="bottom" textRotation="0" wrapText="0" indent="0" justifyLastLine="0" shrinkToFit="1"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border>
      <protection locked="0" hidden="0"/>
    </dxf>
    <dxf>
      <border outline="0">
        <top style="thin">
          <color rgb="FFD0CECE"/>
        </top>
      </border>
    </dxf>
    <dxf>
      <font>
        <strike val="0"/>
        <outline val="0"/>
        <shadow val="0"/>
        <u val="none"/>
        <vertAlign val="baseline"/>
        <sz val="10"/>
        <name val="Calibri"/>
        <family val="2"/>
        <scheme val="none"/>
      </font>
      <numFmt numFmtId="4" formatCode="#,##0.00"/>
      <alignment horizontal="right" vertical="bottom" textRotation="0" wrapText="0" indent="0" justifyLastLine="0" shrinkToFit="0" readingOrder="0"/>
      <border diagonalUp="0" diagonalDown="0">
        <left style="thin">
          <color rgb="FFD0CECE"/>
        </left>
        <right style="thin">
          <color rgb="FFD0CECE"/>
        </right>
        <top/>
        <bottom/>
      </border>
      <protection locked="1" hidden="0"/>
    </dxf>
    <dxf>
      <border outline="0">
        <left style="thin">
          <color rgb="FFD0CECE"/>
        </left>
        <right style="thin">
          <color rgb="FFD0CECE"/>
        </right>
        <top style="thin">
          <color rgb="FFD0CECE"/>
        </top>
        <bottom style="thin">
          <color rgb="FFD0CECE"/>
        </bottom>
      </border>
    </dxf>
    <dxf>
      <font>
        <strike val="0"/>
        <outline val="0"/>
        <shadow val="0"/>
        <u val="none"/>
        <vertAlign val="baseline"/>
        <sz val="10"/>
        <name val="Calibri"/>
        <family val="2"/>
        <scheme val="none"/>
      </font>
      <numFmt numFmtId="4" formatCode="#,##0.00"/>
      <alignment horizontal="right" vertical="bottom" textRotation="0" wrapText="0" indent="0" justifyLastLine="0" shrinkToFit="0" readingOrder="0"/>
      <protection locked="1" hidden="0"/>
    </dxf>
    <dxf>
      <border outline="0">
        <bottom style="thin">
          <color rgb="FFD0CECE"/>
        </bottom>
      </border>
    </dxf>
    <dxf>
      <font>
        <b/>
        <i val="0"/>
        <strike val="0"/>
        <condense val="0"/>
        <extend val="0"/>
        <outline val="0"/>
        <shadow val="0"/>
        <u val="none"/>
        <vertAlign val="baseline"/>
        <sz val="10"/>
        <color theme="0"/>
        <name val="Calibri"/>
        <family val="2"/>
        <scheme val="minor"/>
      </font>
      <numFmt numFmtId="4" formatCode="#,##0.00"/>
      <fill>
        <patternFill patternType="solid">
          <fgColor indexed="64"/>
          <bgColor theme="9" tint="-0.249977111117893"/>
        </patternFill>
      </fill>
      <alignment horizontal="center" vertical="bottom" textRotation="0" wrapText="0" indent="0" justifyLastLine="0" shrinkToFit="0" readingOrder="0"/>
      <border diagonalUp="0" diagonalDown="0">
        <left style="thin">
          <color theme="2" tint="-9.9978637043366805E-2"/>
        </left>
        <right style="thin">
          <color theme="2" tint="-9.9978637043366805E-2"/>
        </right>
        <top/>
        <bottom/>
      </border>
      <protection locked="1" hidden="0"/>
    </dxf>
    <dxf>
      <font>
        <b val="0"/>
        <i val="0"/>
        <strike val="0"/>
        <condense val="0"/>
        <extend val="0"/>
        <outline val="0"/>
        <shadow val="0"/>
        <u val="none"/>
        <vertAlign val="baseline"/>
        <sz val="10"/>
        <color theme="1"/>
        <name val="Calibri"/>
        <family val="2"/>
        <scheme val="minor"/>
      </font>
      <numFmt numFmtId="4" formatCode="#,##0.00"/>
      <alignment horizontal="right" vertical="bottom" textRotation="0" wrapText="0" indent="0" justifyLastLine="0" shrinkToFit="1" readingOrder="0"/>
      <border diagonalUp="0" diagonalDown="0" outline="0">
        <left/>
        <right style="thin">
          <color theme="2" tint="-9.9978637043366805E-2"/>
        </right>
        <top style="thin">
          <color theme="2" tint="-9.9978637043366805E-2"/>
        </top>
        <bottom style="thin">
          <color theme="2" tint="-9.9978637043366805E-2"/>
        </bottom>
      </border>
    </dxf>
    <dxf>
      <font>
        <strike val="0"/>
        <outline val="0"/>
        <shadow val="0"/>
        <u val="none"/>
        <vertAlign val="baseline"/>
        <sz val="10"/>
        <name val="Calibri"/>
        <family val="2"/>
        <scheme val="minor"/>
      </font>
      <numFmt numFmtId="4" formatCode="#,##0.00"/>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border>
      <protection locked="0" hidden="0"/>
    </dxf>
    <dxf>
      <font>
        <b val="0"/>
        <i val="0"/>
        <strike val="0"/>
        <condense val="0"/>
        <extend val="0"/>
        <outline val="0"/>
        <shadow val="0"/>
        <u val="none"/>
        <vertAlign val="baseline"/>
        <sz val="10"/>
        <color theme="1"/>
        <name val="Calibri"/>
        <family val="2"/>
        <scheme val="minor"/>
      </font>
      <numFmt numFmtId="4" formatCode="#,##0.00"/>
      <alignment horizontal="right" vertical="bottom" textRotation="0" wrapText="0" indent="0" justifyLastLine="0" shrinkToFit="1" readingOrder="0"/>
      <border diagonalUp="0" diagonalDown="0" outline="0">
        <left style="thin">
          <color theme="2" tint="-9.9978637043366805E-2"/>
        </left>
        <right/>
        <top style="thin">
          <color theme="2" tint="-9.9978637043366805E-2"/>
        </top>
        <bottom style="thin">
          <color theme="2" tint="-9.9978637043366805E-2"/>
        </bottom>
      </border>
    </dxf>
    <dxf>
      <font>
        <strike val="0"/>
        <outline val="0"/>
        <shadow val="0"/>
        <u val="none"/>
        <vertAlign val="baseline"/>
        <sz val="10"/>
        <name val="Calibri"/>
        <family val="2"/>
        <scheme val="minor"/>
      </font>
      <numFmt numFmtId="4" formatCode="#,##0.00"/>
      <alignment horizontal="right" vertical="bottom" textRotation="0" wrapText="0" indent="0" justifyLastLine="0" shrinkToFit="1"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border>
      <protection locked="0" hidden="0"/>
    </dxf>
    <dxf>
      <font>
        <b val="0"/>
        <i val="0"/>
        <strike val="0"/>
        <condense val="0"/>
        <extend val="0"/>
        <outline val="0"/>
        <shadow val="0"/>
        <u val="none"/>
        <vertAlign val="baseline"/>
        <sz val="10"/>
        <color theme="1"/>
        <name val="Calibri"/>
        <family val="2"/>
        <scheme val="minor"/>
      </font>
      <numFmt numFmtId="4" formatCode="#,##0.00"/>
      <alignment horizontal="right" vertical="bottom" textRotation="0" wrapText="0" indent="0" justifyLastLine="0" shrinkToFit="1" readingOrder="0"/>
      <border diagonalUp="0" diagonalDown="0" outline="0">
        <left style="thin">
          <color theme="2" tint="-9.9978637043366805E-2"/>
        </left>
        <right style="thin">
          <color theme="2" tint="-9.9978637043366805E-2"/>
        </right>
        <top/>
        <bottom/>
      </border>
    </dxf>
    <dxf>
      <protection locked="1" hidden="0"/>
    </dxf>
    <dxf>
      <font>
        <b val="0"/>
        <i val="0"/>
        <strike val="0"/>
        <condense val="0"/>
        <extend val="0"/>
        <outline val="0"/>
        <shadow val="0"/>
        <u val="none"/>
        <vertAlign val="baseline"/>
        <sz val="10"/>
        <color theme="1"/>
        <name val="Calibri"/>
        <family val="2"/>
        <scheme val="minor"/>
      </font>
      <numFmt numFmtId="4" formatCode="#,##0.00"/>
      <alignment horizontal="right" vertical="bottom" textRotation="0" wrapText="0" indent="0" justifyLastLine="0" shrinkToFit="1" readingOrder="0"/>
    </dxf>
    <dxf>
      <border outline="0">
        <left style="thin">
          <color theme="2" tint="-9.9978637043366805E-2"/>
        </left>
      </border>
      <protection locked="0" hidden="0"/>
    </dxf>
    <dxf>
      <font>
        <b val="0"/>
        <i val="0"/>
        <strike val="0"/>
        <condense val="0"/>
        <extend val="0"/>
        <outline val="0"/>
        <shadow val="0"/>
        <u val="none"/>
        <vertAlign val="baseline"/>
        <sz val="10"/>
        <color theme="1"/>
        <name val="Calibri"/>
        <family val="2"/>
        <scheme val="minor"/>
      </font>
      <numFmt numFmtId="4" formatCode="#,##0.00"/>
      <alignment horizontal="right" vertical="bottom" textRotation="0" wrapText="0" indent="0" justifyLastLine="0" shrinkToFit="1" readingOrder="0"/>
      <border diagonalUp="0" diagonalDown="0" outline="0">
        <left/>
        <right/>
        <top style="thin">
          <color theme="2" tint="-9.9978637043366805E-2"/>
        </top>
        <bottom style="thin">
          <color theme="2" tint="-9.9978637043366805E-2"/>
        </bottom>
      </border>
    </dxf>
    <dxf>
      <font>
        <b val="0"/>
        <i val="0"/>
        <strike val="0"/>
        <condense val="0"/>
        <extend val="0"/>
        <outline val="0"/>
        <shadow val="0"/>
        <u val="none"/>
        <vertAlign val="baseline"/>
        <sz val="10"/>
        <color rgb="FFFF99FF"/>
        <name val="Calibri"/>
        <family val="2"/>
        <scheme val="minor"/>
      </font>
      <numFmt numFmtId="0" formatCode="General"/>
      <alignment horizontal="righ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border>
      <protection locked="1" hidden="0"/>
    </dxf>
    <dxf>
      <font>
        <b val="0"/>
        <i val="0"/>
        <strike val="0"/>
        <condense val="0"/>
        <extend val="0"/>
        <outline val="0"/>
        <shadow val="0"/>
        <u val="none"/>
        <vertAlign val="baseline"/>
        <sz val="10"/>
        <color theme="1"/>
        <name val="Calibri"/>
        <family val="2"/>
        <scheme val="minor"/>
      </font>
      <numFmt numFmtId="4" formatCode="#,##0.00"/>
      <alignment horizontal="right" vertical="bottom" textRotation="0" wrapText="0" indent="0" justifyLastLine="0" shrinkToFit="1" readingOrder="0"/>
      <border diagonalUp="0" diagonalDown="0" outline="0">
        <left style="thin">
          <color theme="2" tint="-9.9978637043366805E-2"/>
        </left>
        <right/>
        <top style="thin">
          <color theme="2" tint="-9.9978637043366805E-2"/>
        </top>
        <bottom style="thin">
          <color theme="2" tint="-9.9978637043366805E-2"/>
        </bottom>
      </border>
    </dxf>
    <dxf>
      <font>
        <strike val="0"/>
        <outline val="0"/>
        <shadow val="0"/>
        <u val="none"/>
        <vertAlign val="baseline"/>
        <sz val="10"/>
        <name val="Calibri"/>
        <family val="2"/>
        <scheme val="minor"/>
      </font>
      <numFmt numFmtId="4" formatCode="#,##0.00"/>
      <alignment horizontal="right" vertical="bottom" textRotation="0" wrapText="0" indent="0" justifyLastLine="0" shrinkToFit="1" readingOrder="0"/>
      <border diagonalUp="0" diagonalDown="0">
        <left style="thin">
          <color theme="2" tint="-9.9978637043366805E-2"/>
        </left>
        <right/>
        <top style="thin">
          <color theme="2" tint="-9.9978637043366805E-2"/>
        </top>
        <bottom style="thin">
          <color theme="2" tint="-9.9978637043366805E-2"/>
        </bottom>
        <vertical/>
      </border>
      <protection locked="0" hidden="0"/>
    </dxf>
    <dxf>
      <font>
        <b val="0"/>
        <i val="0"/>
        <strike val="0"/>
        <condense val="0"/>
        <extend val="0"/>
        <outline val="0"/>
        <shadow val="0"/>
        <u val="none"/>
        <vertAlign val="baseline"/>
        <sz val="10"/>
        <color theme="1"/>
        <name val="Calibri"/>
        <family val="2"/>
        <scheme val="minor"/>
      </font>
      <numFmt numFmtId="4" formatCode="#,##0.00"/>
      <alignment horizontal="right" vertical="bottom" textRotation="0" wrapText="0" indent="0" justifyLastLine="0" shrinkToFit="1" readingOrder="0"/>
    </dxf>
    <dxf>
      <font>
        <strike val="0"/>
        <outline val="0"/>
        <shadow val="0"/>
        <u val="none"/>
        <vertAlign val="baseline"/>
        <sz val="10"/>
        <name val="Calibri"/>
        <family val="2"/>
        <scheme val="minor"/>
      </font>
      <numFmt numFmtId="4" formatCode="#,##0.00"/>
      <fill>
        <patternFill patternType="solid">
          <fgColor indexed="64"/>
          <bgColor theme="5" tint="-0.249977111117893"/>
        </patternFill>
      </fill>
      <alignment horizontal="right" vertical="bottom" textRotation="0" wrapText="0" indent="0" justifyLastLine="0" shrinkToFit="1" readingOrder="0"/>
      <border diagonalUp="0" diagonalDown="0">
        <left style="thin">
          <color theme="2" tint="-9.9978637043366805E-2"/>
        </left>
      </border>
      <protection locked="1" hidden="0"/>
    </dxf>
    <dxf>
      <font>
        <b val="0"/>
        <i val="0"/>
        <strike val="0"/>
        <condense val="0"/>
        <extend val="0"/>
        <outline val="0"/>
        <shadow val="0"/>
        <u val="none"/>
        <vertAlign val="baseline"/>
        <sz val="10"/>
        <color theme="1"/>
        <name val="Calibri"/>
        <family val="2"/>
        <scheme val="minor"/>
      </font>
      <numFmt numFmtId="4" formatCode="#,##0.00"/>
      <alignment horizontal="right" vertical="bottom" textRotation="0" wrapText="0" indent="0" justifyLastLine="0" shrinkToFit="1"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strike val="0"/>
        <outline val="0"/>
        <shadow val="0"/>
        <u val="none"/>
        <vertAlign val="baseline"/>
        <sz val="10"/>
        <color theme="1" tint="0.499984740745262"/>
        <name val="Calibri"/>
        <family val="2"/>
        <scheme val="minor"/>
      </font>
      <numFmt numFmtId="4" formatCode="#,##0.00"/>
      <alignment horizontal="right" vertical="bottom" textRotation="0" wrapText="0" indent="0" justifyLastLine="0" shrinkToFit="1"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border>
      <protection locked="1" hidden="0"/>
    </dxf>
    <dxf>
      <font>
        <b val="0"/>
        <i val="0"/>
        <strike val="0"/>
        <condense val="0"/>
        <extend val="0"/>
        <outline val="0"/>
        <shadow val="0"/>
        <u val="none"/>
        <vertAlign val="baseline"/>
        <sz val="10"/>
        <color theme="1"/>
        <name val="Calibri"/>
        <family val="2"/>
        <scheme val="minor"/>
      </font>
      <numFmt numFmtId="4" formatCode="#,##0.00"/>
      <alignment horizontal="right" vertical="bottom" textRotation="0" wrapText="0" indent="0" justifyLastLine="0" shrinkToFit="1"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strike val="0"/>
        <outline val="0"/>
        <shadow val="0"/>
        <u val="none"/>
        <vertAlign val="baseline"/>
        <sz val="10"/>
        <color theme="1" tint="0.499984740745262"/>
        <name val="Calibri"/>
        <family val="2"/>
        <scheme val="minor"/>
      </font>
      <numFmt numFmtId="4" formatCode="#,##0.00"/>
      <alignment horizontal="right" vertical="bottom" textRotation="0" wrapText="0" indent="0" justifyLastLine="0" shrinkToFit="1"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border>
      <protection locked="1" hidden="0"/>
    </dxf>
    <dxf>
      <font>
        <b val="0"/>
        <i val="0"/>
        <strike val="0"/>
        <condense val="0"/>
        <extend val="0"/>
        <outline val="0"/>
        <shadow val="0"/>
        <u val="none"/>
        <vertAlign val="baseline"/>
        <sz val="10"/>
        <color theme="1"/>
        <name val="Calibri"/>
        <family val="2"/>
        <scheme val="minor"/>
      </font>
      <numFmt numFmtId="4" formatCode="#,##0.00"/>
      <alignment horizontal="right" vertical="bottom" textRotation="0" wrapText="0" indent="0" justifyLastLine="0" shrinkToFit="1" readingOrder="0"/>
      <border diagonalUp="0" diagonalDown="0" outline="0">
        <left/>
        <right style="thin">
          <color theme="2" tint="-9.9978637043366805E-2"/>
        </right>
        <top style="thin">
          <color theme="2" tint="-9.9978637043366805E-2"/>
        </top>
        <bottom style="thin">
          <color theme="2" tint="-9.9978637043366805E-2"/>
        </bottom>
      </border>
    </dxf>
    <dxf>
      <border outline="0">
        <left style="thin">
          <color theme="2" tint="-9.9978637043366805E-2"/>
        </left>
      </border>
    </dxf>
    <dxf>
      <font>
        <b val="0"/>
        <i val="0"/>
        <strike val="0"/>
        <condense val="0"/>
        <extend val="0"/>
        <outline val="0"/>
        <shadow val="0"/>
        <u val="none"/>
        <vertAlign val="baseline"/>
        <sz val="10"/>
        <color theme="1"/>
        <name val="Calibri"/>
        <family val="2"/>
        <scheme val="minor"/>
      </font>
      <numFmt numFmtId="4" formatCode="#,##0.00"/>
      <alignment horizontal="right" vertical="bottom" textRotation="0" wrapText="0" indent="0" justifyLastLine="0" shrinkToFit="1" readingOrder="0"/>
      <border diagonalUp="0" diagonalDown="0" outline="0">
        <left/>
        <right style="thin">
          <color theme="2" tint="-9.9978637043366805E-2"/>
        </right>
        <top style="thin">
          <color theme="2" tint="-9.9978637043366805E-2"/>
        </top>
        <bottom style="thin">
          <color theme="2" tint="-9.9978637043366805E-2"/>
        </bottom>
      </border>
    </dxf>
    <dxf>
      <font>
        <b val="0"/>
        <i val="0"/>
        <strike val="0"/>
        <condense val="0"/>
        <extend val="0"/>
        <outline val="0"/>
        <shadow val="0"/>
        <u val="none"/>
        <vertAlign val="baseline"/>
        <sz val="10"/>
        <color rgb="FFFF99FF"/>
        <name val="Calibri"/>
        <family val="2"/>
        <scheme val="minor"/>
      </font>
      <numFmt numFmtId="0" formatCode="General"/>
      <alignment horizontal="righ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border>
      <protection locked="1" hidden="0"/>
    </dxf>
    <dxf>
      <font>
        <b val="0"/>
        <i val="0"/>
        <strike val="0"/>
        <condense val="0"/>
        <extend val="0"/>
        <outline val="0"/>
        <shadow val="0"/>
        <u val="none"/>
        <vertAlign val="baseline"/>
        <sz val="10"/>
        <color theme="1"/>
        <name val="Calibri"/>
        <family val="2"/>
        <scheme val="minor"/>
      </font>
      <numFmt numFmtId="4" formatCode="#,##0.00"/>
      <alignment horizontal="right" vertical="bottom" textRotation="0" wrapText="0" indent="0" justifyLastLine="0" shrinkToFit="1" readingOrder="0"/>
      <border diagonalUp="0" diagonalDown="0" outline="0">
        <left style="thin">
          <color theme="2" tint="-9.9978637043366805E-2"/>
        </left>
        <right/>
        <top style="thin">
          <color theme="2" tint="-9.9978637043366805E-2"/>
        </top>
        <bottom style="thin">
          <color theme="2" tint="-9.9978637043366805E-2"/>
        </bottom>
      </border>
    </dxf>
    <dxf>
      <font>
        <strike val="0"/>
        <outline val="0"/>
        <shadow val="0"/>
        <u val="none"/>
        <vertAlign val="baseline"/>
        <sz val="10"/>
        <name val="Calibri"/>
        <family val="2"/>
        <scheme val="minor"/>
      </font>
      <numFmt numFmtId="4" formatCode="#,##0.00"/>
      <alignment horizontal="right" vertical="bottom" textRotation="0" wrapText="0" indent="0" justifyLastLine="0" shrinkToFit="1" readingOrder="0"/>
      <border diagonalUp="0" diagonalDown="0">
        <left style="thin">
          <color theme="2" tint="-9.9978637043366805E-2"/>
        </left>
        <right/>
        <top style="thin">
          <color theme="2" tint="-9.9978637043366805E-2"/>
        </top>
        <bottom style="thin">
          <color theme="2" tint="-9.9978637043366805E-2"/>
        </bottom>
        <vertical/>
      </border>
      <protection locked="0" hidden="0"/>
    </dxf>
    <dxf>
      <font>
        <b val="0"/>
        <i val="0"/>
        <strike val="0"/>
        <condense val="0"/>
        <extend val="0"/>
        <outline val="0"/>
        <shadow val="0"/>
        <u val="none"/>
        <vertAlign val="baseline"/>
        <sz val="10"/>
        <color theme="1"/>
        <name val="Calibri"/>
        <family val="2"/>
        <scheme val="minor"/>
      </font>
      <numFmt numFmtId="4" formatCode="#,##0.00"/>
      <alignment horizontal="right" vertical="bottom" textRotation="0" wrapText="0" indent="0" justifyLastLine="0" shrinkToFit="1"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strike val="0"/>
        <outline val="0"/>
        <shadow val="0"/>
        <u val="none"/>
        <vertAlign val="baseline"/>
        <sz val="10"/>
        <name val="Calibri"/>
        <family val="2"/>
        <scheme val="minor"/>
      </font>
      <numFmt numFmtId="4" formatCode="#,##0.00"/>
      <alignment horizontal="right" vertical="bottom" textRotation="0" wrapText="0" indent="0" justifyLastLine="0" shrinkToFit="1"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vertical/>
        <horizontal/>
      </border>
      <protection locked="0" hidden="0"/>
    </dxf>
    <dxf>
      <border outline="0">
        <top style="thin">
          <color rgb="FFD0CECE"/>
        </top>
      </border>
    </dxf>
    <dxf>
      <font>
        <strike val="0"/>
        <outline val="0"/>
        <shadow val="0"/>
        <u val="none"/>
        <vertAlign val="baseline"/>
        <sz val="10"/>
        <name val="Calibri"/>
        <family val="2"/>
        <scheme val="none"/>
      </font>
      <numFmt numFmtId="4" formatCode="#,##0.00"/>
      <alignment horizontal="right" vertical="bottom" textRotation="0" wrapText="0" indent="0" justifyLastLine="0" shrinkToFit="0" readingOrder="0"/>
      <border diagonalUp="0" diagonalDown="0">
        <left style="thin">
          <color rgb="FFD0CECE"/>
        </left>
        <right style="thin">
          <color rgb="FFD0CECE"/>
        </right>
        <top/>
        <bottom/>
      </border>
      <protection locked="1" hidden="0"/>
    </dxf>
    <dxf>
      <border outline="0">
        <left style="thin">
          <color rgb="FFD0CECE"/>
        </left>
        <right style="thin">
          <color rgb="FFD0CECE"/>
        </right>
        <top style="thin">
          <color rgb="FFD0CECE"/>
        </top>
        <bottom style="thin">
          <color rgb="FFD0CECE"/>
        </bottom>
      </border>
    </dxf>
    <dxf>
      <font>
        <strike val="0"/>
        <outline val="0"/>
        <shadow val="0"/>
        <u val="none"/>
        <vertAlign val="baseline"/>
        <sz val="10"/>
        <name val="Calibri"/>
        <family val="2"/>
        <scheme val="none"/>
      </font>
      <numFmt numFmtId="4" formatCode="#,##0.00"/>
      <alignment horizontal="right" vertical="bottom" textRotation="0" wrapText="0" indent="0" justifyLastLine="0" shrinkToFit="0" readingOrder="0"/>
      <protection locked="1" hidden="0"/>
    </dxf>
    <dxf>
      <border outline="0">
        <bottom style="thin">
          <color rgb="FFD0CECE"/>
        </bottom>
      </border>
    </dxf>
    <dxf>
      <font>
        <b/>
        <i val="0"/>
        <strike val="0"/>
        <condense val="0"/>
        <extend val="0"/>
        <outline val="0"/>
        <shadow val="0"/>
        <u val="none"/>
        <vertAlign val="baseline"/>
        <sz val="10"/>
        <color theme="0"/>
        <name val="Calibri"/>
        <family val="2"/>
        <scheme val="minor"/>
      </font>
      <numFmt numFmtId="4" formatCode="#,##0.00"/>
      <fill>
        <patternFill patternType="solid">
          <fgColor indexed="64"/>
          <bgColor theme="5" tint="-0.249977111117893"/>
        </patternFill>
      </fill>
      <alignment horizontal="center" vertical="bottom" textRotation="0" wrapText="0" indent="0" justifyLastLine="0" shrinkToFit="0" readingOrder="0"/>
      <border diagonalUp="0" diagonalDown="0">
        <left style="thin">
          <color theme="2" tint="-9.9978637043366805E-2"/>
        </left>
        <right style="thin">
          <color theme="2" tint="-9.9978637043366805E-2"/>
        </right>
        <top/>
        <bottom/>
      </border>
      <protection locked="1" hidden="0"/>
    </dxf>
    <dxf>
      <font>
        <b val="0"/>
        <i val="0"/>
        <strike val="0"/>
        <condense val="0"/>
        <extend val="0"/>
        <outline val="0"/>
        <shadow val="0"/>
        <u val="none"/>
        <vertAlign val="baseline"/>
        <sz val="10"/>
        <color theme="1"/>
        <name val="Calibri"/>
        <family val="2"/>
        <scheme val="minor"/>
      </font>
      <numFmt numFmtId="4" formatCode="#,##0.00"/>
      <alignment horizontal="right" vertical="bottom" textRotation="0" wrapText="0" indent="0" justifyLastLine="0" shrinkToFit="1" readingOrder="0"/>
      <border diagonalUp="0" diagonalDown="0" outline="0">
        <left/>
        <right style="thin">
          <color theme="2" tint="-9.9978637043366805E-2"/>
        </right>
        <top style="thin">
          <color theme="2" tint="-9.9978637043366805E-2"/>
        </top>
        <bottom style="thin">
          <color theme="2" tint="-9.9978637043366805E-2"/>
        </bottom>
      </border>
    </dxf>
    <dxf>
      <font>
        <strike val="0"/>
        <outline val="0"/>
        <shadow val="0"/>
        <u val="none"/>
        <vertAlign val="baseline"/>
        <sz val="10"/>
        <name val="Calibri"/>
        <family val="2"/>
        <scheme val="minor"/>
      </font>
      <numFmt numFmtId="4" formatCode="#,##0.00"/>
      <alignment horizontal="lef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border>
      <protection locked="0" hidden="0"/>
    </dxf>
    <dxf>
      <font>
        <b val="0"/>
        <i val="0"/>
        <strike val="0"/>
        <condense val="0"/>
        <extend val="0"/>
        <outline val="0"/>
        <shadow val="0"/>
        <u val="none"/>
        <vertAlign val="baseline"/>
        <sz val="10"/>
        <color theme="1"/>
        <name val="Calibri"/>
        <family val="2"/>
        <scheme val="minor"/>
      </font>
      <numFmt numFmtId="4" formatCode="#,##0.00"/>
      <alignment horizontal="right" vertical="bottom" textRotation="0" wrapText="0" indent="0" justifyLastLine="0" shrinkToFit="1" readingOrder="0"/>
      <border diagonalUp="0" diagonalDown="0" outline="0">
        <left style="thin">
          <color theme="2" tint="-9.9978637043366805E-2"/>
        </left>
        <right/>
        <top style="thin">
          <color theme="2" tint="-9.9978637043366805E-2"/>
        </top>
        <bottom style="thin">
          <color theme="2" tint="-9.9978637043366805E-2"/>
        </bottom>
      </border>
    </dxf>
    <dxf>
      <font>
        <strike val="0"/>
        <outline val="0"/>
        <shadow val="0"/>
        <u val="none"/>
        <vertAlign val="baseline"/>
        <sz val="10"/>
        <name val="Calibri"/>
        <family val="2"/>
        <scheme val="minor"/>
      </font>
      <numFmt numFmtId="4" formatCode="#,##0.00"/>
      <alignment horizontal="right" vertical="bottom" textRotation="0" wrapText="0" indent="0" justifyLastLine="0" shrinkToFit="1"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border>
      <protection locked="0" hidden="0"/>
    </dxf>
    <dxf>
      <font>
        <b val="0"/>
        <i val="0"/>
        <strike val="0"/>
        <condense val="0"/>
        <extend val="0"/>
        <outline val="0"/>
        <shadow val="0"/>
        <u val="none"/>
        <vertAlign val="baseline"/>
        <sz val="10"/>
        <color theme="1"/>
        <name val="Calibri"/>
        <family val="2"/>
        <scheme val="minor"/>
      </font>
      <numFmt numFmtId="4" formatCode="#,##0.00"/>
      <alignment horizontal="right" vertical="bottom" textRotation="0" wrapText="0" indent="0" justifyLastLine="0" shrinkToFit="1" readingOrder="0"/>
    </dxf>
    <dxf>
      <protection locked="1" hidden="0"/>
    </dxf>
    <dxf>
      <font>
        <b val="0"/>
        <i val="0"/>
        <strike val="0"/>
        <condense val="0"/>
        <extend val="0"/>
        <outline val="0"/>
        <shadow val="0"/>
        <u val="none"/>
        <vertAlign val="baseline"/>
        <sz val="10"/>
        <color theme="1"/>
        <name val="Calibri"/>
        <family val="2"/>
        <scheme val="minor"/>
      </font>
      <numFmt numFmtId="4" formatCode="#,##0.00"/>
      <alignment horizontal="right" vertical="bottom" textRotation="0" wrapText="0" indent="0" justifyLastLine="0" shrinkToFit="1" readingOrder="0"/>
      <border diagonalUp="0" diagonalDown="0" outline="0">
        <left/>
        <right style="thin">
          <color theme="2" tint="-9.9978637043366805E-2"/>
        </right>
        <top style="thin">
          <color theme="2" tint="-9.9978637043366805E-2"/>
        </top>
        <bottom style="thin">
          <color theme="2" tint="-9.9978637043366805E-2"/>
        </bottom>
      </border>
    </dxf>
    <dxf>
      <font>
        <b val="0"/>
        <i val="0"/>
        <strike val="0"/>
        <condense val="0"/>
        <extend val="0"/>
        <outline val="0"/>
        <shadow val="0"/>
        <u val="none"/>
        <vertAlign val="baseline"/>
        <sz val="10"/>
        <color theme="1"/>
        <name val="Calibri"/>
        <family val="2"/>
        <scheme val="minor"/>
      </font>
      <numFmt numFmtId="30" formatCode="@"/>
      <alignment horizontal="center" vertical="center" textRotation="0" wrapText="0" indent="0" justifyLastLine="0" shrinkToFit="1"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protection locked="0" hidden="0"/>
    </dxf>
    <dxf>
      <font>
        <b val="0"/>
        <i val="0"/>
        <strike val="0"/>
        <condense val="0"/>
        <extend val="0"/>
        <outline val="0"/>
        <shadow val="0"/>
        <u val="none"/>
        <vertAlign val="baseline"/>
        <sz val="10"/>
        <color theme="1"/>
        <name val="Calibri"/>
        <family val="2"/>
        <scheme val="minor"/>
      </font>
      <numFmt numFmtId="4" formatCode="#,##0.00"/>
      <alignment horizontal="right" vertical="bottom" textRotation="0" wrapText="0" indent="0" justifyLastLine="0" shrinkToFit="1" readingOrder="0"/>
      <border diagonalUp="0" diagonalDown="0" outline="0">
        <left/>
        <right/>
        <top style="thin">
          <color theme="2" tint="-9.9978637043366805E-2"/>
        </top>
        <bottom style="thin">
          <color theme="2" tint="-9.9978637043366805E-2"/>
        </bottom>
      </border>
    </dxf>
    <dxf>
      <font>
        <b val="0"/>
        <i val="0"/>
        <strike val="0"/>
        <condense val="0"/>
        <extend val="0"/>
        <outline val="0"/>
        <shadow val="0"/>
        <u val="none"/>
        <vertAlign val="baseline"/>
        <sz val="10"/>
        <color rgb="FFFF99FF"/>
        <name val="Calibri"/>
        <family val="2"/>
        <scheme val="minor"/>
      </font>
      <numFmt numFmtId="0" formatCode="General"/>
      <alignment horizontal="right" vertical="bottom" textRotation="0" wrapText="0" indent="0" justifyLastLine="0" shrinkToFit="0"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border>
      <protection locked="1" hidden="0"/>
    </dxf>
    <dxf>
      <font>
        <b val="0"/>
        <i val="0"/>
        <strike val="0"/>
        <condense val="0"/>
        <extend val="0"/>
        <outline val="0"/>
        <shadow val="0"/>
        <u val="none"/>
        <vertAlign val="baseline"/>
        <sz val="10"/>
        <color theme="1"/>
        <name val="Calibri"/>
        <family val="2"/>
        <scheme val="minor"/>
      </font>
      <numFmt numFmtId="4" formatCode="#,##0.00"/>
      <alignment horizontal="right" vertical="bottom" textRotation="0" wrapText="0" indent="0" justifyLastLine="0" shrinkToFit="1" readingOrder="0"/>
      <border diagonalUp="0" diagonalDown="0" outline="0">
        <left style="thin">
          <color theme="2" tint="-9.9978637043366805E-2"/>
        </left>
        <right/>
        <top style="thin">
          <color theme="2" tint="-9.9978637043366805E-2"/>
        </top>
        <bottom style="thin">
          <color theme="2" tint="-9.9978637043366805E-2"/>
        </bottom>
      </border>
    </dxf>
    <dxf>
      <font>
        <strike val="0"/>
        <outline val="0"/>
        <shadow val="0"/>
        <u val="none"/>
        <vertAlign val="baseline"/>
        <sz val="10"/>
        <name val="Calibri"/>
        <family val="2"/>
        <scheme val="minor"/>
      </font>
      <numFmt numFmtId="4" formatCode="#,##0.00"/>
      <alignment horizontal="right" vertical="bottom" textRotation="0" wrapText="0" indent="0" justifyLastLine="0" shrinkToFit="1" readingOrder="0"/>
      <border diagonalUp="0" diagonalDown="0">
        <left style="thin">
          <color theme="2" tint="-9.9978637043366805E-2"/>
        </left>
        <right/>
        <top style="thin">
          <color theme="2" tint="-9.9978637043366805E-2"/>
        </top>
        <bottom style="thin">
          <color theme="2" tint="-9.9978637043366805E-2"/>
        </bottom>
        <vertical/>
        <horizontal style="thin">
          <color theme="2" tint="-9.9978637043366805E-2"/>
        </horizontal>
      </border>
      <protection locked="0" hidden="0"/>
    </dxf>
    <dxf>
      <font>
        <b val="0"/>
        <i val="0"/>
        <strike val="0"/>
        <condense val="0"/>
        <extend val="0"/>
        <outline val="0"/>
        <shadow val="0"/>
        <u val="none"/>
        <vertAlign val="baseline"/>
        <sz val="10"/>
        <color theme="1"/>
        <name val="Calibri"/>
        <family val="2"/>
        <scheme val="minor"/>
      </font>
      <numFmt numFmtId="4" formatCode="#,##0.00"/>
      <fill>
        <patternFill patternType="solid">
          <fgColor indexed="64"/>
          <bgColor theme="7" tint="-0.249977111117893"/>
        </patternFill>
      </fill>
      <alignment horizontal="right" vertical="bottom" textRotation="0" wrapText="0" indent="0" justifyLastLine="0" shrinkToFit="1" readingOrder="0"/>
    </dxf>
    <dxf>
      <font>
        <strike val="0"/>
        <outline val="0"/>
        <shadow val="0"/>
        <u val="none"/>
        <vertAlign val="baseline"/>
        <sz val="10"/>
        <name val="Calibri"/>
        <family val="2"/>
        <scheme val="minor"/>
      </font>
      <numFmt numFmtId="4" formatCode="#,##0.00"/>
      <fill>
        <patternFill patternType="solid">
          <fgColor indexed="64"/>
          <bgColor theme="7" tint="-0.249977111117893"/>
        </patternFill>
      </fill>
      <alignment horizontal="right" vertical="bottom" textRotation="0" wrapText="0" indent="0" justifyLastLine="0" shrinkToFit="1" readingOrder="0"/>
      <border diagonalUp="0" diagonalDown="0">
        <left style="thin">
          <color theme="2" tint="-9.9978637043366805E-2"/>
        </left>
      </border>
      <protection locked="1" hidden="0"/>
    </dxf>
    <dxf>
      <font>
        <b val="0"/>
        <i val="0"/>
        <strike val="0"/>
        <condense val="0"/>
        <extend val="0"/>
        <outline val="0"/>
        <shadow val="0"/>
        <u val="none"/>
        <vertAlign val="baseline"/>
        <sz val="10"/>
        <color theme="1"/>
        <name val="Calibri"/>
        <family val="2"/>
        <scheme val="minor"/>
      </font>
      <numFmt numFmtId="4" formatCode="#,##0.00"/>
      <alignment horizontal="right" vertical="bottom" textRotation="0" wrapText="0" indent="0" justifyLastLine="0" shrinkToFit="1"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strike val="0"/>
        <outline val="0"/>
        <shadow val="0"/>
        <u val="none"/>
        <vertAlign val="baseline"/>
        <sz val="10"/>
        <color theme="1" tint="0.499984740745262"/>
        <name val="Calibri"/>
        <family val="2"/>
        <scheme val="minor"/>
      </font>
      <numFmt numFmtId="4" formatCode="#,##0.00"/>
      <alignment horizontal="right" vertical="bottom" textRotation="0" wrapText="0" indent="0" justifyLastLine="0" shrinkToFit="1"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border>
      <protection locked="1" hidden="0"/>
    </dxf>
    <dxf>
      <font>
        <b val="0"/>
        <i val="0"/>
        <strike val="0"/>
        <condense val="0"/>
        <extend val="0"/>
        <outline val="0"/>
        <shadow val="0"/>
        <u val="none"/>
        <vertAlign val="baseline"/>
        <sz val="10"/>
        <color theme="1"/>
        <name val="Calibri"/>
        <family val="2"/>
        <scheme val="minor"/>
      </font>
      <numFmt numFmtId="4" formatCode="#,##0.00"/>
      <alignment horizontal="right" vertical="bottom" textRotation="0" wrapText="0" indent="0" justifyLastLine="0" shrinkToFit="1"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strike val="0"/>
        <outline val="0"/>
        <shadow val="0"/>
        <u val="none"/>
        <vertAlign val="baseline"/>
        <sz val="10"/>
        <color theme="1" tint="0.499984740745262"/>
        <name val="Calibri"/>
        <family val="2"/>
        <scheme val="minor"/>
      </font>
      <numFmt numFmtId="4" formatCode="#,##0.00"/>
      <alignment horizontal="right" vertical="bottom" textRotation="0" wrapText="0" indent="0" justifyLastLine="0" shrinkToFit="1"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border>
      <protection locked="1" hidden="0"/>
    </dxf>
    <dxf>
      <font>
        <b val="0"/>
        <i val="0"/>
        <strike val="0"/>
        <condense val="0"/>
        <extend val="0"/>
        <outline val="0"/>
        <shadow val="0"/>
        <u val="none"/>
        <vertAlign val="baseline"/>
        <sz val="10"/>
        <color theme="1"/>
        <name val="Calibri"/>
        <family val="2"/>
        <scheme val="minor"/>
      </font>
      <numFmt numFmtId="4" formatCode="#,##0.00"/>
      <alignment horizontal="right" vertical="bottom" textRotation="0" wrapText="0" indent="0" justifyLastLine="0" shrinkToFit="1" readingOrder="0"/>
      <border diagonalUp="0" diagonalDown="0" outline="0">
        <left/>
        <right style="thin">
          <color theme="2" tint="-9.9978637043366805E-2"/>
        </right>
        <top style="thin">
          <color theme="2" tint="-9.9978637043366805E-2"/>
        </top>
        <bottom style="thin">
          <color theme="2" tint="-9.9978637043366805E-2"/>
        </bottom>
      </border>
    </dxf>
    <dxf>
      <border outline="0">
        <left style="thin">
          <color theme="2" tint="-9.9978637043366805E-2"/>
        </left>
      </border>
    </dxf>
    <dxf>
      <font>
        <b val="0"/>
        <i val="0"/>
        <strike val="0"/>
        <condense val="0"/>
        <extend val="0"/>
        <outline val="0"/>
        <shadow val="0"/>
        <u val="none"/>
        <vertAlign val="baseline"/>
        <sz val="10"/>
        <color theme="1"/>
        <name val="Calibri"/>
        <family val="2"/>
        <scheme val="minor"/>
      </font>
      <numFmt numFmtId="4" formatCode="#,##0.00"/>
      <alignment horizontal="right" vertical="bottom" textRotation="0" wrapText="0" indent="0" justifyLastLine="0" shrinkToFit="1" readingOrder="0"/>
      <border diagonalUp="0" diagonalDown="0" outline="0">
        <left/>
        <right style="thin">
          <color theme="2" tint="-9.9978637043366805E-2"/>
        </right>
        <top style="thin">
          <color theme="2" tint="-9.9978637043366805E-2"/>
        </top>
        <bottom style="thin">
          <color theme="2" tint="-9.9978637043366805E-2"/>
        </bottom>
      </border>
    </dxf>
    <dxf>
      <font>
        <b val="0"/>
        <i val="0"/>
        <strike val="0"/>
        <condense val="0"/>
        <extend val="0"/>
        <outline val="0"/>
        <shadow val="0"/>
        <u val="none"/>
        <vertAlign val="baseline"/>
        <sz val="10"/>
        <color rgb="FFFF99FF"/>
        <name val="Calibri"/>
        <family val="2"/>
        <scheme val="minor"/>
      </font>
      <numFmt numFmtId="0" formatCode="General"/>
      <alignment horizontal="right" vertical="bottom" textRotation="0" wrapText="0" indent="0" justifyLastLine="0" shrinkToFit="0"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protection locked="1" hidden="0"/>
    </dxf>
    <dxf>
      <font>
        <b val="0"/>
        <i val="0"/>
        <strike val="0"/>
        <condense val="0"/>
        <extend val="0"/>
        <outline val="0"/>
        <shadow val="0"/>
        <u val="none"/>
        <vertAlign val="baseline"/>
        <sz val="10"/>
        <color theme="1"/>
        <name val="Calibri"/>
        <family val="2"/>
        <scheme val="minor"/>
      </font>
      <numFmt numFmtId="4" formatCode="#,##0.00"/>
      <alignment horizontal="right" vertical="bottom" textRotation="0" wrapText="0" indent="0" justifyLastLine="0" shrinkToFit="1" readingOrder="0"/>
      <border diagonalUp="0" diagonalDown="0" outline="0">
        <left style="thin">
          <color theme="2" tint="-9.9978637043366805E-2"/>
        </left>
        <right/>
        <top style="thin">
          <color theme="2" tint="-9.9978637043366805E-2"/>
        </top>
        <bottom style="thin">
          <color theme="2" tint="-9.9978637043366805E-2"/>
        </bottom>
      </border>
    </dxf>
    <dxf>
      <font>
        <strike val="0"/>
        <outline val="0"/>
        <shadow val="0"/>
        <u val="none"/>
        <vertAlign val="baseline"/>
        <sz val="10"/>
        <name val="Calibri"/>
        <family val="2"/>
        <scheme val="minor"/>
      </font>
      <numFmt numFmtId="4" formatCode="#,##0.00"/>
      <alignment horizontal="right" vertical="bottom" textRotation="0" wrapText="0" indent="0" justifyLastLine="0" shrinkToFit="1" readingOrder="0"/>
      <border diagonalUp="0" diagonalDown="0">
        <left style="thin">
          <color theme="2" tint="-9.9978637043366805E-2"/>
        </left>
        <right/>
        <top style="thin">
          <color theme="2" tint="-9.9978637043366805E-2"/>
        </top>
        <bottom style="thin">
          <color theme="2" tint="-9.9978637043366805E-2"/>
        </bottom>
        <vertical/>
        <horizontal style="thin">
          <color theme="2" tint="-9.9978637043366805E-2"/>
        </horizontal>
      </border>
      <protection locked="0" hidden="0"/>
    </dxf>
    <dxf>
      <font>
        <b val="0"/>
        <i val="0"/>
        <strike val="0"/>
        <condense val="0"/>
        <extend val="0"/>
        <outline val="0"/>
        <shadow val="0"/>
        <u val="none"/>
        <vertAlign val="baseline"/>
        <sz val="10"/>
        <color theme="1"/>
        <name val="Calibri"/>
        <family val="2"/>
        <scheme val="minor"/>
      </font>
      <numFmt numFmtId="4" formatCode="#,##0.00"/>
      <alignment horizontal="right" vertical="bottom" textRotation="0" wrapText="0" indent="0" justifyLastLine="0" shrinkToFit="1" readingOrder="0"/>
      <border diagonalUp="0" diagonalDown="0" outline="0">
        <left style="thin">
          <color theme="2" tint="-9.9978637043366805E-2"/>
        </left>
        <right style="thin">
          <color theme="2" tint="-9.9978637043366805E-2"/>
        </right>
        <top style="thin">
          <color theme="2" tint="-9.9978637043366805E-2"/>
        </top>
        <bottom style="thin">
          <color theme="2" tint="-9.9978637043366805E-2"/>
        </bottom>
      </border>
    </dxf>
    <dxf>
      <font>
        <strike val="0"/>
        <outline val="0"/>
        <shadow val="0"/>
        <u val="none"/>
        <vertAlign val="baseline"/>
        <sz val="10"/>
        <name val="Calibri"/>
        <family val="2"/>
        <scheme val="minor"/>
      </font>
      <numFmt numFmtId="4" formatCode="#,##0.00"/>
      <alignment horizontal="right" vertical="bottom" textRotation="0" wrapText="0" indent="0" justifyLastLine="0" shrinkToFit="1" readingOrder="0"/>
      <border diagonalUp="0" diagonalDown="0">
        <left style="thin">
          <color theme="2" tint="-9.9978637043366805E-2"/>
        </left>
        <right style="thin">
          <color theme="2" tint="-9.9978637043366805E-2"/>
        </right>
        <top style="thin">
          <color theme="2" tint="-9.9978637043366805E-2"/>
        </top>
        <bottom style="thin">
          <color theme="2" tint="-9.9978637043366805E-2"/>
        </bottom>
        <horizontal style="thin">
          <color theme="2" tint="-9.9978637043366805E-2"/>
        </horizontal>
      </border>
      <protection locked="0" hidden="0"/>
    </dxf>
    <dxf>
      <border outline="0">
        <top style="thin">
          <color rgb="FFD0CECE"/>
        </top>
      </border>
    </dxf>
    <dxf>
      <font>
        <strike val="0"/>
        <outline val="0"/>
        <shadow val="0"/>
        <u val="none"/>
        <vertAlign val="baseline"/>
        <sz val="10"/>
        <name val="Calibri"/>
        <family val="2"/>
        <scheme val="none"/>
      </font>
      <numFmt numFmtId="4" formatCode="#,##0.00"/>
      <alignment horizontal="right" vertical="bottom" textRotation="0" wrapText="0" indent="0" justifyLastLine="0" shrinkToFit="0" readingOrder="0"/>
      <border diagonalUp="0" diagonalDown="0">
        <left style="thin">
          <color rgb="FFD0CECE"/>
        </left>
        <right style="thin">
          <color rgb="FFD0CECE"/>
        </right>
        <top/>
        <bottom/>
      </border>
      <protection locked="1" hidden="0"/>
    </dxf>
    <dxf>
      <border outline="0">
        <left style="thin">
          <color rgb="FFD0CECE"/>
        </left>
        <right style="thin">
          <color rgb="FFD0CECE"/>
        </right>
        <top style="thin">
          <color rgb="FFD0CECE"/>
        </top>
        <bottom style="thin">
          <color rgb="FFD0CECE"/>
        </bottom>
      </border>
    </dxf>
    <dxf>
      <font>
        <strike val="0"/>
        <outline val="0"/>
        <shadow val="0"/>
        <u val="none"/>
        <vertAlign val="baseline"/>
        <sz val="10"/>
        <name val="Calibri"/>
        <family val="2"/>
        <scheme val="none"/>
      </font>
      <numFmt numFmtId="4" formatCode="#,##0.00"/>
      <alignment horizontal="right" vertical="bottom" textRotation="0" wrapText="0" indent="0" justifyLastLine="0" shrinkToFit="0" readingOrder="0"/>
      <protection locked="1" hidden="0"/>
    </dxf>
    <dxf>
      <border outline="0">
        <bottom style="thin">
          <color rgb="FFD0CECE"/>
        </bottom>
      </border>
    </dxf>
    <dxf>
      <font>
        <b/>
        <i val="0"/>
        <strike val="0"/>
        <condense val="0"/>
        <extend val="0"/>
        <outline val="0"/>
        <shadow val="0"/>
        <u val="none"/>
        <vertAlign val="baseline"/>
        <sz val="10"/>
        <color theme="0"/>
        <name val="Calibri"/>
        <family val="2"/>
        <scheme val="minor"/>
      </font>
      <numFmt numFmtId="4" formatCode="#,##0.00"/>
      <fill>
        <patternFill patternType="solid">
          <fgColor indexed="64"/>
          <bgColor theme="7" tint="-0.249977111117893"/>
        </patternFill>
      </fill>
      <alignment horizontal="center" vertical="bottom" textRotation="0" wrapText="0" indent="0" justifyLastLine="0" shrinkToFit="0" readingOrder="0"/>
      <border diagonalUp="0" diagonalDown="0">
        <left style="thin">
          <color theme="2" tint="-9.9978637043366805E-2"/>
        </left>
        <right style="thin">
          <color theme="2" tint="-9.9978637043366805E-2"/>
        </right>
        <top/>
        <bottom/>
      </border>
      <protection locked="1" hidden="0"/>
    </dxf>
    <dxf>
      <fill>
        <patternFill>
          <bgColor rgb="FFEFE5F7"/>
        </patternFill>
      </fill>
    </dxf>
    <dxf>
      <font>
        <b/>
        <i val="0"/>
        <color theme="0"/>
      </font>
      <fill>
        <patternFill>
          <bgColor rgb="FF7030A0"/>
        </patternFill>
      </fill>
    </dxf>
    <dxf>
      <font>
        <b/>
        <i val="0"/>
        <color theme="0"/>
      </font>
      <fill>
        <patternFill>
          <bgColor rgb="FF7030A0"/>
        </patternFill>
      </fill>
    </dxf>
    <dxf>
      <fill>
        <patternFill>
          <bgColor theme="8" tint="0.79998168889431442"/>
        </patternFill>
      </fill>
    </dxf>
    <dxf>
      <font>
        <b/>
        <i val="0"/>
        <color theme="0"/>
      </font>
      <fill>
        <patternFill>
          <bgColor theme="8" tint="-0.24994659260841701"/>
        </patternFill>
      </fill>
    </dxf>
    <dxf>
      <font>
        <b/>
        <i val="0"/>
        <color theme="0"/>
      </font>
      <fill>
        <patternFill>
          <bgColor theme="8" tint="-0.24994659260841701"/>
        </patternFill>
      </fill>
    </dxf>
    <dxf>
      <fill>
        <patternFill>
          <bgColor theme="9" tint="0.79998168889431442"/>
        </patternFill>
      </fill>
    </dxf>
    <dxf>
      <font>
        <b/>
        <i val="0"/>
        <color theme="0"/>
      </font>
      <fill>
        <patternFill>
          <bgColor theme="9" tint="-0.24994659260841701"/>
        </patternFill>
      </fill>
    </dxf>
    <dxf>
      <font>
        <b/>
        <i val="0"/>
        <color theme="0"/>
      </font>
      <fill>
        <patternFill>
          <bgColor theme="9" tint="-0.24994659260841701"/>
        </patternFill>
      </fill>
    </dxf>
    <dxf>
      <fill>
        <patternFill>
          <bgColor theme="5" tint="0.79998168889431442"/>
        </patternFill>
      </fill>
    </dxf>
    <dxf>
      <font>
        <b/>
        <i val="0"/>
        <color theme="0"/>
      </font>
      <fill>
        <patternFill>
          <bgColor theme="5" tint="-0.24994659260841701"/>
        </patternFill>
      </fill>
    </dxf>
    <dxf>
      <font>
        <b/>
        <i val="0"/>
        <color theme="0"/>
      </font>
      <fill>
        <patternFill>
          <bgColor theme="5" tint="-0.24994659260841701"/>
        </patternFill>
      </fill>
    </dxf>
    <dxf>
      <fill>
        <patternFill>
          <bgColor theme="7" tint="0.79998168889431442"/>
        </patternFill>
      </fill>
    </dxf>
    <dxf>
      <font>
        <b/>
        <i val="0"/>
        <color theme="0"/>
      </font>
      <fill>
        <patternFill>
          <bgColor theme="7" tint="-0.24994659260841701"/>
        </patternFill>
      </fill>
    </dxf>
    <dxf>
      <font>
        <b/>
        <i val="0"/>
        <color theme="0"/>
      </font>
      <fill>
        <patternFill>
          <bgColor theme="7" tint="-0.24994659260841701"/>
        </patternFill>
      </fill>
    </dxf>
    <dxf>
      <fill>
        <patternFill>
          <bgColor theme="0" tint="-4.9989318521683403E-2"/>
        </patternFill>
      </fill>
    </dxf>
    <dxf>
      <font>
        <b/>
        <i val="0"/>
        <color theme="0"/>
      </font>
      <fill>
        <patternFill>
          <bgColor theme="1" tint="0.499984740745262"/>
        </patternFill>
      </fill>
    </dxf>
    <dxf>
      <font>
        <b/>
        <i val="0"/>
        <color theme="0"/>
      </font>
      <fill>
        <patternFill>
          <bgColor theme="1" tint="0.499984740745262"/>
        </patternFill>
      </fill>
    </dxf>
  </dxfs>
  <tableStyles count="6" defaultTableStyle="Estilo de Tabela 1" defaultPivotStyle="PivotStyleLight16">
    <tableStyle name="Estilo de Tabela 1" pivot="0" count="3" xr9:uid="{82CD4036-3C1E-40D3-B347-41EBA86B816B}">
      <tableStyleElement type="headerRow" dxfId="431"/>
      <tableStyleElement type="totalRow" dxfId="430"/>
      <tableStyleElement type="secondRowStripe" dxfId="429"/>
    </tableStyle>
    <tableStyle name="Estilo de Tabela 1 2" pivot="0" count="3" xr9:uid="{43D390D5-B99E-4AE9-9366-49965A1B534E}">
      <tableStyleElement type="headerRow" dxfId="428"/>
      <tableStyleElement type="totalRow" dxfId="427"/>
      <tableStyleElement type="secondRowStripe" dxfId="426"/>
    </tableStyle>
    <tableStyle name="Estilo de Tabela 1 2 2" pivot="0" count="3" xr9:uid="{76A3C95C-F2C7-4D8D-A71E-3E76881CBCFD}">
      <tableStyleElement type="headerRow" dxfId="425"/>
      <tableStyleElement type="totalRow" dxfId="424"/>
      <tableStyleElement type="secondRowStripe" dxfId="423"/>
    </tableStyle>
    <tableStyle name="Estilo de Tabela 1 2 2 2" pivot="0" count="3" xr9:uid="{99AC1E2A-8AFD-4364-8C8E-553A8C1FFCE9}">
      <tableStyleElement type="headerRow" dxfId="422"/>
      <tableStyleElement type="totalRow" dxfId="421"/>
      <tableStyleElement type="secondRowStripe" dxfId="420"/>
    </tableStyle>
    <tableStyle name="Estilo de Tabela 1 2 2 2 2" pivot="0" count="3" xr9:uid="{91447C3F-5752-40EC-ADF5-D83FBAA7B7B1}">
      <tableStyleElement type="headerRow" dxfId="419"/>
      <tableStyleElement type="totalRow" dxfId="418"/>
      <tableStyleElement type="secondRowStripe" dxfId="417"/>
    </tableStyle>
    <tableStyle name="Estilo de Tabela 1 2 2 2 2 2" pivot="0" count="3" xr9:uid="{909E59A6-D079-4C4E-BC30-BAE6B8CD034C}">
      <tableStyleElement type="headerRow" dxfId="416"/>
      <tableStyleElement type="totalRow" dxfId="415"/>
      <tableStyleElement type="secondRowStripe" dxfId="414"/>
    </tableStyle>
  </tableStyles>
  <colors>
    <mruColors>
      <color rgb="FFFF99FF"/>
      <color rgb="FFEFE5F7"/>
      <color rgb="FFD9B3FF"/>
      <color rgb="FFFF66FF"/>
      <color rgb="FFE4D2F2"/>
      <color rgb="FFFF33CC"/>
      <color rgb="FFD29600"/>
      <color rgb="FFAEF8CE"/>
      <color rgb="FFAEF8D5"/>
      <color rgb="FFFFBC7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A6AF5F34-1879-40E4-B7D0-A8026E2B0B83}" name="AA_Jan1" displayName="AA_Jan1" ref="AD1:AP28" totalsRowCount="1" headerRowDxfId="413" dataDxfId="411" totalsRowDxfId="409" headerRowBorderDxfId="412" tableBorderDxfId="410" totalsRowBorderDxfId="408">
  <autoFilter ref="AD1:AP27" xr:uid="{752BF4CE-2480-470D-8C29-413106186A1B}">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8AC11F3F-8BFA-4208-9BBC-487C587143EE}" name="Emols." totalsRowFunction="custom" dataDxfId="407" totalsRowDxfId="406">
      <totalsRowFormula>SUM(AA_Jan1[Emols.])</totalsRowFormula>
    </tableColumn>
    <tableColumn id="2" xr3:uid="{C867546F-181B-4372-BB9B-A3BB160BF0A3}" name="Total Nota" totalsRowFunction="custom" dataDxfId="405" totalsRowDxfId="404">
      <totalsRowFormula>SUM(AA_Jan1[Total Nota])</totalsRowFormula>
    </tableColumn>
    <tableColumn id="8" xr3:uid="{5C0CD0BD-1CF9-4E35-AEE0-3EDD10362195}" name="Placeholder Total da Nota" dataDxfId="403" totalsRowDxfId="402">
      <calculatedColumnFormula>IF(AA_Jan1[[#This Row],[Total Nota]]="",TEXT(IFERROR(VLOOKUP(AA_Jan1[[#This Row],[Emols.]],Meta!$AK$3:$AN$256,2,FALSE)+AA_Jan1[[#This Row],[ITBI/ITCMD]],""),"#.##0,00"),"")</calculatedColumnFormula>
    </tableColumn>
    <tableColumn id="11" xr3:uid="{642737F7-517D-41FB-9E4E-DB6382D2DFF5}" name="Do Tabelião" totalsRowFunction="custom" dataDxfId="401" totalsRowDxfId="400">
      <calculatedColumnFormula>AA_Jan1[[#This Row],[Emols.]]-AA_Jan1[[#This Row],[Comissão]]</calculatedColumnFormula>
      <totalsRowFormula>SUM(AA_Jan1[Do Tabelião])</totalsRowFormula>
    </tableColumn>
    <tableColumn id="3" xr3:uid="{CB62977F-06A4-43F5-B6B1-0AE78A3037B9}" name="Comissão" totalsRowFunction="custom" dataDxfId="399" totalsRowDxfId="398">
      <calculatedColumnFormula>VLOOKUP($AE$29,Meta!$Q$3:$R$16,2,FALSE)*AD2</calculatedColumnFormula>
      <totalsRowFormula>SUM(AA_Jan1[Comissão])</totalsRowFormula>
    </tableColumn>
    <tableColumn id="7" xr3:uid="{4A5CA661-6967-412F-BFE7-8A2B668E03B1}" name="A Receber" totalsRowFunction="custom" dataDxfId="397" totalsRowDxfId="396">
      <calculatedColumnFormula>AA_Jan1[[#This Row],[Total Nota]]-AA_Jan1[[#This Row],[Comissão]]</calculatedColumnFormula>
      <totalsRowFormula>ROUND(SUM(AA_Jan1[A Receber]),2)</totalsRowFormula>
    </tableColumn>
    <tableColumn id="4" xr3:uid="{41E18E44-9D83-46AC-9663-960ADA036646}" name="Coluna999" dataDxfId="395" totalsRowDxfId="394"/>
    <tableColumn id="12" xr3:uid="{01581408-9355-4B3F-91A0-79B949567D68}" name="ITBI/ITCMD" totalsRowFunction="custom" dataDxfId="393" totalsRowDxfId="392">
      <totalsRowFormula>SUM(AA_Jan1[ITBI/ITCMD])</totalsRowFormula>
    </tableColumn>
    <tableColumn id="9" xr3:uid="{7ED4AA93-EF8B-4486-845C-D620E2F749F9}" name="Placeholder ITBI/ITCMD" dataDxfId="391" totalsRowDxfId="390">
      <calculatedColumnFormula>IF(AND(AA_Jan1[[#This Row],[Total Nota]]&lt;&gt;"",AA_Jan1[[#This Row],[ITBI/ITCMD]]="",AA_Jan1[[#This Row],[Total Nota]]-IFERROR(VLOOKUP(AA_Jan1[[#This Row],[Emols.]],Meta!$AK$3:$AN$256,2,FALSE),0)&lt;&gt;0),TEXT(IFERROR(AA_Jan1[[#This Row],[Total Nota]]-VLOOKUP(AA_Jan1[[#This Row],[Emols.]],Meta!$AK$3:$AN$256,2,FALSE),""),"#.##0,00"),"")</calculatedColumnFormula>
    </tableColumn>
    <tableColumn id="10" xr3:uid="{9FBE295F-E581-426D-9D30-255D301B1C32}" name=" " dataDxfId="389" totalsRowDxfId="388"/>
    <tableColumn id="13" xr3:uid="{43D91291-98A2-4173-BB9F-1FFAF66B90F7}" name="Coluna997" dataDxfId="387" totalsRowDxfId="386"/>
    <tableColumn id="5" xr3:uid="{A6D12BE7-0981-4031-879C-9513235A7469}" name="Entregue" totalsRowFunction="custom" dataDxfId="385" totalsRowDxfId="384">
      <totalsRowFormula>SUM(AA_Jan1[Entregue])</totalsRowFormula>
    </tableColumn>
    <tableColumn id="6" xr3:uid="{A8F75E46-0C4B-4135-AA98-7684F9EEBAC8}" name="Tipo" dataDxfId="383" totalsRowDxfId="382"/>
  </tableColumns>
  <tableStyleInfo name="Estilo de Tabela 1 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52CBE5A8-152C-440C-9FE2-3913FBF6397D}" name="BB_Jan1" displayName="BB_Jan1" ref="AT1:BF28" totalsRowCount="1" headerRowDxfId="381" dataDxfId="379" totalsRowDxfId="377" headerRowBorderDxfId="380" tableBorderDxfId="378" totalsRowBorderDxfId="376">
  <autoFilter ref="AT1:BF27" xr:uid="{54EB673C-09C2-443D-BE02-8CBB8543C1ED}">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A345F2DB-45F6-487A-8151-6DDF1D2BBC36}" name="Emols." totalsRowFunction="custom" dataDxfId="375" totalsRowDxfId="374">
      <totalsRowFormula>SUM(BB_Jan1[Emols.])</totalsRowFormula>
    </tableColumn>
    <tableColumn id="2" xr3:uid="{031DCF1E-58C9-4412-AAF9-431243F3C323}" name="Total Nota" totalsRowFunction="custom" dataDxfId="373" totalsRowDxfId="372">
      <totalsRowFormula>SUM(BB_Jan1[Total Nota])</totalsRowFormula>
    </tableColumn>
    <tableColumn id="9" xr3:uid="{0CA4030C-FC86-4E99-AEF3-65C54C1D28DF}" name="Placeholder Total da Nota" dataDxfId="371" totalsRowDxfId="370">
      <calculatedColumnFormula>IF(BB_Jan1[[#This Row],[Total Nota]]="",TEXT(IFERROR(VLOOKUP(BB_Jan1[[#This Row],[Emols.]],Meta!$AK$3:$AN$256,2,FALSE)+BB_Jan1[[#This Row],[ITBI/ITCMD]],""),"#.##0,00"),"")</calculatedColumnFormula>
    </tableColumn>
    <tableColumn id="11" xr3:uid="{A973A71E-9832-44CA-A4E5-68D3A0DD98DC}" name="Do Tabelião" totalsRowFunction="custom" dataDxfId="369" totalsRowDxfId="368">
      <calculatedColumnFormula>BB_Jan1[[#This Row],[Emols.]]-BB_Jan1[[#This Row],[Comissão]]</calculatedColumnFormula>
      <totalsRowFormula>SUM(BB_Jan1[Do Tabelião])</totalsRowFormula>
    </tableColumn>
    <tableColumn id="3" xr3:uid="{B925D36C-393D-48FF-A5AB-6FB394DD5219}" name="Comissão" totalsRowFunction="custom" dataDxfId="367" totalsRowDxfId="366">
      <calculatedColumnFormula>VLOOKUP($AU$29,Meta!$Q$3:$R$16,2,FALSE)*AT2</calculatedColumnFormula>
      <totalsRowFormula>SUM(BB_Jan1[Comissão])</totalsRowFormula>
    </tableColumn>
    <tableColumn id="7" xr3:uid="{19EA16D3-3F2E-46D3-856D-31F9826C3D96}" name="A Receber" totalsRowFunction="custom" dataDxfId="365" totalsRowDxfId="364">
      <calculatedColumnFormula>BB_Jan1[[#This Row],[Total Nota]]-BB_Jan1[[#This Row],[Comissão]]</calculatedColumnFormula>
      <totalsRowFormula>ROUND(SUM(BB_Jan1[A Receber]),2)</totalsRowFormula>
    </tableColumn>
    <tableColumn id="4" xr3:uid="{7909BF97-9217-4428-92DA-421E1535BECC}" name="Coluna999" dataDxfId="363" totalsRowDxfId="362"/>
    <tableColumn id="12" xr3:uid="{628F89AC-684E-4FA7-B377-A455EDEF4438}" name="ITBI/ITCMD" totalsRowFunction="custom" dataDxfId="361" totalsRowDxfId="360">
      <totalsRowFormula>SUM(BB_Jan1[ITBI/ITCMD])</totalsRowFormula>
    </tableColumn>
    <tableColumn id="10" xr3:uid="{71C090B4-5F3B-4A5C-8CA6-3856F669ABE1}" name="Placeholder ITBI/ITCMD" dataDxfId="359" totalsRowDxfId="358">
      <calculatedColumnFormula>IF(AND(BB_Jan1[[#This Row],[Total Nota]]&lt;&gt;"",BB_Jan1[[#This Row],[ITBI/ITCMD]]="",BB_Jan1[[#This Row],[Total Nota]]-IFERROR(VLOOKUP(BB_Jan1[[#This Row],[Emols.]],Meta!$AK$3:$AN$256,2,FALSE),0)&lt;&gt;0),TEXT(IFERROR(BB_Jan1[[#This Row],[Total Nota]]-VLOOKUP(BB_Jan1[[#This Row],[Emols.]],Meta!$AK$3:$AN$256,2,FALSE),""),"#.##0,00"),"")</calculatedColumnFormula>
    </tableColumn>
    <tableColumn id="8" xr3:uid="{26413DC6-1AD4-46E6-BFF5-14959C6D253D}" name=" " dataDxfId="357" totalsRowDxfId="356"/>
    <tableColumn id="13" xr3:uid="{F9D9A0ED-F2E3-4764-9E3B-B40A9FF4AA31}" name="Coluna997" dataDxfId="355" totalsRowDxfId="354"/>
    <tableColumn id="5" xr3:uid="{67BF3AAD-2232-42DA-865F-80A393BE7DCC}" name="Entregue" totalsRowFunction="custom" dataDxfId="353" totalsRowDxfId="352">
      <totalsRowFormula>SUM(BB_Jan1[Entregue])</totalsRowFormula>
    </tableColumn>
    <tableColumn id="6" xr3:uid="{59A353CA-8C35-48E3-A9DC-48E0DB8AF468}" name="Tipo" dataDxfId="351" totalsRowDxfId="350"/>
  </tableColumns>
  <tableStyleInfo name="Estilo de Tabela 1 2 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5BDAE041-AAE6-4370-83DB-BBBC2BA2D2BB}" name="CC_Jan1" displayName="CC_Jan1" ref="BJ1:BV28" totalsRowCount="1" headerRowDxfId="349" dataDxfId="347" totalsRowDxfId="345" headerRowBorderDxfId="348" tableBorderDxfId="346" totalsRowBorderDxfId="344">
  <autoFilter ref="BJ1:BV27" xr:uid="{E2EBE864-2FBC-4129-8682-D025DC79AC66}">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C63ADB86-C715-4DF5-8495-A3D50B1F6723}" name="Emols." totalsRowFunction="custom" dataDxfId="343" totalsRowDxfId="342">
      <totalsRowFormula>SUM(CC_Jan1[Emols.])</totalsRowFormula>
    </tableColumn>
    <tableColumn id="2" xr3:uid="{3BF9A6A5-4F96-48EB-9A97-DE5327AF8422}" name="Total Nota" totalsRowFunction="custom" dataDxfId="341" totalsRowDxfId="340">
      <totalsRowFormula>SUM(CC_Jan1[Total Nota])</totalsRowFormula>
    </tableColumn>
    <tableColumn id="9" xr3:uid="{E82D0BF0-73F5-4961-B092-16DE2498F94F}" name="Placeholder Total da Nota" dataDxfId="339" totalsRowDxfId="338">
      <calculatedColumnFormula>IF(CC_Jan1[[#This Row],[Total Nota]]="",TEXT(IFERROR(VLOOKUP(CC_Jan1[[#This Row],[Emols.]],Meta!$AK$3:$AN$256,2,FALSE)+CC_Jan1[[#This Row],[ITBI/ITCMD]],""),"#.##0,00"),"")</calculatedColumnFormula>
    </tableColumn>
    <tableColumn id="11" xr3:uid="{64EEA91E-1D1E-4D41-BBF7-547AFC365EBF}" name="Do Tabelião" totalsRowFunction="custom" dataDxfId="337" totalsRowDxfId="336">
      <calculatedColumnFormula>CC_Jan1[[#This Row],[Emols.]]-CC_Jan1[[#This Row],[Comissão]]</calculatedColumnFormula>
      <totalsRowFormula>SUM(CC_Jan1[Do Tabelião])</totalsRowFormula>
    </tableColumn>
    <tableColumn id="3" xr3:uid="{4F374791-458E-47F9-A5F3-081D472E8D97}" name="Comissão" totalsRowFunction="custom" dataDxfId="335" totalsRowDxfId="334">
      <calculatedColumnFormula>VLOOKUP($BK$29,Meta!$Q$3:$R$16,2,FALSE)*BJ2</calculatedColumnFormula>
      <totalsRowFormula>SUM(CC_Jan1[Comissão])</totalsRowFormula>
    </tableColumn>
    <tableColumn id="7" xr3:uid="{1DD0BEBF-B6EF-4E25-9C47-14FF079A853E}" name="A Receber" totalsRowFunction="custom" dataDxfId="333" totalsRowDxfId="332">
      <calculatedColumnFormula>CC_Jan1[[#This Row],[Total Nota]]-CC_Jan1[[#This Row],[Comissão]]</calculatedColumnFormula>
      <totalsRowFormula>ROUND(SUM(CC_Jan1[A Receber]),2)</totalsRowFormula>
    </tableColumn>
    <tableColumn id="4" xr3:uid="{C3C529B9-6448-4D8B-B647-69BBF87B18EB}" name="Coluna999" dataDxfId="331" totalsRowDxfId="330"/>
    <tableColumn id="12" xr3:uid="{9D979FFC-1C57-4F22-85EF-DB3427324755}" name="ITBI/ITCMD" totalsRowFunction="custom" dataDxfId="329" totalsRowDxfId="328">
      <totalsRowFormula>SUM(CC_Jan1[ITBI/ITCMD])</totalsRowFormula>
    </tableColumn>
    <tableColumn id="10" xr3:uid="{C6700823-7720-4EE5-8054-B4192EB386A9}" name="Placeholder ITBI/ITCMD" dataDxfId="327" totalsRowDxfId="326">
      <calculatedColumnFormula>IF(AND(CC_Jan1[[#This Row],[Total Nota]]&lt;&gt;"",CC_Jan1[[#This Row],[ITBI/ITCMD]]="",CC_Jan1[[#This Row],[Total Nota]]-IFERROR(VLOOKUP(CC_Jan1[[#This Row],[Emols.]],Meta!$AK$3:$AN$256,2,FALSE),0)&lt;&gt;0),TEXT(IFERROR(CC_Jan1[[#This Row],[Total Nota]]-VLOOKUP(CC_Jan1[[#This Row],[Emols.]],Meta!$AK$3:$AN$256,2,FALSE),""),"#.##0,00"),"")</calculatedColumnFormula>
    </tableColumn>
    <tableColumn id="8" xr3:uid="{40BE8FC7-97E4-4ED0-A5BC-FBAB411461AA}" name=" " dataDxfId="325" totalsRowDxfId="324"/>
    <tableColumn id="13" xr3:uid="{18FB3DA7-F8C5-4F78-A71F-5D2C8DA1EF0E}" name="Coluna997" dataDxfId="323" totalsRowDxfId="322"/>
    <tableColumn id="5" xr3:uid="{10B0706C-E3F9-41A1-9EFC-E840C5131CAF}" name="Entregue" totalsRowFunction="custom" dataDxfId="321" totalsRowDxfId="320">
      <totalsRowFormula>SUM(CC_Jan1[Entregue])</totalsRowFormula>
    </tableColumn>
    <tableColumn id="6" xr3:uid="{A23A5167-9E39-4230-9D4B-2F4522FEE0F1}" name="Tipo" dataDxfId="319" totalsRowDxfId="318"/>
  </tableColumns>
  <tableStyleInfo name="Estilo de Tabela 1 2 2 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7601B019-551C-442E-95CF-3A8E7FEE55FB}" name="DD_Jan1" displayName="DD_Jan1" ref="BZ1:CL28" totalsRowCount="1" headerRowDxfId="317" dataDxfId="315" totalsRowDxfId="313" headerRowBorderDxfId="316" tableBorderDxfId="314" totalsRowBorderDxfId="312">
  <autoFilter ref="BZ1:CL27" xr:uid="{00A206DC-F290-4513-BC8A-3BA4E7D88671}">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D20BC15D-6E10-4125-9E64-31ABB9C984C9}" name="Emols." totalsRowFunction="custom" dataDxfId="311" totalsRowDxfId="310">
      <totalsRowFormula>SUM(DD_Jan1[Emols.])</totalsRowFormula>
    </tableColumn>
    <tableColumn id="2" xr3:uid="{BEEC794A-22EF-41E4-AF33-4577336283E8}" name="Total Nota" totalsRowFunction="custom" dataDxfId="309" totalsRowDxfId="308">
      <totalsRowFormula>SUM(DD_Jan1[Total Nota])</totalsRowFormula>
    </tableColumn>
    <tableColumn id="9" xr3:uid="{6A8F5166-79E5-462D-ABE2-2AE17982C2A3}" name="Placeholder Total da Nota" dataDxfId="307" totalsRowDxfId="306">
      <calculatedColumnFormula>IF(DD_Jan1[[#This Row],[Total Nota]]="",TEXT(IFERROR(VLOOKUP(DD_Jan1[[#This Row],[Emols.]],Meta!$AK$3:$AN$256,2,FALSE)+DD_Jan1[[#This Row],[ITBI/ITCMD]],""),"#.##0,00"),"")</calculatedColumnFormula>
    </tableColumn>
    <tableColumn id="11" xr3:uid="{07CC1B12-DD0F-45BC-8366-6C1407AA9367}" name="Do Tabelião" totalsRowFunction="custom" dataDxfId="305" totalsRowDxfId="304">
      <calculatedColumnFormula>DD_Jan1[[#This Row],[Emols.]]-DD_Jan1[[#This Row],[Comissão]]</calculatedColumnFormula>
      <totalsRowFormula>SUM(DD_Jan1[Do Tabelião])</totalsRowFormula>
    </tableColumn>
    <tableColumn id="3" xr3:uid="{3D53EA7D-4A38-47D5-B70E-254E1C54FFA1}" name="Comissão" totalsRowFunction="custom" dataDxfId="303" totalsRowDxfId="302">
      <calculatedColumnFormula>VLOOKUP($CA$29,Meta!$Q$3:$R$16,2,FALSE)*BZ2</calculatedColumnFormula>
      <totalsRowFormula>SUM(DD_Jan1[Comissão])</totalsRowFormula>
    </tableColumn>
    <tableColumn id="7" xr3:uid="{B33523C2-0B69-4D57-AF6E-5C5CBF7C0558}" name="A Receber" totalsRowFunction="custom" dataDxfId="301" totalsRowDxfId="300">
      <calculatedColumnFormula>DD_Jan1[[#This Row],[Total Nota]]-DD_Jan1[[#This Row],[Comissão]]</calculatedColumnFormula>
      <totalsRowFormula>ROUND(SUM(DD_Jan1[A Receber]),2)</totalsRowFormula>
    </tableColumn>
    <tableColumn id="4" xr3:uid="{71385677-A501-42D0-9486-38533825CE9E}" name="Coluna999" dataDxfId="299" totalsRowDxfId="298"/>
    <tableColumn id="12" xr3:uid="{22F4523E-4DCD-4E48-A162-FD4F21CF1B87}" name="ITBI/ITCMD" totalsRowFunction="custom" dataDxfId="297" totalsRowDxfId="296">
      <totalsRowFormula>SUM(DD_Jan1[ITBI/ITCMD])</totalsRowFormula>
    </tableColumn>
    <tableColumn id="10" xr3:uid="{1F2A37A1-43D2-4C13-A8E1-4F7381450D2E}" name="Placeholder ITBI/ITCMD" dataDxfId="295" totalsRowDxfId="294">
      <calculatedColumnFormula>IF(AND(DD_Jan1[[#This Row],[Total Nota]]&lt;&gt;"",DD_Jan1[[#This Row],[ITBI/ITCMD]]="",DD_Jan1[[#This Row],[Total Nota]]-IFERROR(VLOOKUP(DD_Jan1[[#This Row],[Emols.]],Meta!$AK$3:$AN$256,2,FALSE),0)&lt;&gt;0),TEXT(IFERROR(DD_Jan1[[#This Row],[Total Nota]]-VLOOKUP(DD_Jan1[[#This Row],[Emols.]],Meta!$AK$3:$AN$256,2,FALSE),""),"#.##0,00"),"")</calculatedColumnFormula>
    </tableColumn>
    <tableColumn id="8" xr3:uid="{482EF0AF-CE66-473B-AF1A-719AE1823D35}" name=" " dataDxfId="293" totalsRowDxfId="292"/>
    <tableColumn id="13" xr3:uid="{421C5CCE-C248-4A30-B1D9-C35CA515C200}" name="Coluna997" dataDxfId="291" totalsRowDxfId="290"/>
    <tableColumn id="5" xr3:uid="{891A9FBE-B264-4040-AF48-BC298CB6157B}" name="Entregue" totalsRowFunction="custom" dataDxfId="289" totalsRowDxfId="288">
      <totalsRowFormula>SUM(DD_Jan1[Entregue])</totalsRowFormula>
    </tableColumn>
    <tableColumn id="6" xr3:uid="{DC03366D-27C5-48D5-927D-C52360FA725B}" name="Tipo" dataDxfId="287" totalsRowDxfId="286"/>
  </tableColumns>
  <tableStyleInfo name="Estilo de Tabela 1 2 2 2 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58CF27B9-3DA8-4047-9535-809CD02BEDC0}" name="EE_Jan1" displayName="EE_Jan1" ref="CP1:DB28" totalsRowCount="1" headerRowDxfId="285" dataDxfId="283" totalsRowDxfId="281" headerRowBorderDxfId="284" tableBorderDxfId="282" totalsRowBorderDxfId="280">
  <autoFilter ref="CP1:DB27" xr:uid="{30306691-4969-445E-AA9C-075A8220E51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8BF5B257-C938-4342-9033-4CEFE418DD45}" name="Emols." totalsRowFunction="custom" dataDxfId="279" totalsRowDxfId="278">
      <totalsRowFormula>SUM(EE_Jan1[Emols.])</totalsRowFormula>
    </tableColumn>
    <tableColumn id="2" xr3:uid="{FCD79A4C-F740-499B-9AF9-4E9611F050A4}" name="Total Nota" totalsRowFunction="custom" dataDxfId="277" totalsRowDxfId="276">
      <totalsRowFormula>SUM(EE_Jan1[Total Nota])</totalsRowFormula>
    </tableColumn>
    <tableColumn id="9" xr3:uid="{52851C1A-52A4-4421-AC07-A7F120D84C70}" name="Placeholder Total da Nota" dataDxfId="275" totalsRowDxfId="274">
      <calculatedColumnFormula>IF(EE_Jan1[[#This Row],[Total Nota]]="",TEXT(IFERROR(VLOOKUP(EE_Jan1[[#This Row],[Emols.]],Meta!$AK$3:$AN$256,2,FALSE)+EE_Jan1[[#This Row],[ITBI/ITCMD]],""),"#.##0,00"),"")</calculatedColumnFormula>
    </tableColumn>
    <tableColumn id="11" xr3:uid="{21EFB062-C398-47D0-9577-9F0A353DA935}" name="Do Tabelião" totalsRowFunction="custom" dataDxfId="273" totalsRowDxfId="272">
      <calculatedColumnFormula>EE_Jan1[[#This Row],[Emols.]]-EE_Jan1[[#This Row],[Comissão]]</calculatedColumnFormula>
      <totalsRowFormula>SUM(EE_Jan1[Do Tabelião])</totalsRowFormula>
    </tableColumn>
    <tableColumn id="3" xr3:uid="{C77D1DEC-43E1-45B2-B64A-B2F3E4D57E40}" name="Comissão" totalsRowFunction="custom" dataDxfId="271" totalsRowDxfId="270">
      <calculatedColumnFormula>VLOOKUP($CQ$29,Meta!$Q$3:$R$16,2,FALSE)*CP2</calculatedColumnFormula>
      <totalsRowFormula>SUM(EE_Jan1[Comissão])</totalsRowFormula>
    </tableColumn>
    <tableColumn id="7" xr3:uid="{9701D725-1177-4D2C-89C0-4AE3F0385110}" name="A Receber" totalsRowFunction="custom" dataDxfId="269" totalsRowDxfId="268">
      <calculatedColumnFormula>EE_Jan1[[#This Row],[Total Nota]]-EE_Jan1[[#This Row],[Comissão]]</calculatedColumnFormula>
      <totalsRowFormula>ROUND(SUM(EE_Jan1[A Receber]),2)</totalsRowFormula>
    </tableColumn>
    <tableColumn id="4" xr3:uid="{7C79BCF5-14C2-4152-84CA-D9FBBAA07BE2}" name="Coluna999" dataDxfId="267" totalsRowDxfId="266"/>
    <tableColumn id="12" xr3:uid="{20ADEEED-DF8E-423F-926B-252E706E25A2}" name="ITBI/ITCMD" totalsRowFunction="custom" dataDxfId="265" totalsRowDxfId="264">
      <totalsRowFormula>SUM(EE_Jan1[ITBI/ITCMD])</totalsRowFormula>
    </tableColumn>
    <tableColumn id="10" xr3:uid="{DB24A22F-B2AD-46AE-A508-6815F5C26604}" name="Placeholder ITBI/ITCMD" dataDxfId="263" totalsRowDxfId="262">
      <calculatedColumnFormula>IF(AND(EE_Jan1[[#This Row],[Total Nota]]&lt;&gt;"",EE_Jan1[[#This Row],[ITBI/ITCMD]]="",EE_Jan1[[#This Row],[Total Nota]]-IFERROR(VLOOKUP(EE_Jan1[[#This Row],[Emols.]],Meta!$AK$3:$AN$256,2,FALSE),0)&lt;&gt;0),TEXT(IFERROR(EE_Jan1[[#This Row],[Total Nota]]-VLOOKUP(EE_Jan1[[#This Row],[Emols.]],Meta!$AK$3:$AN$256,2,FALSE),""),"#.##0,00"),"")</calculatedColumnFormula>
    </tableColumn>
    <tableColumn id="8" xr3:uid="{DCF211EC-8771-42D0-AB74-9472E9ADC24A}" name=" " dataDxfId="261" totalsRowDxfId="260"/>
    <tableColumn id="13" xr3:uid="{F08DF45F-EADC-4615-9908-C819D1A0BFC7}" name="Coluna997" dataDxfId="259" totalsRowDxfId="258"/>
    <tableColumn id="5" xr3:uid="{6790F043-CE90-46AF-929C-4DE9E95757A3}" name="Entregue" totalsRowFunction="custom" dataDxfId="257" totalsRowDxfId="256">
      <totalsRowFormula>SUM(EE_Jan1[Entregue])</totalsRowFormula>
    </tableColumn>
    <tableColumn id="6" xr3:uid="{E08A77C6-4CC6-4E1E-871B-5E1CAEF261B7}" name="Tipo" dataDxfId="255" totalsRowDxfId="254"/>
  </tableColumns>
  <tableStyleInfo name="Estilo de Tabela 1 2 2 2 2 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AAA8EA01-81C2-4C5E-A09F-C5A21085779D}" name="FF_Jan1" displayName="FF_Jan1" ref="DF1:DR28" totalsRowCount="1" headerRowDxfId="253" dataDxfId="251" totalsRowDxfId="249" headerRowBorderDxfId="252" tableBorderDxfId="250" totalsRowBorderDxfId="248">
  <autoFilter ref="DF1:DR27" xr:uid="{45087A74-0C0B-4824-B95D-95A056EBAD16}">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47825732-59F4-47F4-A7D7-04319D61E606}" name="Emols." totalsRowFunction="custom" dataDxfId="247" totalsRowDxfId="246">
      <totalsRowFormula>SUM(FF_Jan1[Emols.])</totalsRowFormula>
    </tableColumn>
    <tableColumn id="2" xr3:uid="{A828D514-2B4B-40FB-A5A7-ABEC6194878A}" name="Total Nota" totalsRowFunction="custom" dataDxfId="245" totalsRowDxfId="244">
      <totalsRowFormula>SUM(FF_Jan1[Total Nota])</totalsRowFormula>
    </tableColumn>
    <tableColumn id="9" xr3:uid="{5D20AD03-0773-49B9-B9F8-7A65535D62A7}" name="Placeholder Total da Nota" dataDxfId="243" totalsRowDxfId="242">
      <calculatedColumnFormula>IF(FF_Jan1[[#This Row],[Total Nota]]="",TEXT(IFERROR(VLOOKUP(FF_Jan1[[#This Row],[Emols.]],Meta!$AK$3:$AN$256,2,FALSE)+FF_Jan1[[#This Row],[ITBI/ITCMD]],""),"#.##0,00"),"")</calculatedColumnFormula>
    </tableColumn>
    <tableColumn id="11" xr3:uid="{2B03A857-B799-462D-B4F0-72CFE64ACA89}" name="Do Tabelião" totalsRowFunction="custom" dataDxfId="241" totalsRowDxfId="240">
      <calculatedColumnFormula>FF_Jan1[[#This Row],[Emols.]]-FF_Jan1[[#This Row],[Comissão]]</calculatedColumnFormula>
      <totalsRowFormula>SUM(FF_Jan1[Do Tabelião])</totalsRowFormula>
    </tableColumn>
    <tableColumn id="3" xr3:uid="{275970E0-47D2-4052-9B6B-603A7607749C}" name="Comissão" totalsRowFunction="custom" dataDxfId="239" totalsRowDxfId="238">
      <calculatedColumnFormula>VLOOKUP($DG$29,Meta!$Q$3:$R$16,2,FALSE)*DF2</calculatedColumnFormula>
      <totalsRowFormula>SUM(FF_Jan1[Comissão])</totalsRowFormula>
    </tableColumn>
    <tableColumn id="7" xr3:uid="{729F22EB-6047-4FDC-B36C-E4CDE0A35C4D}" name="A Receber" totalsRowFunction="custom" dataDxfId="237" totalsRowDxfId="236">
      <calculatedColumnFormula>FF_Jan1[[#This Row],[Total Nota]]-FF_Jan1[[#This Row],[Comissão]]</calculatedColumnFormula>
      <totalsRowFormula>ROUND(SUM(FF_Jan1[A Receber]),2)</totalsRowFormula>
    </tableColumn>
    <tableColumn id="4" xr3:uid="{C08E9485-1827-4CEE-90C9-FD31C8FE93E5}" name="Coluna999" dataDxfId="235" totalsRowDxfId="234"/>
    <tableColumn id="12" xr3:uid="{810DA0D9-AE2F-40BB-B0A6-A60FD103BF84}" name="ITBI/ITCMD" totalsRowFunction="custom" dataDxfId="233" totalsRowDxfId="232">
      <totalsRowFormula>SUM(FF_Jan1[ITBI/ITCMD])</totalsRowFormula>
    </tableColumn>
    <tableColumn id="10" xr3:uid="{9C71A153-2C7B-49ED-9B50-6F0B61716831}" name="Placeholder ITBI/ITCMD" dataDxfId="231" totalsRowDxfId="230">
      <calculatedColumnFormula>IF(AND(FF_Jan1[[#This Row],[Total Nota]]&lt;&gt;"",FF_Jan1[[#This Row],[ITBI/ITCMD]]="",FF_Jan1[[#This Row],[Total Nota]]-IFERROR(VLOOKUP(FF_Jan1[[#This Row],[Emols.]],Meta!$AK$3:$AN$256,2,FALSE),0)&lt;&gt;0),TEXT(IFERROR(FF_Jan1[[#This Row],[Total Nota]]-VLOOKUP(FF_Jan1[[#This Row],[Emols.]],Meta!$AK$3:$AN$256,2,FALSE),""),"#.##0,00"),"")</calculatedColumnFormula>
    </tableColumn>
    <tableColumn id="8" xr3:uid="{11ABE94D-42E8-4173-82ED-D56518C2A319}" name=" " dataDxfId="229" totalsRowDxfId="228"/>
    <tableColumn id="13" xr3:uid="{21E70F4B-3166-40AD-9545-2A752597660B}" name="Coluna997" dataDxfId="227" totalsRowDxfId="226"/>
    <tableColumn id="5" xr3:uid="{2FE2443A-D97F-4CDB-94D5-9511924136AA}" name="Entregue" totalsRowFunction="custom" dataDxfId="225" totalsRowDxfId="224">
      <totalsRowFormula>SUM(FF_Jan1[Entregue])</totalsRowFormula>
    </tableColumn>
    <tableColumn id="6" xr3:uid="{040F8BD3-E5AA-423C-91E0-E30586CA4107}" name="Tipo" dataDxfId="223" totalsRowDxfId="222"/>
  </tableColumns>
  <tableStyleInfo name="Estilo de Tabela 1 2 2"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C0D84F16-E223-4991-9F8F-74814BD94BDC}" name="GG_Jan1" displayName="GG_Jan1" ref="DV1:EH28" totalsRowCount="1" headerRowDxfId="221" dataDxfId="219" totalsRowDxfId="217" headerRowBorderDxfId="220" tableBorderDxfId="218" totalsRowBorderDxfId="216">
  <autoFilter ref="DV1:EH27" xr:uid="{CD9FDDE3-167E-442D-8131-F5D0E487C38F}">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C4B0C9B1-4D97-4E43-BF8A-E8690D921C83}" name="Emols." totalsRowFunction="custom" dataDxfId="215" totalsRowDxfId="214">
      <totalsRowFormula>SUM(GG_Jan1[Emols.])</totalsRowFormula>
    </tableColumn>
    <tableColumn id="2" xr3:uid="{8E4FF3BF-1423-40CC-8480-73368B545B38}" name="Total Nota" totalsRowFunction="custom" dataDxfId="213" totalsRowDxfId="212">
      <totalsRowFormula>SUM(GG_Jan1[Total Nota])</totalsRowFormula>
    </tableColumn>
    <tableColumn id="9" xr3:uid="{1F7390E0-EB14-49C1-9E8D-80A108E23013}" name="Placeholder Total da Nota" dataDxfId="211" totalsRowDxfId="210">
      <calculatedColumnFormula>IF(GG_Jan1[[#This Row],[Total Nota]]="",TEXT(IFERROR(VLOOKUP(GG_Jan1[[#This Row],[Emols.]],Meta!$AK$3:$AN$256,2,FALSE)+GG_Jan1[[#This Row],[ITBI/ITCMD]],""),"#.##0,00"),"")</calculatedColumnFormula>
    </tableColumn>
    <tableColumn id="11" xr3:uid="{A02699AA-4674-4990-BB38-124733D0713F}" name="Do Tabelião" totalsRowFunction="custom" dataDxfId="209" totalsRowDxfId="208">
      <calculatedColumnFormula>GG_Jan1[[#This Row],[Emols.]]-GG_Jan1[[#This Row],[Comissão]]</calculatedColumnFormula>
      <totalsRowFormula>SUM(GG_Jan1[Do Tabelião])</totalsRowFormula>
    </tableColumn>
    <tableColumn id="3" xr3:uid="{814A284D-83C1-4CE2-B6A1-66FC9E9D7819}" name="Comissão" totalsRowFunction="custom" dataDxfId="207" totalsRowDxfId="206">
      <calculatedColumnFormula>VLOOKUP($DW$29,Meta!$Q$3:$R$16,2,FALSE)*DV2</calculatedColumnFormula>
      <totalsRowFormula>SUM(GG_Jan1[Comissão])</totalsRowFormula>
    </tableColumn>
    <tableColumn id="7" xr3:uid="{AC1E1CCB-D582-4174-B269-60D9EC230841}" name="A Receber" totalsRowFunction="custom" dataDxfId="205" totalsRowDxfId="204">
      <calculatedColumnFormula>GG_Jan1[[#This Row],[Total Nota]]-GG_Jan1[[#This Row],[Comissão]]</calculatedColumnFormula>
      <totalsRowFormula>ROUND(SUM(GG_Jan1[A Receber]),2)</totalsRowFormula>
    </tableColumn>
    <tableColumn id="4" xr3:uid="{A2A3EAF3-ADFA-4007-8C0B-50B98AA9CBFE}" name="Coluna999" dataDxfId="203" totalsRowDxfId="202"/>
    <tableColumn id="12" xr3:uid="{596465EA-E94A-42E9-8EC3-4C36A9AB58EC}" name="ITBI/ITCMD" totalsRowFunction="custom" dataDxfId="201" totalsRowDxfId="200">
      <totalsRowFormula>SUM(GG_Jan1[ITBI/ITCMD])</totalsRowFormula>
    </tableColumn>
    <tableColumn id="10" xr3:uid="{03C83455-869A-47AC-9AC8-F4D6631E86D9}" name="Placeholder ITBI/ITCMD" dataDxfId="199" totalsRowDxfId="198">
      <calculatedColumnFormula>IF(AND(GG_Jan1[[#This Row],[Total Nota]]&lt;&gt;"",GG_Jan1[[#This Row],[ITBI/ITCMD]]="",GG_Jan1[[#This Row],[Total Nota]]-IFERROR(VLOOKUP(GG_Jan1[[#This Row],[Emols.]],Meta!$AK$3:$AN$256,2,FALSE),0)&lt;&gt;0),TEXT(IFERROR(GG_Jan1[[#This Row],[Total Nota]]-VLOOKUP(GG_Jan1[[#This Row],[Emols.]],Meta!$AK$3:$AN$256,2,FALSE),""),"#.##0,00"),"")</calculatedColumnFormula>
    </tableColumn>
    <tableColumn id="8" xr3:uid="{50DA5998-26DE-4F85-9909-AA9315345464}" name=" " dataDxfId="197" totalsRowDxfId="196"/>
    <tableColumn id="13" xr3:uid="{C1B4A91F-EF26-40BA-A576-8FE9246FB963}" name="Coluna997" dataDxfId="195" totalsRowDxfId="194"/>
    <tableColumn id="5" xr3:uid="{0DB5ECC5-93E5-4D0D-AEDD-C1BDED426716}" name="Entregue" totalsRowFunction="custom" dataDxfId="193" totalsRowDxfId="192">
      <totalsRowFormula>SUM(GG_Jan1[Entregue])</totalsRowFormula>
    </tableColumn>
    <tableColumn id="6" xr3:uid="{34254DE5-0644-4CC3-B7F9-546D73E9C828}" name="Tipo" dataDxfId="191" totalsRowDxfId="190"/>
  </tableColumns>
  <tableStyleInfo name="Estilo de Tabela 1"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5C58D180-2149-4889-AC3F-D9B8017D41B1}" name="HH_Jan1" displayName="HH_Jan1" ref="EL1:EX28" totalsRowCount="1" headerRowDxfId="189" dataDxfId="187" totalsRowDxfId="185" headerRowBorderDxfId="188" tableBorderDxfId="186" totalsRowBorderDxfId="184">
  <autoFilter ref="EL1:EX27" xr:uid="{4016F387-84D1-4D70-8F7D-64C1FF917D5B}">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E71A1F82-CE30-4A05-86A3-1B72247CB7CF}" name="Emols." totalsRowFunction="custom" dataDxfId="183" totalsRowDxfId="182">
      <totalsRowFormula>SUM(HH_Jan1[Emols.])</totalsRowFormula>
    </tableColumn>
    <tableColumn id="2" xr3:uid="{1D56EB84-1CCA-4CA2-9869-B188D4C0658B}" name="Total Nota" totalsRowFunction="custom" dataDxfId="181" totalsRowDxfId="180">
      <totalsRowFormula>SUM(HH_Jan1[Total Nota])</totalsRowFormula>
    </tableColumn>
    <tableColumn id="9" xr3:uid="{AD445A8D-9E69-4B70-AA2B-FB71179C7231}" name="Placeholder Total da Nota" dataDxfId="179" totalsRowDxfId="178">
      <calculatedColumnFormula>IF(HH_Jan1[[#This Row],[Total Nota]]="",TEXT(IFERROR(VLOOKUP(HH_Jan1[[#This Row],[Emols.]],Meta!$AK$3:$AN$256,2,FALSE)+HH_Jan1[[#This Row],[ITBI/ITCMD]],""),"#.##0,00"),"")</calculatedColumnFormula>
    </tableColumn>
    <tableColumn id="11" xr3:uid="{43CA3814-CDDD-4769-8F1E-D549BD01CC6E}" name="Do Tabelião" totalsRowFunction="custom" dataDxfId="177" totalsRowDxfId="176">
      <calculatedColumnFormula>HH_Jan1[[#This Row],[Emols.]]-HH_Jan1[[#This Row],[Comissão]]</calculatedColumnFormula>
      <totalsRowFormula>SUM(HH_Jan1[Do Tabelião])</totalsRowFormula>
    </tableColumn>
    <tableColumn id="3" xr3:uid="{D08608B6-9DA9-4EDA-8098-A3FDBA5D83E2}" name="Comissão" totalsRowFunction="custom" dataDxfId="175" totalsRowDxfId="174">
      <calculatedColumnFormula>VLOOKUP($EM$29,Meta!$Q$3:$R$16,2,FALSE)*EL2</calculatedColumnFormula>
      <totalsRowFormula>SUM(HH_Jan1[Comissão])</totalsRowFormula>
    </tableColumn>
    <tableColumn id="7" xr3:uid="{DDE86CB8-29B8-400A-92A4-F5342CFDFFEC}" name="A Receber" totalsRowFunction="custom" dataDxfId="173" totalsRowDxfId="172">
      <calculatedColumnFormula>HH_Jan1[[#This Row],[Total Nota]]-HH_Jan1[[#This Row],[Comissão]]</calculatedColumnFormula>
      <totalsRowFormula>ROUND(SUM(HH_Jan1[A Receber]),2)</totalsRowFormula>
    </tableColumn>
    <tableColumn id="4" xr3:uid="{B590F445-43FA-4466-B68C-4E0BFE487138}" name="Coluna999" dataDxfId="171" totalsRowDxfId="170"/>
    <tableColumn id="12" xr3:uid="{0134D3B2-6D41-4AF3-A3BB-26CB011C052C}" name="ITBI/ITCMD" totalsRowFunction="custom" dataDxfId="169" totalsRowDxfId="168">
      <totalsRowFormula>SUM(HH_Jan1[ITBI/ITCMD])</totalsRowFormula>
    </tableColumn>
    <tableColumn id="10" xr3:uid="{ED6CD42C-C37F-4D48-96C0-D91982C877C9}" name="Placeholder ITBI/ITCMD" dataDxfId="167" totalsRowDxfId="166">
      <calculatedColumnFormula>IF(AND(HH_Jan1[[#This Row],[Total Nota]]&lt;&gt;"",HH_Jan1[[#This Row],[ITBI/ITCMD]]="",HH_Jan1[[#This Row],[Total Nota]]-IFERROR(VLOOKUP(HH_Jan1[[#This Row],[Emols.]],Meta!$AK$3:$AN$256,2,FALSE),0)&lt;&gt;0),TEXT(IFERROR(HH_Jan1[[#This Row],[Total Nota]]-VLOOKUP(HH_Jan1[[#This Row],[Emols.]],Meta!$AK$3:$AN$256,2,FALSE),""),"#.##0,00"),"")</calculatedColumnFormula>
    </tableColumn>
    <tableColumn id="8" xr3:uid="{A4C74120-E140-4E0B-A620-11B5A323887B}" name=" " dataDxfId="165" totalsRowDxfId="164"/>
    <tableColumn id="13" xr3:uid="{92A391DA-2A02-4699-BDFF-01EBB401B47B}" name="Coluna997" dataDxfId="163" totalsRowDxfId="162"/>
    <tableColumn id="5" xr3:uid="{D8B69E42-85B1-4093-82D9-B154D3AF5D45}" name="Entregue" totalsRowFunction="custom" dataDxfId="161" totalsRowDxfId="160">
      <totalsRowFormula>SUM(HH_Jan1[Entregue])</totalsRowFormula>
    </tableColumn>
    <tableColumn id="6" xr3:uid="{8FE6A422-400E-48A9-B724-2C86458AC5C5}" name="Tipo" dataDxfId="159" totalsRowDxfId="158"/>
  </tableColumns>
  <tableStyleInfo name="Estilo de Tabela 1"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2FAA8B00-6110-4DBF-A6A2-D57DFF30D609}" name="II_Jan1" displayName="II_Jan1" ref="FB1:FN28" totalsRowCount="1" headerRowDxfId="157" dataDxfId="155" totalsRowDxfId="153" headerRowBorderDxfId="156" tableBorderDxfId="154" totalsRowBorderDxfId="152">
  <autoFilter ref="FB1:FN27" xr:uid="{1E16E37A-3072-424D-AA24-03845FB6119E}">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9A6C2099-174C-49EA-B81C-041020FC4EB7}" name="Emols." totalsRowFunction="custom" dataDxfId="151" totalsRowDxfId="150">
      <totalsRowFormula>SUM(II_Jan1[Emols.])</totalsRowFormula>
    </tableColumn>
    <tableColumn id="2" xr3:uid="{E08E00AD-57DB-402E-B65F-B24A7DCEE849}" name="Total Nota" totalsRowFunction="custom" dataDxfId="149" totalsRowDxfId="148">
      <totalsRowFormula>SUM(II_Jan1[Total Nota])</totalsRowFormula>
    </tableColumn>
    <tableColumn id="9" xr3:uid="{7E109764-5BE0-4588-B15A-6897AFF09C3B}" name="Placeholder Total da Nota" dataDxfId="147" totalsRowDxfId="146">
      <calculatedColumnFormula>IF(II_Jan1[[#This Row],[Total Nota]]="",TEXT(IFERROR(VLOOKUP(II_Jan1[[#This Row],[Emols.]],Meta!$AK$3:$AN$256,2,FALSE)+II_Jan1[[#This Row],[ITBI/ITCMD]],""),"#.##0,00"),"")</calculatedColumnFormula>
    </tableColumn>
    <tableColumn id="11" xr3:uid="{F6F84393-2733-4365-95A6-3AD929CE44C6}" name="Do Tabelião" totalsRowFunction="custom" dataDxfId="145" totalsRowDxfId="144">
      <calculatedColumnFormula>II_Jan1[[#This Row],[Emols.]]-II_Jan1[[#This Row],[Comissão]]</calculatedColumnFormula>
      <totalsRowFormula>SUM(II_Jan1[Do Tabelião])</totalsRowFormula>
    </tableColumn>
    <tableColumn id="3" xr3:uid="{D0090CB7-DFE4-4490-ACB4-3DAAC6B9E4FB}" name="Comissão" totalsRowFunction="custom" dataDxfId="143" totalsRowDxfId="142">
      <calculatedColumnFormula>VLOOKUP($FC$29,Meta!$Q$3:$R$16,2,FALSE)*FB2</calculatedColumnFormula>
      <totalsRowFormula>SUM(II_Jan1[Comissão])</totalsRowFormula>
    </tableColumn>
    <tableColumn id="7" xr3:uid="{6C1D40EE-8F91-45A0-B12C-2C91B55DFEE5}" name="A Receber" totalsRowFunction="custom" dataDxfId="141" totalsRowDxfId="140">
      <calculatedColumnFormula>II_Jan1[[#This Row],[Total Nota]]-II_Jan1[[#This Row],[Comissão]]</calculatedColumnFormula>
      <totalsRowFormula>ROUND(SUM(II_Jan1[A Receber]),2)</totalsRowFormula>
    </tableColumn>
    <tableColumn id="4" xr3:uid="{B07AA132-0397-401E-B8DF-0E8841A6C3C8}" name="Coluna999" dataDxfId="139" totalsRowDxfId="138"/>
    <tableColumn id="12" xr3:uid="{165CD9A0-6DA2-4030-96F3-5F2B8CC91DB4}" name="ITBI/ITCMD" totalsRowFunction="custom" dataDxfId="137" totalsRowDxfId="136">
      <totalsRowFormula>SUM(II_Jan1[ITBI/ITCMD])</totalsRowFormula>
    </tableColumn>
    <tableColumn id="10" xr3:uid="{E64EE610-8453-4267-8E25-214FF3DFE31A}" name="Placeholder ITBI/ITCMD" dataDxfId="135" totalsRowDxfId="134">
      <calculatedColumnFormula>IF(AND(II_Jan1[[#This Row],[Total Nota]]&lt;&gt;"",II_Jan1[[#This Row],[ITBI/ITCMD]]="",II_Jan1[[#This Row],[Total Nota]]-IFERROR(VLOOKUP(II_Jan1[[#This Row],[Emols.]],Meta!$AK$3:$AN$256,2,FALSE),0)&lt;&gt;0),TEXT(IFERROR(II_Jan1[[#This Row],[Total Nota]]-VLOOKUP(II_Jan1[[#This Row],[Emols.]],Meta!$AK$3:$AN$256,2,FALSE),""),"#.##0,00"),"")</calculatedColumnFormula>
    </tableColumn>
    <tableColumn id="8" xr3:uid="{6A59D79B-CE42-4EE3-9B07-823B1FEACBFD}" name=" " dataDxfId="133" totalsRowDxfId="132"/>
    <tableColumn id="13" xr3:uid="{E69FA349-DD87-4722-BC35-FE4368F2CB83}" name="Coluna997" dataDxfId="131" totalsRowDxfId="130"/>
    <tableColumn id="5" xr3:uid="{39D5FBCD-3413-4DE8-BFCD-EC26B77638E3}" name="Entregue" totalsRowFunction="custom" dataDxfId="129" totalsRowDxfId="128">
      <totalsRowFormula>SUM(II_Jan1[Entregue])</totalsRowFormula>
    </tableColumn>
    <tableColumn id="6" xr3:uid="{06B40784-F59B-4C04-9A05-C85E1F6A2A57}" name="Tipo" dataDxfId="127" totalsRowDxfId="126"/>
  </tableColumns>
  <tableStyleInfo name="Estilo de Tabela 1"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5" xr:uid="{8FA76C97-CE75-4734-B592-B4E4C52DA39F}" name="JJ_Jan1" displayName="JJ_Jan1" ref="FR1:GD28" totalsRowCount="1" headerRowDxfId="125" dataDxfId="123" totalsRowDxfId="121" headerRowBorderDxfId="124" tableBorderDxfId="122" totalsRowBorderDxfId="120">
  <autoFilter ref="FR1:GD27" xr:uid="{C2C73DE8-386F-49FD-942D-32AE8A74314C}">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DBB25D7C-4063-4822-AF55-D534880014B1}" name="Emols." totalsRowFunction="custom" dataDxfId="119" totalsRowDxfId="118">
      <totalsRowFormula>SUM(JJ_Jan1[Emols.])</totalsRowFormula>
    </tableColumn>
    <tableColumn id="2" xr3:uid="{DF8756AA-C8F7-460B-A12F-D917DE7734EA}" name="Total Nota" totalsRowFunction="custom" dataDxfId="117" totalsRowDxfId="116">
      <totalsRowFormula>SUM(JJ_Jan1[Total Nota])</totalsRowFormula>
    </tableColumn>
    <tableColumn id="9" xr3:uid="{9ACF655C-C49F-457E-8555-42F1EA186F92}" name="Placeholder Total da Nota" dataDxfId="115" totalsRowDxfId="114">
      <calculatedColumnFormula>IF(JJ_Jan1[[#This Row],[Total Nota]]="",TEXT(IFERROR(VLOOKUP(JJ_Jan1[[#This Row],[Emols.]],Meta!$AK$3:$AN$256,2,FALSE)+JJ_Jan1[[#This Row],[ITBI/ITCMD]],""),"#.##0,00"),"")</calculatedColumnFormula>
    </tableColumn>
    <tableColumn id="11" xr3:uid="{B2172098-4F7A-4003-9804-C3EA782C3D3A}" name="Do Tabelião" totalsRowFunction="custom" dataDxfId="113" totalsRowDxfId="112">
      <calculatedColumnFormula>JJ_Jan1[[#This Row],[Emols.]]-JJ_Jan1[[#This Row],[Comissão]]</calculatedColumnFormula>
      <totalsRowFormula>SUM(JJ_Jan1[Do Tabelião])</totalsRowFormula>
    </tableColumn>
    <tableColumn id="3" xr3:uid="{8F1F8A4A-FC45-44BA-8F5C-ABD2012A281B}" name="Comissão" totalsRowFunction="custom" dataDxfId="111" totalsRowDxfId="110">
      <calculatedColumnFormula>VLOOKUP($FS$29,Meta!$Q$3:$R$16,2,FALSE)*FR2</calculatedColumnFormula>
      <totalsRowFormula>SUM(JJ_Jan1[Comissão])</totalsRowFormula>
    </tableColumn>
    <tableColumn id="7" xr3:uid="{196349B7-471F-47E4-836F-C1B0BC0F4311}" name="A Receber" totalsRowFunction="custom" dataDxfId="109" totalsRowDxfId="108">
      <calculatedColumnFormula>JJ_Jan1[[#This Row],[Total Nota]]-JJ_Jan1[[#This Row],[Comissão]]</calculatedColumnFormula>
      <totalsRowFormula>ROUND(SUM(JJ_Jan1[A Receber]),2)</totalsRowFormula>
    </tableColumn>
    <tableColumn id="4" xr3:uid="{91B99FE2-DB79-4B9E-97D5-E6691978F5CA}" name="Coluna999" dataDxfId="107" totalsRowDxfId="106"/>
    <tableColumn id="12" xr3:uid="{84F3090B-D00C-4AB4-A68C-B51C805ED62D}" name="ITBI/ITCMD" totalsRowFunction="custom" dataDxfId="105" totalsRowDxfId="104">
      <totalsRowFormula>SUM(JJ_Jan1[ITBI/ITCMD])</totalsRowFormula>
    </tableColumn>
    <tableColumn id="10" xr3:uid="{246DD40C-5BBC-431F-A6C5-4A3A75E86ED2}" name="Placeholder ITBI/ITCMD" dataDxfId="103" totalsRowDxfId="102">
      <calculatedColumnFormula>IF(AND(JJ_Jan1[[#This Row],[Total Nota]]&lt;&gt;"",JJ_Jan1[[#This Row],[ITBI/ITCMD]]="",JJ_Jan1[[#This Row],[Total Nota]]-IFERROR(VLOOKUP(JJ_Jan1[[#This Row],[Emols.]],Meta!$AK$3:$AN$256,2,FALSE),0)&lt;&gt;0),TEXT(IFERROR(JJ_Jan1[[#This Row],[Total Nota]]-VLOOKUP(JJ_Jan1[[#This Row],[Emols.]],Meta!$AK$3:$AN$256,2,FALSE),""),"#.##0,00"),"")</calculatedColumnFormula>
    </tableColumn>
    <tableColumn id="8" xr3:uid="{A113FF75-08F7-4283-A07A-79166DE8EFCD}" name=" " dataDxfId="101" totalsRowDxfId="100"/>
    <tableColumn id="13" xr3:uid="{DDFF7F7B-D11C-47EB-A559-84A4F4A9E304}" name="Coluna997" dataDxfId="99" totalsRowDxfId="98"/>
    <tableColumn id="5" xr3:uid="{FC617FC4-E391-446B-8064-E802B309DBA8}" name="Entregue" totalsRowFunction="custom" dataDxfId="97" totalsRowDxfId="96">
      <totalsRowFormula>SUM(JJ_Jan1[Entregue])</totalsRowFormula>
    </tableColumn>
    <tableColumn id="6" xr3:uid="{93A3C061-7A7F-47BC-A6F2-FA191CB79A57}" name="Tipo" dataDxfId="95" totalsRowDxfId="94"/>
  </tableColumns>
  <tableStyleInfo name="Estilo de Tabela 1"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0EA9CC8A-7752-4DAF-B282-D4786E36F56E}" name="KK_Jan1" displayName="KK_Jan1" ref="GH1:GT28" totalsRowCount="1" headerRowDxfId="93" dataDxfId="91" totalsRowDxfId="89" headerRowBorderDxfId="92" tableBorderDxfId="90" totalsRowBorderDxfId="88">
  <autoFilter ref="GH1:GT27" xr:uid="{2A7D2490-A4AA-450F-9D09-039128D7BD6E}">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2E364EFA-1266-4908-B685-1143ED00F964}" name="Emols." totalsRowFunction="custom" dataDxfId="87" totalsRowDxfId="86">
      <totalsRowFormula>SUM(KK_Jan1[Emols.])</totalsRowFormula>
    </tableColumn>
    <tableColumn id="2" xr3:uid="{1CC74102-36AE-4E69-957C-EF2DEE7309E3}" name="Total Nota" totalsRowFunction="custom" dataDxfId="85" totalsRowDxfId="84">
      <totalsRowFormula>SUM(KK_Jan1[Total Nota])</totalsRowFormula>
    </tableColumn>
    <tableColumn id="9" xr3:uid="{ED6270FE-82C8-4B43-9DDA-51936C555DCC}" name="Placeholder Total da Nota" dataDxfId="83" totalsRowDxfId="82">
      <calculatedColumnFormula>IF(KK_Jan1[[#This Row],[Total Nota]]="",TEXT(IFERROR(VLOOKUP(KK_Jan1[[#This Row],[Emols.]],Meta!$AK$3:$AN$256,2,FALSE)+KK_Jan1[[#This Row],[ITBI/ITCMD]],""),"#.##0,00"),"")</calculatedColumnFormula>
    </tableColumn>
    <tableColumn id="11" xr3:uid="{06B49414-DD1B-4CCE-803B-3D8A084AEC9F}" name="Do Tabelião" totalsRowFunction="custom" dataDxfId="81" totalsRowDxfId="80">
      <calculatedColumnFormula>KK_Jan1[[#This Row],[Emols.]]-KK_Jan1[[#This Row],[Comissão]]</calculatedColumnFormula>
      <totalsRowFormula>SUM(KK_Jan1[Do Tabelião])</totalsRowFormula>
    </tableColumn>
    <tableColumn id="3" xr3:uid="{4FB85687-7084-40A9-9E7B-F9398393E2B4}" name="Comissão" totalsRowFunction="custom" dataDxfId="79" totalsRowDxfId="78">
      <calculatedColumnFormula>VLOOKUP($GI$29,Meta!$Q$3:$R$16,2,FALSE)*GH2</calculatedColumnFormula>
      <totalsRowFormula>SUM(KK_Jan1[Comissão])</totalsRowFormula>
    </tableColumn>
    <tableColumn id="7" xr3:uid="{9CF01A1E-118A-4DB5-BA61-E86F2E009AFE}" name="A Receber" totalsRowFunction="custom" dataDxfId="77" totalsRowDxfId="76">
      <calculatedColumnFormula>KK_Jan1[[#This Row],[Total Nota]]-KK_Jan1[[#This Row],[Comissão]]</calculatedColumnFormula>
      <totalsRowFormula>ROUND(SUM(KK_Jan1[A Receber]),2)</totalsRowFormula>
    </tableColumn>
    <tableColumn id="4" xr3:uid="{0BAC28C8-5A71-467E-AB3A-6B6A9CCEF9D2}" name="Coluna999" dataDxfId="75" totalsRowDxfId="74"/>
    <tableColumn id="12" xr3:uid="{96A70AEE-161C-4A99-A084-7E8FCCF625D1}" name="ITBI/ITCMD" totalsRowFunction="custom" dataDxfId="73" totalsRowDxfId="72">
      <totalsRowFormula>SUM(KK_Jan1[ITBI/ITCMD])</totalsRowFormula>
    </tableColumn>
    <tableColumn id="10" xr3:uid="{C2824C2E-EE1D-40BD-BF32-D77643266E08}" name="Placeholder ITBI/ITCMD" dataDxfId="71" totalsRowDxfId="70">
      <calculatedColumnFormula>IF(AND(KK_Jan1[[#This Row],[Total Nota]]&lt;&gt;"",KK_Jan1[[#This Row],[ITBI/ITCMD]]="",KK_Jan1[[#This Row],[Total Nota]]-IFERROR(VLOOKUP(KK_Jan1[[#This Row],[Emols.]],Meta!$AK$3:$AN$256,2,FALSE),0)&lt;&gt;0),TEXT(IFERROR(KK_Jan1[[#This Row],[Total Nota]]-VLOOKUP(KK_Jan1[[#This Row],[Emols.]],Meta!$AK$3:$AN$256,2,FALSE),""),"#.##0,00"),"")</calculatedColumnFormula>
    </tableColumn>
    <tableColumn id="8" xr3:uid="{CADBB0BB-B1FC-4DC6-8213-12A6561DC61A}" name=" " dataDxfId="69" totalsRowDxfId="68"/>
    <tableColumn id="13" xr3:uid="{E09D1DC9-857A-4FBA-9BBA-35EF14A026C0}" name="Coluna997" dataDxfId="67" totalsRowDxfId="66"/>
    <tableColumn id="5" xr3:uid="{9B9E8AA5-C06A-4477-9426-D3BCC28FA646}" name="Entregue" totalsRowFunction="custom" dataDxfId="65" totalsRowDxfId="64">
      <totalsRowFormula>SUM(KK_Jan1[Entregue])</totalsRowFormula>
    </tableColumn>
    <tableColumn id="6" xr3:uid="{5B354BB7-282A-4014-ADA7-604682BDBF9F}" name="Tipo" dataDxfId="63" totalsRowDxfId="62"/>
  </tableColumns>
  <tableStyleInfo name="Estilo de Tabela 1"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7" xr:uid="{F4EE65C8-3F2B-4BC3-9FB9-959B14951CB0}" name="LL_Jan1" displayName="LL_Jan1" ref="GX1:HJ28" totalsRowCount="1" headerRowDxfId="61" dataDxfId="59" totalsRowDxfId="57" headerRowBorderDxfId="60" tableBorderDxfId="58" totalsRowBorderDxfId="56">
  <autoFilter ref="GX1:HJ27" xr:uid="{3A8CFF5C-2C31-4E90-9B89-D2A7D0AB7445}">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autoFilter>
  <tableColumns count="13">
    <tableColumn id="1" xr3:uid="{85705E51-21A6-4022-98D5-1F62E0DA7C65}" name="Emols." totalsRowFunction="custom" dataDxfId="55" totalsRowDxfId="54">
      <totalsRowFormula>SUM(LL_Jan1[Emols.])</totalsRowFormula>
    </tableColumn>
    <tableColumn id="2" xr3:uid="{BAA9A89C-8BBC-4EF5-AFA0-B00604C10C80}" name="Total Nota" totalsRowFunction="custom" dataDxfId="53" totalsRowDxfId="52">
      <totalsRowFormula>SUM(LL_Jan1[Total Nota])</totalsRowFormula>
    </tableColumn>
    <tableColumn id="9" xr3:uid="{019A97A7-6D57-4CF7-9ADD-8EBA3CA6C137}" name="Placeholder Total da Nota" dataDxfId="51" totalsRowDxfId="50">
      <calculatedColumnFormula>IF(LL_Jan1[[#This Row],[Total Nota]]="",TEXT(IFERROR(VLOOKUP(LL_Jan1[[#This Row],[Emols.]],Meta!$AK$3:$AN$256,2,FALSE)+LL_Jan1[[#This Row],[ITBI/ITCMD]],""),"#.##0,00"),"")</calculatedColumnFormula>
    </tableColumn>
    <tableColumn id="11" xr3:uid="{C51638D1-84B5-44FC-A274-49015CDAF463}" name="Do Tabelião" totalsRowFunction="custom" dataDxfId="49" totalsRowDxfId="48">
      <calculatedColumnFormula>LL_Jan1[[#This Row],[Emols.]]-LL_Jan1[[#This Row],[Comissão]]</calculatedColumnFormula>
      <totalsRowFormula>SUM(LL_Jan1[Do Tabelião])</totalsRowFormula>
    </tableColumn>
    <tableColumn id="3" xr3:uid="{D214477D-0176-451C-AA89-3B8B2EC4688E}" name="Comissão" totalsRowFunction="custom" dataDxfId="47" totalsRowDxfId="46">
      <calculatedColumnFormula>VLOOKUP($GY$29,Meta!$Q$3:$R$16,2,FALSE)*GX2</calculatedColumnFormula>
      <totalsRowFormula>SUM(LL_Jan1[Comissão])</totalsRowFormula>
    </tableColumn>
    <tableColumn id="7" xr3:uid="{C4F8B2D2-DDCD-4BAA-B6B9-9AA13813EE94}" name="A Receber" totalsRowFunction="custom" dataDxfId="45" totalsRowDxfId="44">
      <calculatedColumnFormula>LL_Jan1[[#This Row],[Total Nota]]-LL_Jan1[[#This Row],[Comissão]]</calculatedColumnFormula>
      <totalsRowFormula>ROUND(SUM(LL_Jan1[A Receber]),2)</totalsRowFormula>
    </tableColumn>
    <tableColumn id="4" xr3:uid="{947AA4EA-5D5F-4684-A688-D495A8BF91B5}" name="Coluna999" dataDxfId="43" totalsRowDxfId="42"/>
    <tableColumn id="12" xr3:uid="{CEF5256A-49C5-404E-A4D1-AEC397E4FE00}" name="ITBI/ITCMD" totalsRowFunction="custom" dataDxfId="41" totalsRowDxfId="40">
      <totalsRowFormula>SUM(LL_Jan1[ITBI/ITCMD])</totalsRowFormula>
    </tableColumn>
    <tableColumn id="10" xr3:uid="{E368DD3D-38C6-4440-AC73-F6DAF6F9BB57}" name="Placeholder ITBI/ITCMD" dataDxfId="39" totalsRowDxfId="38">
      <calculatedColumnFormula>IF(AND(LL_Jan1[[#This Row],[Total Nota]]&lt;&gt;"",LL_Jan1[[#This Row],[ITBI/ITCMD]]="",LL_Jan1[[#This Row],[Total Nota]]-IFERROR(VLOOKUP(LL_Jan1[[#This Row],[Emols.]],Meta!$AK$3:$AN$256,2,FALSE),0)&lt;&gt;0),TEXT(IFERROR(LL_Jan1[[#This Row],[Total Nota]]-VLOOKUP(LL_Jan1[[#This Row],[Emols.]],Meta!$AK$3:$AN$256,2,FALSE),""),"#.##0,00"),"")</calculatedColumnFormula>
    </tableColumn>
    <tableColumn id="8" xr3:uid="{0A87464C-0DD3-4A8E-B241-742A6A9DFB9B}" name=" " dataDxfId="37" totalsRowDxfId="36"/>
    <tableColumn id="13" xr3:uid="{27DC7B38-9520-46F9-A117-0E5871BEB7E8}" name="Coluna997" dataDxfId="35" totalsRowDxfId="34"/>
    <tableColumn id="5" xr3:uid="{383812D8-5C45-4EC1-BA33-EDBAED4D33DD}" name="Entregue" totalsRowFunction="custom" dataDxfId="33" totalsRowDxfId="32">
      <totalsRowFormula>SUM(LL_Jan1[Entregue])</totalsRowFormula>
    </tableColumn>
    <tableColumn id="6" xr3:uid="{0CBA3AE5-C46C-494D-BDB1-3BC136A7EFB2}" name="Tipo" dataDxfId="31" totalsRowDxfId="30"/>
  </tableColumns>
  <tableStyleInfo name="Estilo de Tabela 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8" Type="http://schemas.openxmlformats.org/officeDocument/2006/relationships/table" Target="../tables/table6.xml"/><Relationship Id="rId13" Type="http://schemas.openxmlformats.org/officeDocument/2006/relationships/table" Target="../tables/table11.xml"/><Relationship Id="rId3" Type="http://schemas.openxmlformats.org/officeDocument/2006/relationships/table" Target="../tables/table1.xml"/><Relationship Id="rId7" Type="http://schemas.openxmlformats.org/officeDocument/2006/relationships/table" Target="../tables/table5.xml"/><Relationship Id="rId12" Type="http://schemas.openxmlformats.org/officeDocument/2006/relationships/table" Target="../tables/table10.xml"/><Relationship Id="rId2" Type="http://schemas.openxmlformats.org/officeDocument/2006/relationships/vmlDrawing" Target="../drawings/vmlDrawing1.vml"/><Relationship Id="rId1" Type="http://schemas.openxmlformats.org/officeDocument/2006/relationships/printerSettings" Target="../printerSettings/printerSettings3.bin"/><Relationship Id="rId6" Type="http://schemas.openxmlformats.org/officeDocument/2006/relationships/table" Target="../tables/table4.xml"/><Relationship Id="rId11" Type="http://schemas.openxmlformats.org/officeDocument/2006/relationships/table" Target="../tables/table9.xml"/><Relationship Id="rId5" Type="http://schemas.openxmlformats.org/officeDocument/2006/relationships/table" Target="../tables/table3.xml"/><Relationship Id="rId15" Type="http://schemas.openxmlformats.org/officeDocument/2006/relationships/comments" Target="../comments1.xml"/><Relationship Id="rId10" Type="http://schemas.openxmlformats.org/officeDocument/2006/relationships/table" Target="../tables/table8.xml"/><Relationship Id="rId4" Type="http://schemas.openxmlformats.org/officeDocument/2006/relationships/table" Target="../tables/table2.xml"/><Relationship Id="rId9" Type="http://schemas.openxmlformats.org/officeDocument/2006/relationships/table" Target="../tables/table7.xml"/><Relationship Id="rId14" Type="http://schemas.openxmlformats.org/officeDocument/2006/relationships/table" Target="../tables/table12.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81C9C7-CEA1-4BF8-9E53-DEB8BF84163F}">
  <sheetPr codeName="Planilha2"/>
  <dimension ref="C1:AO256"/>
  <sheetViews>
    <sheetView topLeftCell="K1" workbookViewId="0">
      <selection activeCell="V10" sqref="V10"/>
    </sheetView>
  </sheetViews>
  <sheetFormatPr defaultColWidth="9.140625" defaultRowHeight="15" x14ac:dyDescent="0.25"/>
  <cols>
    <col min="1" max="1" width="0.28515625" style="1" customWidth="1"/>
    <col min="2" max="2" width="1.140625" style="1" customWidth="1"/>
    <col min="3" max="3" width="4.28515625" style="1" bestFit="1" customWidth="1"/>
    <col min="4" max="4" width="12.28515625" style="1" customWidth="1"/>
    <col min="5" max="11" width="9.140625" style="1"/>
    <col min="12" max="12" width="12.5703125" style="33" customWidth="1"/>
    <col min="13" max="13" width="18" style="1" customWidth="1"/>
    <col min="14" max="16" width="9.140625" style="1"/>
    <col min="17" max="17" width="12" style="1" bestFit="1" customWidth="1"/>
    <col min="18" max="18" width="6.85546875" style="1" customWidth="1"/>
    <col min="19" max="19" width="6.7109375" style="1" customWidth="1"/>
    <col min="20" max="20" width="6.85546875" style="1" customWidth="1"/>
    <col min="21" max="21" width="9.140625" style="1" customWidth="1"/>
    <col min="22" max="22" width="19.140625" style="1" bestFit="1" customWidth="1"/>
    <col min="23" max="23" width="9.140625" style="1"/>
    <col min="24" max="27" width="8.28515625" style="1" customWidth="1"/>
    <col min="28" max="28" width="9.140625" style="1"/>
    <col min="29" max="29" width="13.42578125" style="1" customWidth="1"/>
    <col min="30" max="30" width="14.28515625" style="1" customWidth="1"/>
    <col min="31" max="31" width="13.42578125" style="1" customWidth="1"/>
    <col min="32" max="33" width="11.7109375" style="10" bestFit="1" customWidth="1"/>
    <col min="34" max="34" width="5.42578125" style="10" customWidth="1"/>
    <col min="35" max="36" width="9.140625" style="1"/>
    <col min="37" max="38" width="11.7109375" style="10" bestFit="1" customWidth="1"/>
    <col min="39" max="39" width="4.85546875" style="10" customWidth="1"/>
    <col min="40" max="40" width="21.140625" style="9" customWidth="1"/>
    <col min="41" max="41" width="9.140625" style="9"/>
    <col min="42" max="16384" width="9.140625" style="1"/>
  </cols>
  <sheetData>
    <row r="1" spans="3:40" ht="3.75" customHeight="1" x14ac:dyDescent="0.25"/>
    <row r="2" spans="3:40" x14ac:dyDescent="0.25">
      <c r="C2" s="35" t="s">
        <v>251</v>
      </c>
      <c r="D2" s="35" t="s">
        <v>28</v>
      </c>
      <c r="E2" s="35" t="s">
        <v>24</v>
      </c>
      <c r="F2" s="35" t="s">
        <v>31</v>
      </c>
      <c r="H2" s="576" t="s">
        <v>22</v>
      </c>
      <c r="I2" s="576"/>
      <c r="J2" s="576"/>
      <c r="L2" s="577" t="s">
        <v>197</v>
      </c>
      <c r="M2" s="577"/>
      <c r="P2" s="35"/>
      <c r="Q2" s="34" t="s">
        <v>224</v>
      </c>
      <c r="R2" s="34"/>
      <c r="S2" s="35"/>
      <c r="T2" s="35"/>
      <c r="V2" s="35" t="s">
        <v>6</v>
      </c>
      <c r="X2" s="576" t="s">
        <v>23</v>
      </c>
      <c r="Y2" s="576"/>
      <c r="AA2" s="8" t="s">
        <v>39</v>
      </c>
      <c r="AC2" s="8" t="s">
        <v>67</v>
      </c>
      <c r="AD2" s="8" t="s">
        <v>185</v>
      </c>
      <c r="AF2" s="11"/>
      <c r="AG2" s="11" t="s">
        <v>167</v>
      </c>
      <c r="AH2" s="11"/>
      <c r="AI2" s="8"/>
      <c r="AK2" s="11"/>
      <c r="AL2" s="11" t="s">
        <v>168</v>
      </c>
      <c r="AM2" s="11"/>
      <c r="AN2" s="26"/>
    </row>
    <row r="3" spans="3:40" x14ac:dyDescent="0.25">
      <c r="C3" s="1" t="s">
        <v>252</v>
      </c>
      <c r="D3" s="1" t="s">
        <v>29</v>
      </c>
      <c r="E3" s="1" t="s">
        <v>26</v>
      </c>
      <c r="F3" s="1">
        <v>1</v>
      </c>
      <c r="H3" s="1">
        <v>1</v>
      </c>
      <c r="I3" s="1" t="s">
        <v>32</v>
      </c>
      <c r="J3" s="1" t="s">
        <v>74</v>
      </c>
      <c r="L3" s="33">
        <v>44562</v>
      </c>
      <c r="M3" s="1" t="s">
        <v>194</v>
      </c>
      <c r="P3" s="1" t="s">
        <v>48</v>
      </c>
      <c r="Q3" s="2" t="s">
        <v>48</v>
      </c>
      <c r="R3" s="7">
        <v>0.44</v>
      </c>
      <c r="S3" s="7"/>
      <c r="T3" s="7"/>
      <c r="V3" s="1" t="s">
        <v>8</v>
      </c>
      <c r="X3" s="1" t="s">
        <v>18</v>
      </c>
      <c r="Y3" s="1" t="s">
        <v>21</v>
      </c>
      <c r="AA3" s="1" t="s">
        <v>40</v>
      </c>
      <c r="AC3" s="31" t="s">
        <v>209</v>
      </c>
      <c r="AD3" s="1" t="s">
        <v>181</v>
      </c>
      <c r="AF3" s="17">
        <f>IF(Emolumentos!B4="","",Emolumentos!B4)</f>
        <v>195.6</v>
      </c>
      <c r="AG3" s="18">
        <f>IF(Emolumentos!C4="","",Emolumentos!C4)</f>
        <v>328.2</v>
      </c>
      <c r="AH3" s="18" t="str">
        <f>IF(Emolumentos!D4="","",Emolumentos!D4)</f>
        <v>eA</v>
      </c>
      <c r="AI3" s="23" t="str">
        <f>IF(Emolumentos!E4="","",Emolumentos!E4)</f>
        <v/>
      </c>
      <c r="AK3" s="12" cm="1">
        <f t="array" ref="AK3:AN256">IFERROR(_xlfn._xlws.SORT(AF3:AI256),"")</f>
        <v>1.71</v>
      </c>
      <c r="AL3" s="13">
        <v>2.87</v>
      </c>
      <c r="AM3" s="13" t="str">
        <v>cR</v>
      </c>
      <c r="AN3" s="27" t="str">
        <v>Cópia Reprográfica</v>
      </c>
    </row>
    <row r="4" spans="3:40" x14ac:dyDescent="0.25">
      <c r="C4" s="1" t="s">
        <v>253</v>
      </c>
      <c r="D4" s="1" t="s">
        <v>30</v>
      </c>
      <c r="E4" s="1" t="s">
        <v>25</v>
      </c>
      <c r="F4" s="1">
        <v>0</v>
      </c>
      <c r="H4" s="1">
        <v>2</v>
      </c>
      <c r="I4" s="1" t="s">
        <v>33</v>
      </c>
      <c r="J4" s="1" t="s">
        <v>68</v>
      </c>
      <c r="L4" s="33">
        <v>44620</v>
      </c>
      <c r="M4" s="1" t="s">
        <v>195</v>
      </c>
      <c r="P4" s="1" t="s">
        <v>49</v>
      </c>
      <c r="Q4" s="3" t="s">
        <v>261</v>
      </c>
      <c r="R4" s="7">
        <v>0.44</v>
      </c>
      <c r="S4" s="7"/>
      <c r="T4" s="7"/>
      <c r="V4" s="1" t="s">
        <v>0</v>
      </c>
      <c r="X4" s="1" t="s">
        <v>19</v>
      </c>
      <c r="Y4" s="1" t="s">
        <v>17</v>
      </c>
      <c r="AA4" s="1" t="s">
        <v>228</v>
      </c>
      <c r="AC4" s="31" t="s">
        <v>212</v>
      </c>
      <c r="AD4" s="1" t="s">
        <v>5</v>
      </c>
      <c r="AF4" s="19">
        <f>IF(Emolumentos!B5="","",Emolumentos!B5)</f>
        <v>292.3</v>
      </c>
      <c r="AG4" s="20">
        <f>IF(Emolumentos!C5="","",Emolumentos!C5)</f>
        <v>490.46</v>
      </c>
      <c r="AH4" s="20" t="str">
        <f>IF(Emolumentos!D5="","",Emolumentos!D5)</f>
        <v>eB</v>
      </c>
      <c r="AI4" s="24" t="str">
        <f>IF(Emolumentos!E5="","",Emolumentos!E5)</f>
        <v/>
      </c>
      <c r="AK4" s="14">
        <v>2.84</v>
      </c>
      <c r="AL4" s="10">
        <v>4.7699999999999996</v>
      </c>
      <c r="AM4" s="10" t="str">
        <v>aut</v>
      </c>
      <c r="AN4" s="28" t="str">
        <v>Autenticação</v>
      </c>
    </row>
    <row r="5" spans="3:40" x14ac:dyDescent="0.25">
      <c r="H5" s="1">
        <v>3</v>
      </c>
      <c r="I5" s="1" t="s">
        <v>34</v>
      </c>
      <c r="J5" s="1" t="s">
        <v>69</v>
      </c>
      <c r="L5" s="33">
        <v>44621</v>
      </c>
      <c r="M5" s="1" t="s">
        <v>195</v>
      </c>
      <c r="P5" s="1" t="s">
        <v>50</v>
      </c>
      <c r="Q5" s="4" t="s">
        <v>262</v>
      </c>
      <c r="R5" s="7">
        <v>0.44</v>
      </c>
      <c r="S5" s="7"/>
      <c r="T5" s="7"/>
      <c r="V5" s="1" t="s">
        <v>5</v>
      </c>
      <c r="AB5" s="9"/>
      <c r="AC5" s="31" t="s">
        <v>223</v>
      </c>
      <c r="AD5" s="1" t="s">
        <v>183</v>
      </c>
      <c r="AF5" s="19">
        <f>IF(Emolumentos!B6="","",Emolumentos!B6)</f>
        <v>456.39</v>
      </c>
      <c r="AG5" s="20">
        <f>IF(Emolumentos!C6="","",Emolumentos!C6)</f>
        <v>765.8</v>
      </c>
      <c r="AH5" s="20" t="str">
        <f>IF(Emolumentos!D6="","",Emolumentos!D6)</f>
        <v>eC</v>
      </c>
      <c r="AI5" s="24" t="str">
        <f>IF(Emolumentos!E6="","",Emolumentos!E6)</f>
        <v/>
      </c>
      <c r="AK5" s="14">
        <v>4.9000000000000004</v>
      </c>
      <c r="AL5" s="10">
        <v>8.2200000000000006</v>
      </c>
      <c r="AM5" s="10" t="str">
        <v>fS</v>
      </c>
      <c r="AN5" s="28" t="str">
        <v>Sem valor econômimco</v>
      </c>
    </row>
    <row r="6" spans="3:40" x14ac:dyDescent="0.25">
      <c r="H6" s="1">
        <v>4</v>
      </c>
      <c r="I6" s="1" t="s">
        <v>35</v>
      </c>
      <c r="J6" s="1" t="s">
        <v>70</v>
      </c>
      <c r="L6" s="33">
        <v>44622</v>
      </c>
      <c r="M6" s="1" t="s">
        <v>196</v>
      </c>
      <c r="P6" s="1" t="s">
        <v>51</v>
      </c>
      <c r="Q6" s="6" t="s">
        <v>51</v>
      </c>
      <c r="R6" s="7">
        <v>0.44</v>
      </c>
      <c r="S6" s="7"/>
      <c r="T6" s="7"/>
      <c r="V6" s="1" t="s">
        <v>259</v>
      </c>
      <c r="AC6" s="31" t="s">
        <v>215</v>
      </c>
      <c r="AD6" s="1" t="s">
        <v>182</v>
      </c>
      <c r="AF6" s="19">
        <f>IF(Emolumentos!B7="","",Emolumentos!B7)</f>
        <v>651.98</v>
      </c>
      <c r="AG6" s="20">
        <f>IF(Emolumentos!C7="","",Emolumentos!C7)</f>
        <v>1094.01</v>
      </c>
      <c r="AH6" s="20" t="str">
        <f>IF(Emolumentos!D7="","",Emolumentos!D7)</f>
        <v>eD</v>
      </c>
      <c r="AI6" s="24" t="str">
        <f>IF(Emolumentos!E7="","",Emolumentos!E7)</f>
        <v/>
      </c>
      <c r="AK6" s="14">
        <v>7.51</v>
      </c>
      <c r="AL6" s="10">
        <v>12.59</v>
      </c>
      <c r="AM6" s="10" t="str">
        <v>fV</v>
      </c>
      <c r="AN6" s="28" t="str">
        <v>Com valor econômico</v>
      </c>
    </row>
    <row r="7" spans="3:40" x14ac:dyDescent="0.25">
      <c r="H7" s="1">
        <v>5</v>
      </c>
      <c r="I7" s="1" t="s">
        <v>36</v>
      </c>
      <c r="J7" s="1" t="s">
        <v>71</v>
      </c>
      <c r="L7" s="33">
        <v>44666</v>
      </c>
      <c r="M7" s="1" t="s">
        <v>198</v>
      </c>
      <c r="P7" s="1" t="s">
        <v>52</v>
      </c>
      <c r="Q7" s="5" t="s">
        <v>263</v>
      </c>
      <c r="R7" s="7">
        <v>0.44</v>
      </c>
      <c r="S7" s="7"/>
      <c r="T7" s="7"/>
      <c r="V7" s="1" t="s">
        <v>260</v>
      </c>
      <c r="AC7" s="31" t="s">
        <v>239</v>
      </c>
      <c r="AD7" s="1" t="s">
        <v>184</v>
      </c>
      <c r="AF7" s="19">
        <f>IF(Emolumentos!B8="","",Emolumentos!B8)</f>
        <v>881.29</v>
      </c>
      <c r="AG7" s="20">
        <f>IF(Emolumentos!C8="","",Emolumentos!C8)</f>
        <v>1478.78</v>
      </c>
      <c r="AH7" s="20" t="str">
        <f>IF(Emolumentos!D8="","",Emolumentos!D8)</f>
        <v>eE</v>
      </c>
      <c r="AI7" s="24" t="str">
        <f>IF(Emolumentos!E8="","",Emolumentos!E8)</f>
        <v/>
      </c>
      <c r="AK7" s="14">
        <v>10.59</v>
      </c>
      <c r="AL7" s="10">
        <v>17.79</v>
      </c>
      <c r="AM7" s="10" t="str">
        <v>cP</v>
      </c>
      <c r="AN7" s="28" t="str">
        <v>Certidão de Protesto</v>
      </c>
    </row>
    <row r="8" spans="3:40" x14ac:dyDescent="0.25">
      <c r="H8" s="1">
        <v>6</v>
      </c>
      <c r="I8" s="1" t="s">
        <v>37</v>
      </c>
      <c r="J8" s="1" t="s">
        <v>72</v>
      </c>
      <c r="L8" s="33">
        <v>44672</v>
      </c>
      <c r="M8" s="1" t="s">
        <v>199</v>
      </c>
      <c r="P8" s="1" t="s">
        <v>53</v>
      </c>
      <c r="Q8" s="2" t="s">
        <v>53</v>
      </c>
      <c r="R8" s="7">
        <v>0.44</v>
      </c>
      <c r="S8" s="7"/>
      <c r="T8" s="7"/>
      <c r="V8" s="1" t="s">
        <v>41</v>
      </c>
      <c r="AC8" s="31" t="s">
        <v>214</v>
      </c>
      <c r="AD8" s="1" t="s">
        <v>187</v>
      </c>
      <c r="AF8" s="19">
        <f>IF(Emolumentos!B9="","",Emolumentos!B9)</f>
        <v>1045.43</v>
      </c>
      <c r="AG8" s="20">
        <f>IF(Emolumentos!C9="","",Emolumentos!C9)</f>
        <v>1754.21</v>
      </c>
      <c r="AH8" s="20" t="str">
        <f>IF(Emolumentos!D9="","",Emolumentos!D9)</f>
        <v>eF</v>
      </c>
      <c r="AI8" s="24" t="str">
        <f>IF(Emolumentos!E9="","",Emolumentos!E9)</f>
        <v/>
      </c>
      <c r="AK8" s="14">
        <v>12.55</v>
      </c>
      <c r="AL8" s="10">
        <v>21.06</v>
      </c>
      <c r="AM8" s="10" t="str">
        <v>fA</v>
      </c>
      <c r="AN8" s="28" t="str">
        <v>Por autenticidade</v>
      </c>
    </row>
    <row r="9" spans="3:40" x14ac:dyDescent="0.25">
      <c r="H9" s="1">
        <v>7</v>
      </c>
      <c r="I9" s="1" t="s">
        <v>38</v>
      </c>
      <c r="J9" s="1" t="s">
        <v>73</v>
      </c>
      <c r="L9" s="33">
        <v>44682</v>
      </c>
      <c r="M9" s="1" t="s">
        <v>200</v>
      </c>
      <c r="P9" s="1" t="s">
        <v>54</v>
      </c>
      <c r="Q9" s="1" t="s">
        <v>54</v>
      </c>
      <c r="R9" s="7">
        <v>0.44</v>
      </c>
      <c r="S9" s="7"/>
      <c r="T9" s="7"/>
      <c r="V9" s="1" t="s">
        <v>249</v>
      </c>
      <c r="AC9" s="31" t="s">
        <v>192</v>
      </c>
      <c r="AF9" s="19">
        <f>IF(Emolumentos!B10="","",Emolumentos!B10)</f>
        <v>1241.02</v>
      </c>
      <c r="AG9" s="20">
        <f>IF(Emolumentos!C10="","",Emolumentos!C10)</f>
        <v>2082.42</v>
      </c>
      <c r="AH9" s="20" t="str">
        <f>IF(Emolumentos!D10="","",Emolumentos!D10)</f>
        <v>eG</v>
      </c>
      <c r="AI9" s="24" t="str">
        <f>IF(Emolumentos!E10="","",Emolumentos!E10)</f>
        <v/>
      </c>
      <c r="AK9" s="14">
        <v>16.05</v>
      </c>
      <c r="AL9" s="10">
        <v>26.93</v>
      </c>
      <c r="AM9" s="10" t="str">
        <v>cM</v>
      </c>
      <c r="AN9" s="28" t="str">
        <v>Cópia de Microfilme</v>
      </c>
    </row>
    <row r="10" spans="3:40" x14ac:dyDescent="0.25">
      <c r="L10" s="33">
        <v>44728</v>
      </c>
      <c r="M10" s="1" t="s">
        <v>201</v>
      </c>
      <c r="P10" s="1" t="s">
        <v>55</v>
      </c>
      <c r="Q10" s="1" t="s">
        <v>264</v>
      </c>
      <c r="R10" s="7">
        <v>0.44</v>
      </c>
      <c r="S10" s="7"/>
      <c r="T10" s="7"/>
      <c r="V10" s="1" t="s">
        <v>42</v>
      </c>
      <c r="AC10" s="31" t="s">
        <v>216</v>
      </c>
      <c r="AF10" s="19">
        <f>IF(Emolumentos!B11="","",Emolumentos!B11)</f>
        <v>1470.31</v>
      </c>
      <c r="AG10" s="20">
        <f>IF(Emolumentos!C11="","",Emolumentos!C11)</f>
        <v>2467.17</v>
      </c>
      <c r="AH10" s="20" t="str">
        <f>IF(Emolumentos!D11="","",Emolumentos!D11)</f>
        <v>eH</v>
      </c>
      <c r="AI10" s="24" t="str">
        <f>IF(Emolumentos!E11="","",Emolumentos!E11)</f>
        <v/>
      </c>
      <c r="AK10" s="14">
        <v>33.700000000000003</v>
      </c>
      <c r="AL10" s="10">
        <v>56.54</v>
      </c>
      <c r="AM10" s="10" t="str">
        <v>p</v>
      </c>
      <c r="AN10" s="28" t="str">
        <v>tratando-se de outorgante analfabeto</v>
      </c>
    </row>
    <row r="11" spans="3:40" x14ac:dyDescent="0.25">
      <c r="L11" s="33">
        <v>44751</v>
      </c>
      <c r="M11" s="1" t="s">
        <v>208</v>
      </c>
      <c r="P11" s="1" t="s">
        <v>56</v>
      </c>
      <c r="Q11" s="1" t="s">
        <v>56</v>
      </c>
      <c r="R11" s="1">
        <v>0.44</v>
      </c>
      <c r="AC11" s="31" t="s">
        <v>217</v>
      </c>
      <c r="AF11" s="19">
        <f>IF(Emolumentos!B12="","",Emolumentos!B12)</f>
        <v>1665.95</v>
      </c>
      <c r="AG11" s="20">
        <f>IF(Emolumentos!C12="","",Emolumentos!C12)</f>
        <v>2795.46</v>
      </c>
      <c r="AH11" s="20" t="str">
        <f>IF(Emolumentos!D12="","",Emolumentos!D12)</f>
        <v>eI</v>
      </c>
      <c r="AI11" s="24" t="str">
        <f>IF(Emolumentos!E12="","",Emolumentos!E12)</f>
        <v/>
      </c>
      <c r="AK11" s="14">
        <v>51.26</v>
      </c>
      <c r="AL11" s="10">
        <v>86.01</v>
      </c>
      <c r="AM11" s="10" t="str">
        <v>cC</v>
      </c>
      <c r="AN11" s="28" t="str">
        <v>Certidão ou traslado ou pública forma</v>
      </c>
    </row>
    <row r="12" spans="3:40" x14ac:dyDescent="0.25">
      <c r="L12" s="33">
        <v>44811</v>
      </c>
      <c r="M12" s="1" t="s">
        <v>202</v>
      </c>
      <c r="P12" s="1" t="s">
        <v>57</v>
      </c>
      <c r="Q12" s="1" t="s">
        <v>265</v>
      </c>
      <c r="R12" s="1">
        <v>0.44</v>
      </c>
      <c r="AC12" s="31" t="s">
        <v>218</v>
      </c>
      <c r="AF12" s="19">
        <f>IF(Emolumentos!B13="","",Emolumentos!B13)</f>
        <v>1863.79</v>
      </c>
      <c r="AG12" s="20">
        <f>IF(Emolumentos!C13="","",Emolumentos!C13)</f>
        <v>3127.41</v>
      </c>
      <c r="AH12" s="20" t="str">
        <f>IF(Emolumentos!D13="","",Emolumentos!D13)</f>
        <v>eJ</v>
      </c>
      <c r="AI12" s="24" t="str">
        <f>IF(Emolumentos!E13="","",Emolumentos!E13)</f>
        <v/>
      </c>
      <c r="AK12" s="14">
        <v>65.209999999999994</v>
      </c>
      <c r="AL12" s="10">
        <v>109.4</v>
      </c>
      <c r="AM12" s="10" t="str">
        <v>e</v>
      </c>
      <c r="AN12" s="28" t="str">
        <v>Escritura sem valor declarado - Para reconhecimento de filho, ou adoção, ou fins previdenciários, ou de dependência econômica</v>
      </c>
    </row>
    <row r="13" spans="3:40" x14ac:dyDescent="0.25">
      <c r="L13" s="33">
        <v>44846</v>
      </c>
      <c r="M13" s="1" t="s">
        <v>203</v>
      </c>
      <c r="P13" s="1" t="s">
        <v>58</v>
      </c>
      <c r="Q13" s="1" t="s">
        <v>266</v>
      </c>
      <c r="R13" s="1">
        <v>0.44</v>
      </c>
      <c r="AC13" s="31"/>
      <c r="AF13" s="19">
        <f>IF(Emolumentos!B14="","",Emolumentos!B14)</f>
        <v>2090.85</v>
      </c>
      <c r="AG13" s="20">
        <f>IF(Emolumentos!C14="","",Emolumentos!C14)</f>
        <v>3508.43</v>
      </c>
      <c r="AH13" s="20" t="str">
        <f>IF(Emolumentos!D14="","",Emolumentos!D14)</f>
        <v>eK</v>
      </c>
      <c r="AI13" s="24" t="str">
        <f>IF(Emolumentos!E14="","",Emolumentos!E14)</f>
        <v/>
      </c>
      <c r="AK13" s="14">
        <v>67.459999999999994</v>
      </c>
      <c r="AL13" s="10">
        <v>113.19</v>
      </c>
      <c r="AM13" s="10" t="str">
        <v>p</v>
      </c>
      <c r="AN13" s="28" t="str">
        <v>até 4 outorgantes - Foro em geral</v>
      </c>
    </row>
    <row r="14" spans="3:40" x14ac:dyDescent="0.25">
      <c r="L14" s="33">
        <v>44862</v>
      </c>
      <c r="M14" s="1" t="s">
        <v>204</v>
      </c>
      <c r="P14" s="1" t="s">
        <v>59</v>
      </c>
      <c r="Q14" s="1" t="s">
        <v>267</v>
      </c>
      <c r="R14" s="1">
        <v>0.44</v>
      </c>
      <c r="AC14" s="31"/>
      <c r="AF14" s="19">
        <f>IF(Emolumentos!B15="","",Emolumentos!B15)</f>
        <v>2288.6999999999998</v>
      </c>
      <c r="AG14" s="20">
        <f>IF(Emolumentos!C15="","",Emolumentos!C15)</f>
        <v>3840.45</v>
      </c>
      <c r="AH14" s="20" t="str">
        <f>IF(Emolumentos!D15="","",Emolumentos!D15)</f>
        <v>eL</v>
      </c>
      <c r="AI14" s="24" t="str">
        <f>IF(Emolumentos!E15="","",Emolumentos!E15)</f>
        <v/>
      </c>
      <c r="AK14" s="14">
        <v>74.2</v>
      </c>
      <c r="AL14" s="10">
        <v>124.49</v>
      </c>
      <c r="AM14" s="10" t="str">
        <v>tS</v>
      </c>
      <c r="AN14" s="28" t="str">
        <v>Testamento - público sem conteúdo patrimonial, com ou sem revogação</v>
      </c>
    </row>
    <row r="15" spans="3:40" x14ac:dyDescent="0.25">
      <c r="L15" s="33">
        <v>44867</v>
      </c>
      <c r="M15" s="1" t="s">
        <v>205</v>
      </c>
      <c r="AC15" s="31" t="s">
        <v>232</v>
      </c>
      <c r="AF15" s="19">
        <f>IF(Emolumentos!B16="","",Emolumentos!B16)</f>
        <v>2518.02</v>
      </c>
      <c r="AG15" s="20">
        <f>IF(Emolumentos!C16="","",Emolumentos!C16)</f>
        <v>4225.21</v>
      </c>
      <c r="AH15" s="20" t="str">
        <f>IF(Emolumentos!D16="","",Emolumentos!D16)</f>
        <v>eM</v>
      </c>
      <c r="AI15" s="24" t="str">
        <f>IF(Emolumentos!E16="","",Emolumentos!E16)</f>
        <v/>
      </c>
      <c r="AK15" s="14">
        <v>84.32</v>
      </c>
      <c r="AL15" s="10">
        <v>141.47</v>
      </c>
      <c r="AM15" s="10" t="str">
        <v>p</v>
      </c>
      <c r="AN15" s="28" t="str">
        <v>5 outorgantes</v>
      </c>
    </row>
    <row r="16" spans="3:40" x14ac:dyDescent="0.25">
      <c r="L16" s="33">
        <v>44880</v>
      </c>
      <c r="M16" s="1" t="s">
        <v>206</v>
      </c>
      <c r="AC16" s="31" t="s">
        <v>231</v>
      </c>
      <c r="AF16" s="19">
        <f>IF(Emolumentos!B17="","",Emolumentos!B17)</f>
        <v>2679.88</v>
      </c>
      <c r="AG16" s="20">
        <f>IF(Emolumentos!C17="","",Emolumentos!C17)</f>
        <v>4496.82</v>
      </c>
      <c r="AH16" s="20" t="str">
        <f>IF(Emolumentos!D17="","",Emolumentos!D17)</f>
        <v>eN</v>
      </c>
      <c r="AI16" s="24" t="str">
        <f>IF(Emolumentos!E17="","",Emolumentos!E17)</f>
        <v/>
      </c>
      <c r="AK16" s="14">
        <v>89.96</v>
      </c>
      <c r="AL16" s="10">
        <v>150.91999999999999</v>
      </c>
      <c r="AM16" s="10" t="str">
        <v>pS</v>
      </c>
      <c r="AN16" s="28" t="str">
        <v>até 4 outorgantes - Sem valor econômico</v>
      </c>
    </row>
    <row r="17" spans="12:40" x14ac:dyDescent="0.25">
      <c r="L17" s="33">
        <v>44910</v>
      </c>
      <c r="M17" s="1" t="s">
        <v>207</v>
      </c>
      <c r="AC17" s="31" t="s">
        <v>230</v>
      </c>
      <c r="AF17" s="19">
        <f>IF(Emolumentos!B18="","",Emolumentos!B18)</f>
        <v>2974.39</v>
      </c>
      <c r="AG17" s="20">
        <f>IF(Emolumentos!C18="","",Emolumentos!C18)</f>
        <v>4991.0200000000004</v>
      </c>
      <c r="AH17" s="20" t="str">
        <f>IF(Emolumentos!D18="","",Emolumentos!D18)</f>
        <v>eO</v>
      </c>
      <c r="AI17" s="24" t="str">
        <f>IF(Emolumentos!E18="","",Emolumentos!E18)</f>
        <v/>
      </c>
      <c r="AK17" s="14">
        <v>89.96</v>
      </c>
      <c r="AL17" s="10">
        <v>150.91999999999999</v>
      </c>
      <c r="AM17" s="10" t="str">
        <v>apo</v>
      </c>
      <c r="AN17" s="28" t="str">
        <v>Apostilamento de Haia</v>
      </c>
    </row>
    <row r="18" spans="12:40" x14ac:dyDescent="0.25">
      <c r="AC18" s="31" t="s">
        <v>229</v>
      </c>
      <c r="AF18" s="19">
        <f>IF(Emolumentos!B19="","",Emolumentos!B19)</f>
        <v>3302.65</v>
      </c>
      <c r="AG18" s="20">
        <f>IF(Emolumentos!C19="","",Emolumentos!C19)</f>
        <v>5541.82</v>
      </c>
      <c r="AH18" s="20" t="str">
        <f>IF(Emolumentos!D19="","",Emolumentos!D19)</f>
        <v>eP</v>
      </c>
      <c r="AI18" s="24" t="str">
        <f>IF(Emolumentos!E19="","",Emolumentos!E19)</f>
        <v/>
      </c>
      <c r="AK18" s="14">
        <v>101.88</v>
      </c>
      <c r="AL18" s="10">
        <v>169.75</v>
      </c>
      <c r="AM18" s="10" t="str">
        <v>p</v>
      </c>
      <c r="AN18" s="28" t="str">
        <v>6 outorgantes</v>
      </c>
    </row>
    <row r="19" spans="12:40" x14ac:dyDescent="0.25">
      <c r="AC19" s="31" t="s">
        <v>226</v>
      </c>
      <c r="AF19" s="19">
        <f>IF(Emolumentos!B20="","",Emolumentos!B20)</f>
        <v>3662.35</v>
      </c>
      <c r="AG19" s="20">
        <f>IF(Emolumentos!C20="","",Emolumentos!C20)</f>
        <v>6145.41</v>
      </c>
      <c r="AH19" s="20" t="str">
        <f>IF(Emolumentos!D20="","",Emolumentos!D20)</f>
        <v>eQ</v>
      </c>
      <c r="AI19" s="24" t="str">
        <f>IF(Emolumentos!E20="","",Emolumentos!E20)</f>
        <v/>
      </c>
      <c r="AK19" s="14">
        <v>112.47</v>
      </c>
      <c r="AL19" s="10">
        <v>188.69</v>
      </c>
      <c r="AM19" s="10" t="str">
        <v>pS</v>
      </c>
      <c r="AN19" s="28" t="str">
        <v>5 outorgantes</v>
      </c>
    </row>
    <row r="20" spans="12:40" x14ac:dyDescent="0.25">
      <c r="AC20" s="31" t="s">
        <v>211</v>
      </c>
      <c r="AF20" s="19">
        <f>IF(Emolumentos!B21="","",Emolumentos!B21)</f>
        <v>4046.79</v>
      </c>
      <c r="AG20" s="20">
        <f>IF(Emolumentos!C21="","",Emolumentos!C21)</f>
        <v>6790.51</v>
      </c>
      <c r="AH20" s="20" t="str">
        <f>IF(Emolumentos!D21="","",Emolumentos!D21)</f>
        <v>eR</v>
      </c>
      <c r="AI20" s="24" t="str">
        <f>IF(Emolumentos!E21="","",Emolumentos!E21)</f>
        <v/>
      </c>
      <c r="AK20" s="14">
        <v>118.74</v>
      </c>
      <c r="AL20" s="10">
        <v>198.03</v>
      </c>
      <c r="AM20" s="10" t="str">
        <v>p</v>
      </c>
      <c r="AN20" s="28" t="str">
        <v>7 outorgantes</v>
      </c>
    </row>
    <row r="21" spans="12:40" x14ac:dyDescent="0.25">
      <c r="AC21" s="31" t="s">
        <v>219</v>
      </c>
      <c r="AF21" s="19">
        <f>IF(Emolumentos!B22="","",Emolumentos!B22)</f>
        <v>5620.57</v>
      </c>
      <c r="AG21" s="20">
        <f>IF(Emolumentos!C22="","",Emolumentos!C22)</f>
        <v>9431.31</v>
      </c>
      <c r="AH21" s="20" t="str">
        <f>IF(Emolumentos!D22="","",Emolumentos!D22)</f>
        <v>eS</v>
      </c>
      <c r="AI21" s="24" t="str">
        <f>IF(Emolumentos!E22="","",Emolumentos!E22)</f>
        <v/>
      </c>
      <c r="AK21" s="14">
        <v>134.97999999999999</v>
      </c>
      <c r="AL21" s="10">
        <v>226.46</v>
      </c>
      <c r="AM21" s="10" t="str">
        <v>pS</v>
      </c>
      <c r="AN21" s="28" t="str">
        <v>6 outorgantes</v>
      </c>
    </row>
    <row r="22" spans="12:40" x14ac:dyDescent="0.25">
      <c r="AC22" s="32" t="s">
        <v>210</v>
      </c>
      <c r="AF22" s="19">
        <f>IF(Emolumentos!B23="","",Emolumentos!B23)</f>
        <v>7306.72</v>
      </c>
      <c r="AG22" s="20">
        <f>IF(Emolumentos!C23="","",Emolumentos!C23)</f>
        <v>12260.66</v>
      </c>
      <c r="AH22" s="20" t="str">
        <f>IF(Emolumentos!D23="","",Emolumentos!D23)</f>
        <v>eT</v>
      </c>
      <c r="AI22" s="24" t="str">
        <f>IF(Emolumentos!E23="","",Emolumentos!E23)</f>
        <v/>
      </c>
      <c r="AK22" s="14">
        <v>135.6</v>
      </c>
      <c r="AL22" s="10">
        <v>226.31</v>
      </c>
      <c r="AM22" s="10" t="str">
        <v>p</v>
      </c>
      <c r="AN22" s="28" t="str">
        <v>8 outorgantes</v>
      </c>
    </row>
    <row r="23" spans="12:40" x14ac:dyDescent="0.25">
      <c r="AF23" s="19">
        <f>IF(Emolumentos!B24="","",Emolumentos!B24)</f>
        <v>8992.89</v>
      </c>
      <c r="AG23" s="20">
        <f>IF(Emolumentos!C24="","",Emolumentos!C24)</f>
        <v>15090.07</v>
      </c>
      <c r="AH23" s="20" t="str">
        <f>IF(Emolumentos!D24="","",Emolumentos!D24)</f>
        <v>eU</v>
      </c>
      <c r="AI23" s="24" t="str">
        <f>IF(Emolumentos!E24="","",Emolumentos!E24)</f>
        <v/>
      </c>
      <c r="AK23" s="14">
        <v>142.58000000000001</v>
      </c>
      <c r="AL23" s="10">
        <v>239.23</v>
      </c>
      <c r="AM23" s="10" t="str">
        <v>e+</v>
      </c>
      <c r="AN23" s="28" t="str">
        <v/>
      </c>
    </row>
    <row r="24" spans="12:40" x14ac:dyDescent="0.25">
      <c r="AF24" s="19">
        <f>IF(Emolumentos!B25="","",Emolumentos!B25)</f>
        <v>10679.05</v>
      </c>
      <c r="AG24" s="20">
        <f>IF(Emolumentos!C25="","",Emolumentos!C25)</f>
        <v>17919.43</v>
      </c>
      <c r="AH24" s="20" t="str">
        <f>IF(Emolumentos!D25="","",Emolumentos!D25)</f>
        <v>eV</v>
      </c>
      <c r="AI24" s="24" t="str">
        <f>IF(Emolumentos!E25="","",Emolumentos!E25)</f>
        <v/>
      </c>
      <c r="AK24" s="14">
        <v>157.49</v>
      </c>
      <c r="AL24" s="10">
        <v>264.23</v>
      </c>
      <c r="AM24" s="10" t="str">
        <v>pS</v>
      </c>
      <c r="AN24" s="28" t="str">
        <v>7 outorgantes</v>
      </c>
    </row>
    <row r="25" spans="12:40" x14ac:dyDescent="0.25">
      <c r="AF25" s="19">
        <f>IF(Emolumentos!B26="","",Emolumentos!B26)</f>
        <v>12365.18</v>
      </c>
      <c r="AG25" s="20">
        <f>IF(Emolumentos!C26="","",Emolumentos!C26)</f>
        <v>20748.77</v>
      </c>
      <c r="AH25" s="20" t="str">
        <f>IF(Emolumentos!D26="","",Emolumentos!D26)</f>
        <v>eW</v>
      </c>
      <c r="AI25" s="24" t="str">
        <f>IF(Emolumentos!E26="","",Emolumentos!E26)</f>
        <v/>
      </c>
      <c r="AK25" s="14">
        <v>179.86</v>
      </c>
      <c r="AL25" s="10">
        <v>301.79000000000002</v>
      </c>
      <c r="AM25" s="10" t="str">
        <v>pV</v>
      </c>
      <c r="AN25" s="28" t="str">
        <v>até 4 outorgantes - Com valor econômico</v>
      </c>
    </row>
    <row r="26" spans="12:40" x14ac:dyDescent="0.25">
      <c r="AF26" s="19">
        <f>IF(Emolumentos!B27="","",Emolumentos!B27)</f>
        <v>14051.36</v>
      </c>
      <c r="AG26" s="20">
        <f>IF(Emolumentos!C27="","",Emolumentos!C27)</f>
        <v>23578.19</v>
      </c>
      <c r="AH26" s="20" t="str">
        <f>IF(Emolumentos!D27="","",Emolumentos!D27)</f>
        <v>eX</v>
      </c>
      <c r="AI26" s="24" t="str">
        <f>IF(Emolumentos!E27="","",Emolumentos!E27)</f>
        <v/>
      </c>
      <c r="AK26" s="14">
        <v>180</v>
      </c>
      <c r="AL26" s="10">
        <v>302</v>
      </c>
      <c r="AM26" s="10" t="str">
        <v>pS</v>
      </c>
      <c r="AN26" s="28" t="str">
        <v>8 outorgantes</v>
      </c>
    </row>
    <row r="27" spans="12:40" x14ac:dyDescent="0.25">
      <c r="AF27" s="19">
        <f>IF(Emolumentos!B28="","",Emolumentos!B28)</f>
        <v>15737.52</v>
      </c>
      <c r="AG27" s="20">
        <f>IF(Emolumentos!C28="","",Emolumentos!C28)</f>
        <v>26407.56</v>
      </c>
      <c r="AH27" s="20" t="str">
        <f>IF(Emolumentos!D28="","",Emolumentos!D28)</f>
        <v>eY</v>
      </c>
      <c r="AI27" s="24" t="str">
        <f>IF(Emolumentos!E28="","",Emolumentos!E28)</f>
        <v/>
      </c>
      <c r="AK27" s="14">
        <v>189.51</v>
      </c>
      <c r="AL27" s="10">
        <v>318</v>
      </c>
      <c r="AM27" s="10" t="str">
        <v>eA%</v>
      </c>
      <c r="AN27" s="28" t="str">
        <v/>
      </c>
    </row>
    <row r="28" spans="12:40" x14ac:dyDescent="0.25">
      <c r="AF28" s="19">
        <f>IF(Emolumentos!B29="","",Emolumentos!B29)</f>
        <v>17423.68</v>
      </c>
      <c r="AG28" s="20">
        <f>IF(Emolumentos!C29="","",Emolumentos!C29)</f>
        <v>29236.93</v>
      </c>
      <c r="AH28" s="20" t="str">
        <f>IF(Emolumentos!D29="","",Emolumentos!D29)</f>
        <v>eZ</v>
      </c>
      <c r="AI28" s="24" t="str">
        <f>IF(Emolumentos!E29="","",Emolumentos!E29)</f>
        <v/>
      </c>
      <c r="AK28" s="14">
        <v>189.51</v>
      </c>
      <c r="AL28" s="10">
        <v>318</v>
      </c>
      <c r="AM28" s="10" t="str">
        <v>eB%</v>
      </c>
      <c r="AN28" s="28" t="str">
        <v/>
      </c>
    </row>
    <row r="29" spans="12:40" x14ac:dyDescent="0.25">
      <c r="AF29" s="19">
        <f>IF(Emolumentos!B30="","",Emolumentos!B30)</f>
        <v>19109.900000000001</v>
      </c>
      <c r="AG29" s="20">
        <f>IF(Emolumentos!C30="","",Emolumentos!C30)</f>
        <v>32066.38</v>
      </c>
      <c r="AH29" s="20" t="str">
        <f>IF(Emolumentos!D30="","",Emolumentos!D30)</f>
        <v>eZ1</v>
      </c>
      <c r="AI29" s="24" t="str">
        <f>IF(Emolumentos!E30="","",Emolumentos!E30)</f>
        <v/>
      </c>
      <c r="AK29" s="14">
        <v>195.6</v>
      </c>
      <c r="AL29" s="10">
        <v>328.2</v>
      </c>
      <c r="AM29" s="10" t="str">
        <v>eA</v>
      </c>
      <c r="AN29" s="28" t="str">
        <v/>
      </c>
    </row>
    <row r="30" spans="12:40" x14ac:dyDescent="0.25">
      <c r="AF30" s="19">
        <f>IF(Emolumentos!B31="","",Emolumentos!B31)</f>
        <v>22482.22</v>
      </c>
      <c r="AG30" s="20">
        <f>IF(Emolumentos!C31="","",Emolumentos!C31)</f>
        <v>37725.15</v>
      </c>
      <c r="AH30" s="20" t="str">
        <f>IF(Emolumentos!D31="","",Emolumentos!D31)</f>
        <v>eZ2</v>
      </c>
      <c r="AI30" s="24" t="str">
        <f>IF(Emolumentos!E31="","",Emolumentos!E31)</f>
        <v/>
      </c>
      <c r="AK30" s="14">
        <v>224.81</v>
      </c>
      <c r="AL30" s="10">
        <v>377.22</v>
      </c>
      <c r="AM30" s="10" t="str">
        <v>pV</v>
      </c>
      <c r="AN30" s="28" t="str">
        <v>5 outorgantes</v>
      </c>
    </row>
    <row r="31" spans="12:40" x14ac:dyDescent="0.25">
      <c r="AF31" s="19">
        <f>IF(Emolumentos!B32="","",Emolumentos!B32)</f>
        <v>25854.52</v>
      </c>
      <c r="AG31" s="20">
        <f>IF(Emolumentos!C32="","",Emolumentos!C32)</f>
        <v>43383.89</v>
      </c>
      <c r="AH31" s="20" t="str">
        <f>IF(Emolumentos!D32="","",Emolumentos!D32)</f>
        <v>eZ3</v>
      </c>
      <c r="AI31" s="24" t="str">
        <f>IF(Emolumentos!E32="","",Emolumentos!E32)</f>
        <v/>
      </c>
      <c r="AK31" s="14">
        <v>224.83</v>
      </c>
      <c r="AL31" s="10">
        <v>377.25</v>
      </c>
      <c r="AM31" s="10" t="str">
        <v>tR</v>
      </c>
      <c r="AN31" s="28" t="str">
        <v>Testamento - revogação</v>
      </c>
    </row>
    <row r="32" spans="12:40" x14ac:dyDescent="0.25">
      <c r="AF32" s="19">
        <f>IF(Emolumentos!B33="","",Emolumentos!B33)</f>
        <v>29226.86</v>
      </c>
      <c r="AG32" s="20">
        <f>IF(Emolumentos!C33="","",Emolumentos!C33)</f>
        <v>49042.65</v>
      </c>
      <c r="AH32" s="20" t="str">
        <f>IF(Emolumentos!D33="","",Emolumentos!D33)</f>
        <v>eZ4</v>
      </c>
      <c r="AI32" s="24" t="str">
        <f>IF(Emolumentos!E33="","",Emolumentos!E33)</f>
        <v/>
      </c>
      <c r="AK32" s="14">
        <v>237.59</v>
      </c>
      <c r="AL32" s="10">
        <v>398.7</v>
      </c>
      <c r="AM32" s="10" t="str">
        <v>e+</v>
      </c>
      <c r="AN32" s="28" t="str">
        <v/>
      </c>
    </row>
    <row r="33" spans="32:40" x14ac:dyDescent="0.25">
      <c r="AF33" s="19">
        <f>IF(Emolumentos!B34="","",Emolumentos!B34)</f>
        <v>32599.16</v>
      </c>
      <c r="AG33" s="20">
        <f>IF(Emolumentos!C34="","",Emolumentos!C34)</f>
        <v>54701.38</v>
      </c>
      <c r="AH33" s="20" t="str">
        <f>IF(Emolumentos!D34="","",Emolumentos!D34)</f>
        <v>eZ5</v>
      </c>
      <c r="AI33" s="24" t="str">
        <f>IF(Emolumentos!E34="","",Emolumentos!E34)</f>
        <v/>
      </c>
      <c r="AK33" s="14">
        <v>265.31</v>
      </c>
      <c r="AL33" s="10">
        <v>445.19</v>
      </c>
      <c r="AM33" s="10" t="str">
        <v>eC%</v>
      </c>
      <c r="AN33" s="28" t="str">
        <v/>
      </c>
    </row>
    <row r="34" spans="32:40" x14ac:dyDescent="0.25">
      <c r="AF34" s="19">
        <f>IF(Emolumentos!B35="","",Emolumentos!B35)</f>
        <v>35971.54</v>
      </c>
      <c r="AG34" s="20">
        <f>IF(Emolumentos!C35="","",Emolumentos!C35)</f>
        <v>60360.24</v>
      </c>
      <c r="AH34" s="20" t="str">
        <f>IF(Emolumentos!D35="","",Emolumentos!D35)</f>
        <v>eZ6</v>
      </c>
      <c r="AI34" s="24" t="str">
        <f>IF(Emolumentos!E35="","",Emolumentos!E35)</f>
        <v/>
      </c>
      <c r="AK34" s="14">
        <v>269.76</v>
      </c>
      <c r="AL34" s="10">
        <v>452.65</v>
      </c>
      <c r="AM34" s="10" t="str">
        <v>pV</v>
      </c>
      <c r="AN34" s="28" t="str">
        <v>6 outorgantes</v>
      </c>
    </row>
    <row r="35" spans="32:40" x14ac:dyDescent="0.25">
      <c r="AF35" s="19" t="str">
        <f>IF(Emolumentos!B36="","",Emolumentos!B36)</f>
        <v/>
      </c>
      <c r="AG35" s="20" t="str">
        <f>IF(Emolumentos!C36="","",Emolumentos!C36)</f>
        <v/>
      </c>
      <c r="AH35" s="20" t="str">
        <f>IF(Emolumentos!D36="","",Emolumentos!D36)</f>
        <v/>
      </c>
      <c r="AI35" s="24" t="str">
        <f>IF(Emolumentos!E36="","",Emolumentos!E36)</f>
        <v/>
      </c>
      <c r="AK35" s="14">
        <v>285.16000000000003</v>
      </c>
      <c r="AL35" s="10">
        <v>478.49</v>
      </c>
      <c r="AM35" s="10" t="str">
        <v>e+</v>
      </c>
      <c r="AN35" s="28" t="str">
        <v/>
      </c>
    </row>
    <row r="36" spans="32:40" x14ac:dyDescent="0.25">
      <c r="AF36" s="19">
        <f>IF(Emolumentos!B37="","",Emolumentos!B37)</f>
        <v>142.58000000000001</v>
      </c>
      <c r="AG36" s="20">
        <f>IF(Emolumentos!C37="","",Emolumentos!C37)</f>
        <v>239.23</v>
      </c>
      <c r="AH36" s="20" t="str">
        <f>IF(Emolumentos!D37="","",Emolumentos!D37)</f>
        <v>e+</v>
      </c>
      <c r="AI36" s="24" t="str">
        <f>IF(Emolumentos!E37="","",Emolumentos!E37)</f>
        <v>Se a escritura pública instrumentalizar o primeiro título aquisitivo de imóvel em favor de beneficiário de regularização fundiária de interesse social, promovida no âmbito de programas de interesse social, sob gestão de órgãos ou entidades da administração pública direta ou indireta em área urbana ou rural, sempre independentemente do número de atos a serem praticados, sua natureza e valor do negócio jurídico.</v>
      </c>
      <c r="AK36" s="14">
        <v>292.3</v>
      </c>
      <c r="AL36" s="10">
        <v>490.46</v>
      </c>
      <c r="AM36" s="10" t="str">
        <v>eB</v>
      </c>
      <c r="AN36" s="28" t="str">
        <v/>
      </c>
    </row>
    <row r="37" spans="32:40" x14ac:dyDescent="0.25">
      <c r="AF37" s="19">
        <f>IF(Emolumentos!B38="","",Emolumentos!B38)</f>
        <v>237.59</v>
      </c>
      <c r="AG37" s="20">
        <f>IF(Emolumentos!C38="","",Emolumentos!C38)</f>
        <v>398.7</v>
      </c>
      <c r="AH37" s="20" t="str">
        <f>IF(Emolumentos!D38="","",Emolumentos!D38)</f>
        <v>e+</v>
      </c>
      <c r="AI37" s="24" t="str">
        <f>IF(Emolumentos!E38="","",Emolumentos!E38)</f>
        <v>Se a escritura pública instrumentalizar o contrato de aquisição e correspondentes garantias reais, que tenham por objeto imóvel financiado com recursos do FGTS ou integrante de programa habitacional de interesse social promovidos, total ou parcialmente, pela CDHU, COHAB, sociedades de economia mista, empresas públicas e empreendimentos habitacionais de interesse social, localizado em Zona Especial de Interesse Social – ZEIS, ou de outra forma definido pelo Município como de interesse social, executado em parceria público-privada ou por associações de moradia e cooperativas habitacionais, independentemente do número de atos a serem praticados, sua natureza e valor do negócio jurídico.</v>
      </c>
      <c r="AK37" s="14">
        <v>314.70999999999998</v>
      </c>
      <c r="AL37" s="10">
        <v>528.08000000000004</v>
      </c>
      <c r="AM37" s="10" t="str">
        <v>pV</v>
      </c>
      <c r="AN37" s="28" t="str">
        <v>7 outorgantes</v>
      </c>
    </row>
    <row r="38" spans="32:40" x14ac:dyDescent="0.25">
      <c r="AF38" s="19">
        <f>IF(Emolumentos!B39="","",Emolumentos!B39)</f>
        <v>285.16000000000003</v>
      </c>
      <c r="AG38" s="20">
        <f>IF(Emolumentos!C39="","",Emolumentos!C39)</f>
        <v>478.49</v>
      </c>
      <c r="AH38" s="20" t="str">
        <f>IF(Emolumentos!D39="","",Emolumentos!D39)</f>
        <v>e+</v>
      </c>
      <c r="AI38" s="24" t="str">
        <f>IF(Emolumentos!E39="","",Emolumentos!E39)</f>
        <v>Se a escritura pública instrumentalizar a primeira alienação imobiliária e eventual hipoteca, alienação fiduciária ou outra garantia real em empreendimento habitacional de interesse social, localizado em Zona Especial de Interesse Social – ZEIS, ou de outra forma definido pelo Município como de interesse social, relativo a imóvel com valor não superior a 4.705 (quatro mil setecentos e cinco) UFESP, sempre independentemente do número de atos a serem praticados, sua natureza e valor do negócio jurídico.</v>
      </c>
      <c r="AK38" s="14">
        <v>337.21</v>
      </c>
      <c r="AL38" s="10">
        <v>565.83000000000004</v>
      </c>
      <c r="AM38" s="10" t="str">
        <v>e</v>
      </c>
      <c r="AN38" s="28" t="str">
        <v>Escritura sem valor declarado - demais escrituras, desde que não tratadas nesta tabela</v>
      </c>
    </row>
    <row r="39" spans="32:40" x14ac:dyDescent="0.25">
      <c r="AF39" s="19" t="str">
        <f>IF(Emolumentos!B40="","",Emolumentos!B40)</f>
        <v/>
      </c>
      <c r="AG39" s="20" t="str">
        <f>IF(Emolumentos!C40="","",Emolumentos!C40)</f>
        <v/>
      </c>
      <c r="AH39" s="20" t="str">
        <f>IF(Emolumentos!D40="","",Emolumentos!D40)</f>
        <v/>
      </c>
      <c r="AI39" s="24" t="str">
        <f>IF(Emolumentos!E40="","",Emolumentos!E40)</f>
        <v/>
      </c>
      <c r="AK39" s="14">
        <v>350.08</v>
      </c>
      <c r="AL39" s="10">
        <v>587.41</v>
      </c>
      <c r="AM39" s="10" t="str">
        <v>a1</v>
      </c>
      <c r="AN39" s="28" t="str">
        <v>Ata notarial - pela primeira folha</v>
      </c>
    </row>
    <row r="40" spans="32:40" x14ac:dyDescent="0.25">
      <c r="AF40" s="19">
        <f>IF(Emolumentos!B41="","",Emolumentos!B41)</f>
        <v>189.51</v>
      </c>
      <c r="AG40" s="20">
        <f>IF(Emolumentos!C41="","",Emolumentos!C41)</f>
        <v>318</v>
      </c>
      <c r="AH40" s="20" t="str">
        <f>IF(Emolumentos!D41="","",Emolumentos!D41)</f>
        <v>eA%</v>
      </c>
      <c r="AI40" s="24" t="str">
        <f>IF(Emolumentos!E41="","",Emolumentos!E41)</f>
        <v/>
      </c>
      <c r="AK40" s="14">
        <v>359.66</v>
      </c>
      <c r="AL40" s="10">
        <v>603.51</v>
      </c>
      <c r="AM40" s="10" t="str">
        <v>pV</v>
      </c>
      <c r="AN40" s="28" t="str">
        <v>8 outorgantes</v>
      </c>
    </row>
    <row r="41" spans="32:40" x14ac:dyDescent="0.25">
      <c r="AF41" s="19">
        <f>IF(Emolumentos!B42="","",Emolumentos!B42)</f>
        <v>189.51</v>
      </c>
      <c r="AG41" s="20">
        <f>IF(Emolumentos!C42="","",Emolumentos!C42)</f>
        <v>318</v>
      </c>
      <c r="AH41" s="20" t="str">
        <f>IF(Emolumentos!D42="","",Emolumentos!D42)</f>
        <v>eB%</v>
      </c>
      <c r="AI41" s="24" t="str">
        <f>IF(Emolumentos!E42="","",Emolumentos!E42)</f>
        <v/>
      </c>
      <c r="AK41" s="14">
        <v>379.02</v>
      </c>
      <c r="AL41" s="10">
        <v>635.99</v>
      </c>
      <c r="AM41" s="10" t="str">
        <v>eD%</v>
      </c>
      <c r="AN41" s="28" t="str">
        <v/>
      </c>
    </row>
    <row r="42" spans="32:40" x14ac:dyDescent="0.25">
      <c r="AF42" s="19">
        <f>IF(Emolumentos!B43="","",Emolumentos!B43)</f>
        <v>265.31</v>
      </c>
      <c r="AG42" s="20">
        <f>IF(Emolumentos!C43="","",Emolumentos!C43)</f>
        <v>445.19</v>
      </c>
      <c r="AH42" s="20" t="str">
        <f>IF(Emolumentos!D43="","",Emolumentos!D43)</f>
        <v>eC%</v>
      </c>
      <c r="AI42" s="24" t="str">
        <f>IF(Emolumentos!E43="","",Emolumentos!E43)</f>
        <v/>
      </c>
      <c r="AK42" s="14">
        <v>456.39</v>
      </c>
      <c r="AL42" s="10">
        <v>765.8</v>
      </c>
      <c r="AM42" s="10" t="str">
        <v>eC</v>
      </c>
      <c r="AN42" s="28" t="str">
        <v/>
      </c>
    </row>
    <row r="43" spans="32:40" x14ac:dyDescent="0.25">
      <c r="AF43" s="19">
        <f>IF(Emolumentos!B44="","",Emolumentos!B44)</f>
        <v>379.02</v>
      </c>
      <c r="AG43" s="20">
        <f>IF(Emolumentos!C44="","",Emolumentos!C44)</f>
        <v>635.99</v>
      </c>
      <c r="AH43" s="20" t="str">
        <f>IF(Emolumentos!D44="","",Emolumentos!D44)</f>
        <v>eD%</v>
      </c>
      <c r="AI43" s="24" t="str">
        <f>IF(Emolumentos!E44="","",Emolumentos!E44)</f>
        <v/>
      </c>
      <c r="AK43" s="14">
        <v>512.33000000000004</v>
      </c>
      <c r="AL43" s="10">
        <v>859.66</v>
      </c>
      <c r="AM43" s="10" t="str">
        <v>eE%</v>
      </c>
      <c r="AN43" s="28" t="str">
        <v/>
      </c>
    </row>
    <row r="44" spans="32:40" x14ac:dyDescent="0.25">
      <c r="AF44" s="19">
        <f>IF(Emolumentos!B45="","",Emolumentos!B45)</f>
        <v>512.33000000000004</v>
      </c>
      <c r="AG44" s="20">
        <f>IF(Emolumentos!C45="","",Emolumentos!C45)</f>
        <v>859.66</v>
      </c>
      <c r="AH44" s="20" t="str">
        <f>IF(Emolumentos!D45="","",Emolumentos!D45)</f>
        <v>eE%</v>
      </c>
      <c r="AI44" s="24" t="str">
        <f>IF(Emolumentos!E45="","",Emolumentos!E45)</f>
        <v/>
      </c>
      <c r="AK44" s="14">
        <v>526.87</v>
      </c>
      <c r="AL44" s="10">
        <v>884.04</v>
      </c>
      <c r="AM44" s="10" t="str">
        <v>a2</v>
      </c>
      <c r="AN44" s="28" t="str">
        <v>2 páginas</v>
      </c>
    </row>
    <row r="45" spans="32:40" x14ac:dyDescent="0.25">
      <c r="AF45" s="19">
        <f>IF(Emolumentos!B46="","",Emolumentos!B46)</f>
        <v>607.73</v>
      </c>
      <c r="AG45" s="20">
        <f>IF(Emolumentos!C46="","",Emolumentos!C46)</f>
        <v>1019.78</v>
      </c>
      <c r="AH45" s="20" t="str">
        <f>IF(Emolumentos!D46="","",Emolumentos!D46)</f>
        <v>eF%</v>
      </c>
      <c r="AI45" s="24" t="str">
        <f>IF(Emolumentos!E46="","",Emolumentos!E46)</f>
        <v/>
      </c>
      <c r="AK45" s="14">
        <v>607.73</v>
      </c>
      <c r="AL45" s="10">
        <v>1019.78</v>
      </c>
      <c r="AM45" s="10" t="str">
        <v>eF%</v>
      </c>
      <c r="AN45" s="28" t="str">
        <v/>
      </c>
    </row>
    <row r="46" spans="32:40" x14ac:dyDescent="0.25">
      <c r="AF46" s="19" t="str">
        <f>IF(Emolumentos!B47="","",Emolumentos!B47)</f>
        <v/>
      </c>
      <c r="AG46" s="20" t="str">
        <f>IF(Emolumentos!C47="","",Emolumentos!C47)</f>
        <v/>
      </c>
      <c r="AH46" s="20" t="str">
        <f>IF(Emolumentos!D47="","",Emolumentos!D47)</f>
        <v/>
      </c>
      <c r="AI46" s="24" t="str">
        <f>IF(Emolumentos!E47="","",Emolumentos!E47)</f>
        <v/>
      </c>
      <c r="AK46" s="14">
        <v>651.98</v>
      </c>
      <c r="AL46" s="10">
        <v>1094.01</v>
      </c>
      <c r="AM46" s="10" t="str">
        <v>eD</v>
      </c>
      <c r="AN46" s="28" t="str">
        <v/>
      </c>
    </row>
    <row r="47" spans="32:40" x14ac:dyDescent="0.25">
      <c r="AF47" s="19" t="str">
        <f>IF(Emolumentos!B48="","",Emolumentos!B48)</f>
        <v/>
      </c>
      <c r="AG47" s="20" t="str">
        <f>IF(Emolumentos!C48="","",Emolumentos!C48)</f>
        <v/>
      </c>
      <c r="AH47" s="20" t="str">
        <f>IF(Emolumentos!D48="","",Emolumentos!D48)</f>
        <v/>
      </c>
      <c r="AI47" s="24" t="str">
        <f>IF(Emolumentos!E48="","",Emolumentos!E48)</f>
        <v/>
      </c>
      <c r="AK47" s="14">
        <v>703.66</v>
      </c>
      <c r="AL47" s="10">
        <v>1180.67</v>
      </c>
      <c r="AM47" s="10" t="str">
        <v>a3</v>
      </c>
      <c r="AN47" s="28" t="str">
        <v>3 páginas</v>
      </c>
    </row>
    <row r="48" spans="32:40" x14ac:dyDescent="0.25">
      <c r="AF48" s="19" t="str">
        <f>IF(Emolumentos!B49="","",Emolumentos!B49)</f>
        <v/>
      </c>
      <c r="AG48" s="20" t="str">
        <f>IF(Emolumentos!C49="","",Emolumentos!C49)</f>
        <v/>
      </c>
      <c r="AH48" s="20" t="str">
        <f>IF(Emolumentos!D49="","",Emolumentos!D49)</f>
        <v/>
      </c>
      <c r="AI48" s="24" t="str">
        <f>IF(Emolumentos!E49="","",Emolumentos!E49)</f>
        <v/>
      </c>
      <c r="AK48" s="14">
        <v>880.45</v>
      </c>
      <c r="AL48" s="10">
        <v>1477.3</v>
      </c>
      <c r="AM48" s="10" t="str">
        <v>a4</v>
      </c>
      <c r="AN48" s="28" t="str">
        <v>4 páginas</v>
      </c>
    </row>
    <row r="49" spans="32:40" x14ac:dyDescent="0.25">
      <c r="AF49" s="19" t="str">
        <f>IF(Emolumentos!B50="","",Emolumentos!B50)</f>
        <v/>
      </c>
      <c r="AG49" s="20" t="str">
        <f>IF(Emolumentos!C50="","",Emolumentos!C50)</f>
        <v/>
      </c>
      <c r="AH49" s="20" t="str">
        <f>IF(Emolumentos!D50="","",Emolumentos!D50)</f>
        <v/>
      </c>
      <c r="AI49" s="24" t="str">
        <f>IF(Emolumentos!E50="","",Emolumentos!E50)</f>
        <v/>
      </c>
      <c r="AK49" s="14">
        <v>881.29</v>
      </c>
      <c r="AL49" s="10">
        <v>1478.78</v>
      </c>
      <c r="AM49" s="10" t="str">
        <v>eE</v>
      </c>
      <c r="AN49" s="28" t="str">
        <v/>
      </c>
    </row>
    <row r="50" spans="32:40" x14ac:dyDescent="0.25">
      <c r="AF50" s="19" t="str">
        <f>IF(Emolumentos!B51="","",Emolumentos!B51)</f>
        <v/>
      </c>
      <c r="AG50" s="20" t="str">
        <f>IF(Emolumentos!C51="","",Emolumentos!C51)</f>
        <v/>
      </c>
      <c r="AH50" s="20" t="str">
        <f>IF(Emolumentos!D51="","",Emolumentos!D51)</f>
        <v/>
      </c>
      <c r="AI50" s="24" t="str">
        <f>IF(Emolumentos!E51="","",Emolumentos!E51)</f>
        <v/>
      </c>
      <c r="AK50" s="14">
        <v>980.23</v>
      </c>
      <c r="AL50" s="10">
        <v>1644.81</v>
      </c>
      <c r="AM50" s="10" t="str">
        <v>o</v>
      </c>
      <c r="AN50" s="28" t="str">
        <v>Registro Chancela Mecânica</v>
      </c>
    </row>
    <row r="51" spans="32:40" x14ac:dyDescent="0.25">
      <c r="AF51" s="19" t="str">
        <f>IF(Emolumentos!B52="","",Emolumentos!B52)</f>
        <v/>
      </c>
      <c r="AG51" s="20" t="str">
        <f>IF(Emolumentos!C52="","",Emolumentos!C52)</f>
        <v/>
      </c>
      <c r="AH51" s="20" t="str">
        <f>IF(Emolumentos!D52="","",Emolumentos!D52)</f>
        <v/>
      </c>
      <c r="AI51" s="24" t="str">
        <f>IF(Emolumentos!E52="","",Emolumentos!E52)</f>
        <v/>
      </c>
      <c r="AK51" s="14">
        <v>1045.43</v>
      </c>
      <c r="AL51" s="10">
        <v>1754.21</v>
      </c>
      <c r="AM51" s="10" t="str">
        <v>eF</v>
      </c>
      <c r="AN51" s="28" t="str">
        <v/>
      </c>
    </row>
    <row r="52" spans="32:40" x14ac:dyDescent="0.25">
      <c r="AF52" s="19" t="str">
        <f>IF(Emolumentos!B53="","",Emolumentos!B53)</f>
        <v/>
      </c>
      <c r="AG52" s="20" t="str">
        <f>IF(Emolumentos!C53="","",Emolumentos!C53)</f>
        <v/>
      </c>
      <c r="AH52" s="20" t="str">
        <f>IF(Emolumentos!D53="","",Emolumentos!D53)</f>
        <v/>
      </c>
      <c r="AI52" s="24" t="str">
        <f>IF(Emolumentos!E53="","",Emolumentos!E53)</f>
        <v/>
      </c>
      <c r="AK52" s="14">
        <v>1057.24</v>
      </c>
      <c r="AL52" s="10">
        <v>1773.93</v>
      </c>
      <c r="AM52" s="10" t="str">
        <v>a5</v>
      </c>
      <c r="AN52" s="28" t="str">
        <v>5 páginas</v>
      </c>
    </row>
    <row r="53" spans="32:40" x14ac:dyDescent="0.25">
      <c r="AF53" s="19" t="str">
        <f>IF(Emolumentos!B54="","",Emolumentos!B54)</f>
        <v/>
      </c>
      <c r="AG53" s="20" t="str">
        <f>IF(Emolumentos!C54="","",Emolumentos!C54)</f>
        <v/>
      </c>
      <c r="AH53" s="20" t="str">
        <f>IF(Emolumentos!D54="","",Emolumentos!D54)</f>
        <v/>
      </c>
      <c r="AI53" s="24" t="str">
        <f>IF(Emolumentos!E54="","",Emolumentos!E54)</f>
        <v/>
      </c>
      <c r="AK53" s="14">
        <v>1234.03</v>
      </c>
      <c r="AL53" s="10">
        <v>2070.56</v>
      </c>
      <c r="AM53" s="10" t="str">
        <v>a6</v>
      </c>
      <c r="AN53" s="28" t="str">
        <v>6 páginas</v>
      </c>
    </row>
    <row r="54" spans="32:40" x14ac:dyDescent="0.25">
      <c r="AF54" s="19" t="str">
        <f>IF(Emolumentos!B55="","",Emolumentos!B55)</f>
        <v/>
      </c>
      <c r="AG54" s="20" t="str">
        <f>IF(Emolumentos!C55="","",Emolumentos!C55)</f>
        <v/>
      </c>
      <c r="AH54" s="20" t="str">
        <f>IF(Emolumentos!D55="","",Emolumentos!D55)</f>
        <v/>
      </c>
      <c r="AI54" s="24" t="str">
        <f>IF(Emolumentos!E55="","",Emolumentos!E55)</f>
        <v/>
      </c>
      <c r="AK54" s="14">
        <v>1241.02</v>
      </c>
      <c r="AL54" s="10">
        <v>2082.42</v>
      </c>
      <c r="AM54" s="10" t="str">
        <v>eG</v>
      </c>
      <c r="AN54" s="28" t="str">
        <v/>
      </c>
    </row>
    <row r="55" spans="32:40" x14ac:dyDescent="0.25">
      <c r="AF55" s="19" t="str">
        <f>IF(Emolumentos!B56="","",Emolumentos!B56)</f>
        <v/>
      </c>
      <c r="AG55" s="20" t="str">
        <f>IF(Emolumentos!C56="","",Emolumentos!C56)</f>
        <v/>
      </c>
      <c r="AH55" s="20" t="str">
        <f>IF(Emolumentos!D56="","",Emolumentos!D56)</f>
        <v/>
      </c>
      <c r="AI55" s="24" t="str">
        <f>IF(Emolumentos!E56="","",Emolumentos!E56)</f>
        <v/>
      </c>
      <c r="AK55" s="14">
        <v>1298.57</v>
      </c>
      <c r="AL55" s="10">
        <v>2179</v>
      </c>
      <c r="AM55" s="10" t="str">
        <v>o</v>
      </c>
      <c r="AN55" s="28" t="str">
        <v>Escritura de Convenção de Condomínio</v>
      </c>
    </row>
    <row r="56" spans="32:40" x14ac:dyDescent="0.25">
      <c r="AF56" s="19" t="str">
        <f>IF(Emolumentos!B57="","",Emolumentos!B57)</f>
        <v/>
      </c>
      <c r="AG56" s="20" t="str">
        <f>IF(Emolumentos!C57="","",Emolumentos!C57)</f>
        <v/>
      </c>
      <c r="AH56" s="20" t="str">
        <f>IF(Emolumentos!D57="","",Emolumentos!D57)</f>
        <v/>
      </c>
      <c r="AI56" s="24" t="str">
        <f>IF(Emolumentos!E57="","",Emolumentos!E57)</f>
        <v/>
      </c>
      <c r="AK56" s="14">
        <v>1348.95</v>
      </c>
      <c r="AL56" s="10">
        <v>2263.5300000000002</v>
      </c>
      <c r="AM56" s="10" t="str">
        <v>tV</v>
      </c>
      <c r="AN56" s="28" t="str">
        <v>Testamento - público com ou sem revogação</v>
      </c>
    </row>
    <row r="57" spans="32:40" x14ac:dyDescent="0.25">
      <c r="AF57" s="19" t="str">
        <f>IF(Emolumentos!B58="","",Emolumentos!B58)</f>
        <v/>
      </c>
      <c r="AG57" s="20" t="str">
        <f>IF(Emolumentos!C58="","",Emolumentos!C58)</f>
        <v/>
      </c>
      <c r="AH57" s="20" t="str">
        <f>IF(Emolumentos!D58="","",Emolumentos!D58)</f>
        <v/>
      </c>
      <c r="AI57" s="24" t="str">
        <f>IF(Emolumentos!E58="","",Emolumentos!E58)</f>
        <v/>
      </c>
      <c r="AK57" s="14">
        <v>1348.95</v>
      </c>
      <c r="AL57" s="10">
        <v>2263.5300000000002</v>
      </c>
      <c r="AM57" s="10" t="str">
        <v>tV</v>
      </c>
      <c r="AN57" s="28" t="str">
        <v>Testamento - cerrado, pela aprovação e encerramento</v>
      </c>
    </row>
    <row r="58" spans="32:40" x14ac:dyDescent="0.25">
      <c r="AF58" s="19" t="str">
        <f>IF(Emolumentos!B59="","",Emolumentos!B59)</f>
        <v/>
      </c>
      <c r="AG58" s="20" t="str">
        <f>IF(Emolumentos!C59="","",Emolumentos!C59)</f>
        <v/>
      </c>
      <c r="AH58" s="20" t="str">
        <f>IF(Emolumentos!D59="","",Emolumentos!D59)</f>
        <v/>
      </c>
      <c r="AI58" s="24" t="str">
        <f>IF(Emolumentos!E59="","",Emolumentos!E59)</f>
        <v/>
      </c>
      <c r="AK58" s="14">
        <v>1410.82</v>
      </c>
      <c r="AL58" s="10">
        <v>2367.19</v>
      </c>
      <c r="AM58" s="10" t="str">
        <v>a7</v>
      </c>
      <c r="AN58" s="28" t="str">
        <v>7 páginas</v>
      </c>
    </row>
    <row r="59" spans="32:40" x14ac:dyDescent="0.25">
      <c r="AF59" s="19" t="str">
        <f>IF(Emolumentos!B60="","",Emolumentos!B60)</f>
        <v/>
      </c>
      <c r="AG59" s="20" t="str">
        <f>IF(Emolumentos!C60="","",Emolumentos!C60)</f>
        <v/>
      </c>
      <c r="AH59" s="20" t="str">
        <f>IF(Emolumentos!D60="","",Emolumentos!D60)</f>
        <v/>
      </c>
      <c r="AI59" s="24" t="str">
        <f>IF(Emolumentos!E60="","",Emolumentos!E60)</f>
        <v/>
      </c>
      <c r="AK59" s="14">
        <v>1470.31</v>
      </c>
      <c r="AL59" s="10">
        <v>2467.17</v>
      </c>
      <c r="AM59" s="10" t="str">
        <v>eH</v>
      </c>
      <c r="AN59" s="28" t="str">
        <v/>
      </c>
    </row>
    <row r="60" spans="32:40" x14ac:dyDescent="0.25">
      <c r="AF60" s="19" t="str">
        <f>IF(Emolumentos!B61="","",Emolumentos!B61)</f>
        <v/>
      </c>
      <c r="AG60" s="20" t="str">
        <f>IF(Emolumentos!C61="","",Emolumentos!C61)</f>
        <v/>
      </c>
      <c r="AH60" s="20" t="str">
        <f>IF(Emolumentos!D61="","",Emolumentos!D61)</f>
        <v/>
      </c>
      <c r="AI60" s="24" t="str">
        <f>IF(Emolumentos!E61="","",Emolumentos!E61)</f>
        <v/>
      </c>
      <c r="AK60" s="14">
        <v>1587.61</v>
      </c>
      <c r="AL60" s="10">
        <v>2663.82</v>
      </c>
      <c r="AM60" s="10" t="str">
        <v>a8</v>
      </c>
      <c r="AN60" s="28" t="str">
        <v>8 páginas</v>
      </c>
    </row>
    <row r="61" spans="32:40" x14ac:dyDescent="0.25">
      <c r="AF61" s="19" t="str">
        <f>IF(Emolumentos!B62="","",Emolumentos!B62)</f>
        <v/>
      </c>
      <c r="AG61" s="20" t="str">
        <f>IF(Emolumentos!C62="","",Emolumentos!C62)</f>
        <v/>
      </c>
      <c r="AH61" s="20" t="str">
        <f>IF(Emolumentos!D62="","",Emolumentos!D62)</f>
        <v/>
      </c>
      <c r="AI61" s="24" t="str">
        <f>IF(Emolumentos!E62="","",Emolumentos!E62)</f>
        <v/>
      </c>
      <c r="AK61" s="14">
        <v>1665.95</v>
      </c>
      <c r="AL61" s="10">
        <v>2795.46</v>
      </c>
      <c r="AM61" s="10" t="str">
        <v>eI</v>
      </c>
      <c r="AN61" s="28" t="str">
        <v/>
      </c>
    </row>
    <row r="62" spans="32:40" x14ac:dyDescent="0.25">
      <c r="AF62" s="19" t="str">
        <f>IF(Emolumentos!B63="","",Emolumentos!B63)</f>
        <v/>
      </c>
      <c r="AG62" s="20" t="str">
        <f>IF(Emolumentos!C63="","",Emolumentos!C63)</f>
        <v/>
      </c>
      <c r="AH62" s="20" t="str">
        <f>IF(Emolumentos!D63="","",Emolumentos!D63)</f>
        <v/>
      </c>
      <c r="AI62" s="24" t="str">
        <f>IF(Emolumentos!E63="","",Emolumentos!E63)</f>
        <v/>
      </c>
      <c r="AK62" s="14">
        <v>1764.4</v>
      </c>
      <c r="AL62" s="10">
        <v>2960.45</v>
      </c>
      <c r="AM62" s="10" t="str">
        <v>a9</v>
      </c>
      <c r="AN62" s="28" t="str">
        <v>9 páginas</v>
      </c>
    </row>
    <row r="63" spans="32:40" x14ac:dyDescent="0.25">
      <c r="AF63" s="19" t="str">
        <f>IF(Emolumentos!B64="","",Emolumentos!B64)</f>
        <v/>
      </c>
      <c r="AG63" s="20" t="str">
        <f>IF(Emolumentos!C64="","",Emolumentos!C64)</f>
        <v/>
      </c>
      <c r="AH63" s="20" t="str">
        <f>IF(Emolumentos!D64="","",Emolumentos!D64)</f>
        <v/>
      </c>
      <c r="AI63" s="24" t="str">
        <f>IF(Emolumentos!E64="","",Emolumentos!E64)</f>
        <v/>
      </c>
      <c r="AK63" s="14">
        <v>1863.79</v>
      </c>
      <c r="AL63" s="10">
        <v>3127.41</v>
      </c>
      <c r="AM63" s="10" t="str">
        <v>eJ</v>
      </c>
      <c r="AN63" s="28" t="str">
        <v/>
      </c>
    </row>
    <row r="64" spans="32:40" x14ac:dyDescent="0.25">
      <c r="AF64" s="19" t="str">
        <f>IF(Emolumentos!B65="","",Emolumentos!B65)</f>
        <v/>
      </c>
      <c r="AG64" s="20" t="str">
        <f>IF(Emolumentos!C65="","",Emolumentos!C65)</f>
        <v/>
      </c>
      <c r="AH64" s="20" t="str">
        <f>IF(Emolumentos!D65="","",Emolumentos!D65)</f>
        <v/>
      </c>
      <c r="AI64" s="24" t="str">
        <f>IF(Emolumentos!E65="","",Emolumentos!E65)</f>
        <v/>
      </c>
      <c r="AK64" s="14">
        <v>1941.19</v>
      </c>
      <c r="AL64" s="10">
        <v>3257.08</v>
      </c>
      <c r="AM64" s="10" t="str">
        <v>a10</v>
      </c>
      <c r="AN64" s="28" t="str">
        <v>10 páginas</v>
      </c>
    </row>
    <row r="65" spans="32:40" x14ac:dyDescent="0.25">
      <c r="AF65" s="19" t="str">
        <f>IF(Emolumentos!B66="","",Emolumentos!B66)</f>
        <v/>
      </c>
      <c r="AG65" s="20" t="str">
        <f>IF(Emolumentos!C66="","",Emolumentos!C66)</f>
        <v/>
      </c>
      <c r="AH65" s="20" t="str">
        <f>IF(Emolumentos!D66="","",Emolumentos!D66)</f>
        <v/>
      </c>
      <c r="AI65" s="24" t="str">
        <f>IF(Emolumentos!E66="","",Emolumentos!E66)</f>
        <v/>
      </c>
      <c r="AK65" s="14">
        <v>2090.85</v>
      </c>
      <c r="AL65" s="10">
        <v>3508.43</v>
      </c>
      <c r="AM65" s="10" t="str">
        <v>eK</v>
      </c>
      <c r="AN65" s="28" t="str">
        <v/>
      </c>
    </row>
    <row r="66" spans="32:40" x14ac:dyDescent="0.25">
      <c r="AF66" s="19" t="str">
        <f>IF(Emolumentos!B67="","",Emolumentos!B67)</f>
        <v/>
      </c>
      <c r="AG66" s="20" t="str">
        <f>IF(Emolumentos!C67="","",Emolumentos!C67)</f>
        <v/>
      </c>
      <c r="AH66" s="20" t="str">
        <f>IF(Emolumentos!D67="","",Emolumentos!D67)</f>
        <v/>
      </c>
      <c r="AI66" s="24" t="str">
        <f>IF(Emolumentos!E67="","",Emolumentos!E67)</f>
        <v/>
      </c>
      <c r="AK66" s="14">
        <v>2117.98</v>
      </c>
      <c r="AL66" s="10">
        <v>3553.71</v>
      </c>
      <c r="AM66" s="10" t="str">
        <v>a11</v>
      </c>
      <c r="AN66" s="28" t="str">
        <v>11 páginas</v>
      </c>
    </row>
    <row r="67" spans="32:40" x14ac:dyDescent="0.25">
      <c r="AF67" s="19" t="str">
        <f>IF(Emolumentos!B68="","",Emolumentos!B68)</f>
        <v/>
      </c>
      <c r="AG67" s="20" t="str">
        <f>IF(Emolumentos!C68="","",Emolumentos!C68)</f>
        <v/>
      </c>
      <c r="AH67" s="20" t="str">
        <f>IF(Emolumentos!D68="","",Emolumentos!D68)</f>
        <v/>
      </c>
      <c r="AI67" s="24" t="str">
        <f>IF(Emolumentos!E68="","",Emolumentos!E68)</f>
        <v/>
      </c>
      <c r="AK67" s="14">
        <v>2288.6999999999998</v>
      </c>
      <c r="AL67" s="10">
        <v>3840.45</v>
      </c>
      <c r="AM67" s="10" t="str">
        <v>eL</v>
      </c>
      <c r="AN67" s="28" t="str">
        <v/>
      </c>
    </row>
    <row r="68" spans="32:40" x14ac:dyDescent="0.25">
      <c r="AF68" s="19" t="str">
        <f>IF(Emolumentos!B69="","",Emolumentos!B69)</f>
        <v/>
      </c>
      <c r="AG68" s="20" t="str">
        <f>IF(Emolumentos!C69="","",Emolumentos!C69)</f>
        <v/>
      </c>
      <c r="AH68" s="20" t="str">
        <f>IF(Emolumentos!D69="","",Emolumentos!D69)</f>
        <v/>
      </c>
      <c r="AI68" s="24" t="str">
        <f>IF(Emolumentos!E69="","",Emolumentos!E69)</f>
        <v/>
      </c>
      <c r="AK68" s="14">
        <v>2294.77</v>
      </c>
      <c r="AL68" s="10">
        <v>3850.34</v>
      </c>
      <c r="AM68" s="10" t="str">
        <v>a12</v>
      </c>
      <c r="AN68" s="28" t="str">
        <v>12 páginas</v>
      </c>
    </row>
    <row r="69" spans="32:40" x14ac:dyDescent="0.25">
      <c r="AF69" s="19" t="str">
        <f>IF(Emolumentos!B70="","",Emolumentos!B70)</f>
        <v/>
      </c>
      <c r="AG69" s="20" t="str">
        <f>IF(Emolumentos!C70="","",Emolumentos!C70)</f>
        <v/>
      </c>
      <c r="AH69" s="20" t="str">
        <f>IF(Emolumentos!D70="","",Emolumentos!D70)</f>
        <v/>
      </c>
      <c r="AI69" s="24" t="str">
        <f>IF(Emolumentos!E70="","",Emolumentos!E70)</f>
        <v/>
      </c>
      <c r="AK69" s="14">
        <v>2518.02</v>
      </c>
      <c r="AL69" s="10">
        <v>4225.21</v>
      </c>
      <c r="AM69" s="10" t="str">
        <v>eM</v>
      </c>
      <c r="AN69" s="28" t="str">
        <v/>
      </c>
    </row>
    <row r="70" spans="32:40" x14ac:dyDescent="0.25">
      <c r="AF70" s="19" t="str">
        <f>IF(Emolumentos!B71="","",Emolumentos!B71)</f>
        <v/>
      </c>
      <c r="AG70" s="20" t="str">
        <f>IF(Emolumentos!C71="","",Emolumentos!C71)</f>
        <v/>
      </c>
      <c r="AH70" s="20" t="str">
        <f>IF(Emolumentos!D71="","",Emolumentos!D71)</f>
        <v/>
      </c>
      <c r="AI70" s="24" t="str">
        <f>IF(Emolumentos!E71="","",Emolumentos!E71)</f>
        <v/>
      </c>
      <c r="AK70" s="14">
        <v>2679.88</v>
      </c>
      <c r="AL70" s="10">
        <v>4496.82</v>
      </c>
      <c r="AM70" s="10" t="str">
        <v>eN</v>
      </c>
      <c r="AN70" s="28" t="str">
        <v/>
      </c>
    </row>
    <row r="71" spans="32:40" x14ac:dyDescent="0.25">
      <c r="AF71" s="19" t="str">
        <f>IF(Emolumentos!B72="","",Emolumentos!B72)</f>
        <v/>
      </c>
      <c r="AG71" s="20" t="str">
        <f>IF(Emolumentos!C72="","",Emolumentos!C72)</f>
        <v/>
      </c>
      <c r="AH71" s="20" t="str">
        <f>IF(Emolumentos!D72="","",Emolumentos!D72)</f>
        <v/>
      </c>
      <c r="AI71" s="24" t="str">
        <f>IF(Emolumentos!E72="","",Emolumentos!E72)</f>
        <v/>
      </c>
      <c r="AK71" s="14">
        <v>2974.39</v>
      </c>
      <c r="AL71" s="10">
        <v>4991.0200000000004</v>
      </c>
      <c r="AM71" s="10" t="str">
        <v>eO</v>
      </c>
      <c r="AN71" s="28" t="str">
        <v/>
      </c>
    </row>
    <row r="72" spans="32:40" x14ac:dyDescent="0.25">
      <c r="AF72" s="19" t="str">
        <f>IF(Emolumentos!B73="","",Emolumentos!B73)</f>
        <v/>
      </c>
      <c r="AG72" s="20" t="str">
        <f>IF(Emolumentos!C73="","",Emolumentos!C73)</f>
        <v/>
      </c>
      <c r="AH72" s="20" t="str">
        <f>IF(Emolumentos!D73="","",Emolumentos!D73)</f>
        <v/>
      </c>
      <c r="AI72" s="24" t="str">
        <f>IF(Emolumentos!E73="","",Emolumentos!E73)</f>
        <v/>
      </c>
      <c r="AK72" s="14">
        <v>3302.65</v>
      </c>
      <c r="AL72" s="10">
        <v>5541.82</v>
      </c>
      <c r="AM72" s="10" t="str">
        <v>eP</v>
      </c>
      <c r="AN72" s="28" t="str">
        <v/>
      </c>
    </row>
    <row r="73" spans="32:40" x14ac:dyDescent="0.25">
      <c r="AF73" s="19" t="str">
        <f>IF(Emolumentos!B74="","",Emolumentos!B74)</f>
        <v/>
      </c>
      <c r="AG73" s="20" t="str">
        <f>IF(Emolumentos!C74="","",Emolumentos!C74)</f>
        <v/>
      </c>
      <c r="AH73" s="20" t="str">
        <f>IF(Emolumentos!D74="","",Emolumentos!D74)</f>
        <v/>
      </c>
      <c r="AI73" s="24" t="str">
        <f>IF(Emolumentos!E74="","",Emolumentos!E74)</f>
        <v/>
      </c>
      <c r="AK73" s="14">
        <v>3662.35</v>
      </c>
      <c r="AL73" s="10">
        <v>6145.41</v>
      </c>
      <c r="AM73" s="10" t="str">
        <v>eQ</v>
      </c>
      <c r="AN73" s="28" t="str">
        <v/>
      </c>
    </row>
    <row r="74" spans="32:40" x14ac:dyDescent="0.25">
      <c r="AF74" s="19" t="str">
        <f>IF(Emolumentos!B75="","",Emolumentos!B75)</f>
        <v/>
      </c>
      <c r="AG74" s="20" t="str">
        <f>IF(Emolumentos!C75="","",Emolumentos!C75)</f>
        <v/>
      </c>
      <c r="AH74" s="20" t="str">
        <f>IF(Emolumentos!D75="","",Emolumentos!D75)</f>
        <v/>
      </c>
      <c r="AI74" s="24" t="str">
        <f>IF(Emolumentos!E75="","",Emolumentos!E75)</f>
        <v/>
      </c>
      <c r="AK74" s="14">
        <v>4046.79</v>
      </c>
      <c r="AL74" s="10">
        <v>6790.51</v>
      </c>
      <c r="AM74" s="10" t="str">
        <v>eR</v>
      </c>
      <c r="AN74" s="28" t="str">
        <v/>
      </c>
    </row>
    <row r="75" spans="32:40" x14ac:dyDescent="0.25">
      <c r="AF75" s="19" t="str">
        <f>IF(Emolumentos!B76="","",Emolumentos!B76)</f>
        <v/>
      </c>
      <c r="AG75" s="20" t="str">
        <f>IF(Emolumentos!C76="","",Emolumentos!C76)</f>
        <v/>
      </c>
      <c r="AH75" s="20" t="str">
        <f>IF(Emolumentos!D76="","",Emolumentos!D76)</f>
        <v/>
      </c>
      <c r="AI75" s="24" t="str">
        <f>IF(Emolumentos!E76="","",Emolumentos!E76)</f>
        <v/>
      </c>
      <c r="AK75" s="14">
        <v>5620.57</v>
      </c>
      <c r="AL75" s="10">
        <v>9431.31</v>
      </c>
      <c r="AM75" s="10" t="str">
        <v>eS</v>
      </c>
      <c r="AN75" s="28" t="str">
        <v/>
      </c>
    </row>
    <row r="76" spans="32:40" x14ac:dyDescent="0.25">
      <c r="AF76" s="19" t="str">
        <f>IF(Emolumentos!B77="","",Emolumentos!B77)</f>
        <v/>
      </c>
      <c r="AG76" s="20" t="str">
        <f>IF(Emolumentos!C77="","",Emolumentos!C77)</f>
        <v/>
      </c>
      <c r="AH76" s="20" t="str">
        <f>IF(Emolumentos!D77="","",Emolumentos!D77)</f>
        <v/>
      </c>
      <c r="AI76" s="24" t="str">
        <f>IF(Emolumentos!E77="","",Emolumentos!E77)</f>
        <v/>
      </c>
      <c r="AK76" s="14">
        <v>7306.72</v>
      </c>
      <c r="AL76" s="10">
        <v>12260.66</v>
      </c>
      <c r="AM76" s="10" t="str">
        <v>eT</v>
      </c>
      <c r="AN76" s="28" t="str">
        <v/>
      </c>
    </row>
    <row r="77" spans="32:40" x14ac:dyDescent="0.25">
      <c r="AF77" s="19" t="str">
        <f>IF(Emolumentos!B78="","",Emolumentos!B78)</f>
        <v/>
      </c>
      <c r="AG77" s="20" t="str">
        <f>IF(Emolumentos!C78="","",Emolumentos!C78)</f>
        <v/>
      </c>
      <c r="AH77" s="20" t="str">
        <f>IF(Emolumentos!D78="","",Emolumentos!D78)</f>
        <v/>
      </c>
      <c r="AI77" s="24" t="str">
        <f>IF(Emolumentos!E78="","",Emolumentos!E78)</f>
        <v/>
      </c>
      <c r="AK77" s="14">
        <v>8992.89</v>
      </c>
      <c r="AL77" s="10">
        <v>15090.07</v>
      </c>
      <c r="AM77" s="10" t="str">
        <v>eU</v>
      </c>
      <c r="AN77" s="28" t="str">
        <v/>
      </c>
    </row>
    <row r="78" spans="32:40" x14ac:dyDescent="0.25">
      <c r="AF78" s="19" t="str">
        <f>IF(Emolumentos!B79="","",Emolumentos!B79)</f>
        <v/>
      </c>
      <c r="AG78" s="20" t="str">
        <f>IF(Emolumentos!C79="","",Emolumentos!C79)</f>
        <v/>
      </c>
      <c r="AH78" s="20" t="str">
        <f>IF(Emolumentos!D79="","",Emolumentos!D79)</f>
        <v/>
      </c>
      <c r="AI78" s="24" t="str">
        <f>IF(Emolumentos!E79="","",Emolumentos!E79)</f>
        <v/>
      </c>
      <c r="AK78" s="14">
        <v>10679.05</v>
      </c>
      <c r="AL78" s="10">
        <v>17919.43</v>
      </c>
      <c r="AM78" s="10" t="str">
        <v>eV</v>
      </c>
      <c r="AN78" s="28" t="str">
        <v/>
      </c>
    </row>
    <row r="79" spans="32:40" x14ac:dyDescent="0.25">
      <c r="AF79" s="19" t="str">
        <f>IF(Emolumentos!B80="","",Emolumentos!B80)</f>
        <v/>
      </c>
      <c r="AG79" s="20" t="str">
        <f>IF(Emolumentos!C80="","",Emolumentos!C80)</f>
        <v/>
      </c>
      <c r="AH79" s="20" t="str">
        <f>IF(Emolumentos!D80="","",Emolumentos!D80)</f>
        <v/>
      </c>
      <c r="AI79" s="24" t="str">
        <f>IF(Emolumentos!E80="","",Emolumentos!E80)</f>
        <v/>
      </c>
      <c r="AK79" s="14">
        <v>12365.18</v>
      </c>
      <c r="AL79" s="10">
        <v>20748.77</v>
      </c>
      <c r="AM79" s="10" t="str">
        <v>eW</v>
      </c>
      <c r="AN79" s="28" t="str">
        <v/>
      </c>
    </row>
    <row r="80" spans="32:40" x14ac:dyDescent="0.25">
      <c r="AF80" s="19" t="str">
        <f>IF(Emolumentos!B81="","",Emolumentos!B81)</f>
        <v/>
      </c>
      <c r="AG80" s="20" t="str">
        <f>IF(Emolumentos!C81="","",Emolumentos!C81)</f>
        <v/>
      </c>
      <c r="AH80" s="20" t="str">
        <f>IF(Emolumentos!D81="","",Emolumentos!D81)</f>
        <v/>
      </c>
      <c r="AI80" s="24" t="str">
        <f>IF(Emolumentos!E81="","",Emolumentos!E81)</f>
        <v/>
      </c>
      <c r="AK80" s="14">
        <v>14051.36</v>
      </c>
      <c r="AL80" s="10">
        <v>23578.19</v>
      </c>
      <c r="AM80" s="10" t="str">
        <v>eX</v>
      </c>
      <c r="AN80" s="28" t="str">
        <v/>
      </c>
    </row>
    <row r="81" spans="32:40" x14ac:dyDescent="0.25">
      <c r="AF81" s="19" t="str">
        <f>IF(Emolumentos!B82="","",Emolumentos!B82)</f>
        <v/>
      </c>
      <c r="AG81" s="20" t="str">
        <f>IF(Emolumentos!C82="","",Emolumentos!C82)</f>
        <v/>
      </c>
      <c r="AH81" s="20" t="str">
        <f>IF(Emolumentos!D82="","",Emolumentos!D82)</f>
        <v/>
      </c>
      <c r="AI81" s="24" t="str">
        <f>IF(Emolumentos!E82="","",Emolumentos!E82)</f>
        <v/>
      </c>
      <c r="AK81" s="14">
        <v>15737.52</v>
      </c>
      <c r="AL81" s="10">
        <v>26407.56</v>
      </c>
      <c r="AM81" s="10" t="str">
        <v>eY</v>
      </c>
      <c r="AN81" s="28" t="str">
        <v/>
      </c>
    </row>
    <row r="82" spans="32:40" x14ac:dyDescent="0.25">
      <c r="AF82" s="19" t="str">
        <f>IF(Emolumentos!B83="","",Emolumentos!B83)</f>
        <v/>
      </c>
      <c r="AG82" s="20" t="str">
        <f>IF(Emolumentos!C83="","",Emolumentos!C83)</f>
        <v/>
      </c>
      <c r="AH82" s="20" t="str">
        <f>IF(Emolumentos!D83="","",Emolumentos!D83)</f>
        <v/>
      </c>
      <c r="AI82" s="24" t="str">
        <f>IF(Emolumentos!E83="","",Emolumentos!E83)</f>
        <v/>
      </c>
      <c r="AK82" s="14">
        <v>17423.68</v>
      </c>
      <c r="AL82" s="10">
        <v>29236.93</v>
      </c>
      <c r="AM82" s="10" t="str">
        <v>eZ</v>
      </c>
      <c r="AN82" s="28" t="str">
        <v/>
      </c>
    </row>
    <row r="83" spans="32:40" x14ac:dyDescent="0.25">
      <c r="AF83" s="19" t="str">
        <f>IF(Emolumentos!B84="","",Emolumentos!B84)</f>
        <v/>
      </c>
      <c r="AG83" s="20" t="str">
        <f>IF(Emolumentos!C84="","",Emolumentos!C84)</f>
        <v/>
      </c>
      <c r="AH83" s="20" t="str">
        <f>IF(Emolumentos!D84="","",Emolumentos!D84)</f>
        <v/>
      </c>
      <c r="AI83" s="24" t="str">
        <f>IF(Emolumentos!E84="","",Emolumentos!E84)</f>
        <v/>
      </c>
      <c r="AK83" s="14">
        <v>19109.900000000001</v>
      </c>
      <c r="AL83" s="10">
        <v>32066.38</v>
      </c>
      <c r="AM83" s="10" t="str">
        <v>eZ1</v>
      </c>
      <c r="AN83" s="28" t="str">
        <v/>
      </c>
    </row>
    <row r="84" spans="32:40" x14ac:dyDescent="0.25">
      <c r="AF84" s="19" t="str">
        <f>IF(Emolumentos!B85="","",Emolumentos!B85)</f>
        <v/>
      </c>
      <c r="AG84" s="20" t="str">
        <f>IF(Emolumentos!C85="","",Emolumentos!C85)</f>
        <v/>
      </c>
      <c r="AH84" s="20" t="str">
        <f>IF(Emolumentos!D85="","",Emolumentos!D85)</f>
        <v/>
      </c>
      <c r="AI84" s="24" t="str">
        <f>IF(Emolumentos!E85="","",Emolumentos!E85)</f>
        <v/>
      </c>
      <c r="AK84" s="14">
        <v>22482.22</v>
      </c>
      <c r="AL84" s="10">
        <v>37725.15</v>
      </c>
      <c r="AM84" s="10" t="str">
        <v>eZ2</v>
      </c>
      <c r="AN84" s="28" t="str">
        <v/>
      </c>
    </row>
    <row r="85" spans="32:40" x14ac:dyDescent="0.25">
      <c r="AF85" s="19" t="str">
        <f>IF(Emolumentos!B86="","",Emolumentos!B86)</f>
        <v/>
      </c>
      <c r="AG85" s="20" t="str">
        <f>IF(Emolumentos!C86="","",Emolumentos!C86)</f>
        <v/>
      </c>
      <c r="AH85" s="20" t="str">
        <f>IF(Emolumentos!D86="","",Emolumentos!D86)</f>
        <v/>
      </c>
      <c r="AI85" s="24" t="str">
        <f>IF(Emolumentos!E86="","",Emolumentos!E86)</f>
        <v/>
      </c>
      <c r="AK85" s="14">
        <v>25854.52</v>
      </c>
      <c r="AL85" s="10">
        <v>43383.89</v>
      </c>
      <c r="AM85" s="10" t="str">
        <v>eZ3</v>
      </c>
      <c r="AN85" s="28" t="str">
        <v/>
      </c>
    </row>
    <row r="86" spans="32:40" x14ac:dyDescent="0.25">
      <c r="AF86" s="19" t="str">
        <f>IF(Emolumentos!B87="","",Emolumentos!B87)</f>
        <v/>
      </c>
      <c r="AG86" s="20" t="str">
        <f>IF(Emolumentos!C87="","",Emolumentos!C87)</f>
        <v/>
      </c>
      <c r="AH86" s="20" t="str">
        <f>IF(Emolumentos!D87="","",Emolumentos!D87)</f>
        <v/>
      </c>
      <c r="AI86" s="24" t="str">
        <f>IF(Emolumentos!E87="","",Emolumentos!E87)</f>
        <v/>
      </c>
      <c r="AK86" s="14">
        <v>29226.86</v>
      </c>
      <c r="AL86" s="10">
        <v>49042.65</v>
      </c>
      <c r="AM86" s="10" t="str">
        <v>eZ4</v>
      </c>
      <c r="AN86" s="28" t="str">
        <v/>
      </c>
    </row>
    <row r="87" spans="32:40" x14ac:dyDescent="0.25">
      <c r="AF87" s="19" t="str">
        <f>IF(Emolumentos!B88="","",Emolumentos!B88)</f>
        <v/>
      </c>
      <c r="AG87" s="20" t="str">
        <f>IF(Emolumentos!C88="","",Emolumentos!C88)</f>
        <v/>
      </c>
      <c r="AH87" s="20" t="str">
        <f>IF(Emolumentos!D88="","",Emolumentos!D88)</f>
        <v/>
      </c>
      <c r="AI87" s="24" t="str">
        <f>IF(Emolumentos!E88="","",Emolumentos!E88)</f>
        <v/>
      </c>
      <c r="AK87" s="14">
        <v>32599.16</v>
      </c>
      <c r="AL87" s="10">
        <v>54701.38</v>
      </c>
      <c r="AM87" s="10" t="str">
        <v>eZ5</v>
      </c>
      <c r="AN87" s="28" t="str">
        <v/>
      </c>
    </row>
    <row r="88" spans="32:40" x14ac:dyDescent="0.25">
      <c r="AF88" s="19" t="str">
        <f>IF(Emolumentos!B89="","",Emolumentos!B89)</f>
        <v/>
      </c>
      <c r="AG88" s="20" t="str">
        <f>IF(Emolumentos!C89="","",Emolumentos!C89)</f>
        <v/>
      </c>
      <c r="AH88" s="20" t="str">
        <f>IF(Emolumentos!D89="","",Emolumentos!D89)</f>
        <v/>
      </c>
      <c r="AI88" s="24" t="str">
        <f>IF(Emolumentos!E89="","",Emolumentos!E89)</f>
        <v/>
      </c>
      <c r="AK88" s="14">
        <v>35971.54</v>
      </c>
      <c r="AL88" s="10">
        <v>60360.24</v>
      </c>
      <c r="AM88" s="10" t="str">
        <v>eZ6</v>
      </c>
      <c r="AN88" s="28" t="str">
        <v/>
      </c>
    </row>
    <row r="89" spans="32:40" x14ac:dyDescent="0.25">
      <c r="AF89" s="19" t="str">
        <f>IF(Emolumentos!B90="","",Emolumentos!B90)</f>
        <v/>
      </c>
      <c r="AG89" s="20" t="str">
        <f>IF(Emolumentos!C90="","",Emolumentos!C90)</f>
        <v/>
      </c>
      <c r="AH89" s="20" t="str">
        <f>IF(Emolumentos!D90="","",Emolumentos!D90)</f>
        <v/>
      </c>
      <c r="AI89" s="24" t="str">
        <f>IF(Emolumentos!E90="","",Emolumentos!E90)</f>
        <v/>
      </c>
      <c r="AK89" s="14" t="str">
        <v/>
      </c>
      <c r="AL89" s="10" t="str">
        <v/>
      </c>
      <c r="AM89" s="10" t="str">
        <v/>
      </c>
      <c r="AN89" s="28" t="str">
        <v/>
      </c>
    </row>
    <row r="90" spans="32:40" x14ac:dyDescent="0.25">
      <c r="AF90" s="19" t="str">
        <f>IF(Emolumentos!B91="","",Emolumentos!B91)</f>
        <v/>
      </c>
      <c r="AG90" s="20" t="str">
        <f>IF(Emolumentos!C91="","",Emolumentos!C91)</f>
        <v/>
      </c>
      <c r="AH90" s="20" t="str">
        <f>IF(Emolumentos!D91="","",Emolumentos!D91)</f>
        <v/>
      </c>
      <c r="AI90" s="24" t="str">
        <f>IF(Emolumentos!E91="","",Emolumentos!E91)</f>
        <v/>
      </c>
      <c r="AK90" s="14" t="str">
        <v/>
      </c>
      <c r="AL90" s="10" t="str">
        <v/>
      </c>
      <c r="AM90" s="10" t="str">
        <v/>
      </c>
      <c r="AN90" s="28" t="str">
        <v/>
      </c>
    </row>
    <row r="91" spans="32:40" x14ac:dyDescent="0.25">
      <c r="AF91" s="19" t="str">
        <f>IF(Emolumentos!B92="","",Emolumentos!B92)</f>
        <v/>
      </c>
      <c r="AG91" s="20" t="str">
        <f>IF(Emolumentos!C92="","",Emolumentos!C92)</f>
        <v/>
      </c>
      <c r="AH91" s="20" t="str">
        <f>IF(Emolumentos!D92="","",Emolumentos!D92)</f>
        <v/>
      </c>
      <c r="AI91" s="24" t="str">
        <f>IF(Emolumentos!E92="","",Emolumentos!E92)</f>
        <v/>
      </c>
      <c r="AK91" s="14" t="str">
        <v/>
      </c>
      <c r="AL91" s="10" t="str">
        <v/>
      </c>
      <c r="AM91" s="10" t="str">
        <v/>
      </c>
      <c r="AN91" s="28" t="str">
        <v/>
      </c>
    </row>
    <row r="92" spans="32:40" x14ac:dyDescent="0.25">
      <c r="AF92" s="19" t="str">
        <f>IF(Emolumentos!B93="","",Emolumentos!B93)</f>
        <v/>
      </c>
      <c r="AG92" s="20" t="str">
        <f>IF(Emolumentos!C93="","",Emolumentos!C93)</f>
        <v/>
      </c>
      <c r="AH92" s="20" t="str">
        <f>IF(Emolumentos!D93="","",Emolumentos!D93)</f>
        <v/>
      </c>
      <c r="AI92" s="24" t="str">
        <f>IF(Emolumentos!E93="","",Emolumentos!E93)</f>
        <v/>
      </c>
      <c r="AK92" s="14" t="str">
        <v/>
      </c>
      <c r="AL92" s="10" t="str">
        <v/>
      </c>
      <c r="AM92" s="10" t="str">
        <v/>
      </c>
      <c r="AN92" s="28" t="str">
        <v/>
      </c>
    </row>
    <row r="93" spans="32:40" x14ac:dyDescent="0.25">
      <c r="AF93" s="19" t="str">
        <f>IF(Emolumentos!B94="","",Emolumentos!B94)</f>
        <v/>
      </c>
      <c r="AG93" s="20" t="str">
        <f>IF(Emolumentos!C94="","",Emolumentos!C94)</f>
        <v/>
      </c>
      <c r="AH93" s="20" t="str">
        <f>IF(Emolumentos!D94="","",Emolumentos!D94)</f>
        <v/>
      </c>
      <c r="AI93" s="24" t="str">
        <f>IF(Emolumentos!E94="","",Emolumentos!E94)</f>
        <v/>
      </c>
      <c r="AK93" s="14" t="str">
        <v/>
      </c>
      <c r="AL93" s="10" t="str">
        <v/>
      </c>
      <c r="AM93" s="10" t="str">
        <v/>
      </c>
      <c r="AN93" s="28" t="str">
        <v/>
      </c>
    </row>
    <row r="94" spans="32:40" x14ac:dyDescent="0.25">
      <c r="AF94" s="19" t="str">
        <f>IF(Emolumentos!B95="","",Emolumentos!B95)</f>
        <v/>
      </c>
      <c r="AG94" s="20" t="str">
        <f>IF(Emolumentos!C95="","",Emolumentos!C95)</f>
        <v/>
      </c>
      <c r="AH94" s="20" t="str">
        <f>IF(Emolumentos!D95="","",Emolumentos!D95)</f>
        <v/>
      </c>
      <c r="AI94" s="24" t="str">
        <f>IF(Emolumentos!E95="","",Emolumentos!E95)</f>
        <v/>
      </c>
      <c r="AK94" s="14" t="str">
        <v/>
      </c>
      <c r="AL94" s="10" t="str">
        <v/>
      </c>
      <c r="AM94" s="10" t="str">
        <v/>
      </c>
      <c r="AN94" s="28" t="str">
        <v/>
      </c>
    </row>
    <row r="95" spans="32:40" x14ac:dyDescent="0.25">
      <c r="AF95" s="19" t="str">
        <f>IF(Emolumentos!B96="","",Emolumentos!B96)</f>
        <v/>
      </c>
      <c r="AG95" s="20" t="str">
        <f>IF(Emolumentos!C96="","",Emolumentos!C96)</f>
        <v/>
      </c>
      <c r="AH95" s="20" t="str">
        <f>IF(Emolumentos!D96="","",Emolumentos!D96)</f>
        <v/>
      </c>
      <c r="AI95" s="24" t="str">
        <f>IF(Emolumentos!E96="","",Emolumentos!E96)</f>
        <v/>
      </c>
      <c r="AK95" s="14" t="str">
        <v/>
      </c>
      <c r="AL95" s="10" t="str">
        <v/>
      </c>
      <c r="AM95" s="10" t="str">
        <v/>
      </c>
      <c r="AN95" s="28" t="str">
        <v/>
      </c>
    </row>
    <row r="96" spans="32:40" x14ac:dyDescent="0.25">
      <c r="AF96" s="19" t="str">
        <f>IF(Emolumentos!B97="","",Emolumentos!B97)</f>
        <v/>
      </c>
      <c r="AG96" s="20" t="str">
        <f>IF(Emolumentos!C97="","",Emolumentos!C97)</f>
        <v/>
      </c>
      <c r="AH96" s="20" t="str">
        <f>IF(Emolumentos!D97="","",Emolumentos!D97)</f>
        <v/>
      </c>
      <c r="AI96" s="24" t="str">
        <f>IF(Emolumentos!E97="","",Emolumentos!E97)</f>
        <v/>
      </c>
      <c r="AK96" s="14" t="str">
        <v/>
      </c>
      <c r="AL96" s="10" t="str">
        <v/>
      </c>
      <c r="AM96" s="10" t="str">
        <v/>
      </c>
      <c r="AN96" s="28" t="str">
        <v/>
      </c>
    </row>
    <row r="97" spans="32:40" x14ac:dyDescent="0.25">
      <c r="AF97" s="19" t="str">
        <f>IF(Emolumentos!B98="","",Emolumentos!B98)</f>
        <v/>
      </c>
      <c r="AG97" s="20" t="str">
        <f>IF(Emolumentos!C98="","",Emolumentos!C98)</f>
        <v/>
      </c>
      <c r="AH97" s="20" t="str">
        <f>IF(Emolumentos!D98="","",Emolumentos!D98)</f>
        <v/>
      </c>
      <c r="AI97" s="24" t="str">
        <f>IF(Emolumentos!E98="","",Emolumentos!E98)</f>
        <v/>
      </c>
      <c r="AK97" s="14" t="str">
        <v/>
      </c>
      <c r="AL97" s="10" t="str">
        <v/>
      </c>
      <c r="AM97" s="10" t="str">
        <v/>
      </c>
      <c r="AN97" s="28" t="str">
        <v/>
      </c>
    </row>
    <row r="98" spans="32:40" x14ac:dyDescent="0.25">
      <c r="AF98" s="19" t="str">
        <f>IF(Emolumentos!B99="","",Emolumentos!B99)</f>
        <v/>
      </c>
      <c r="AG98" s="20" t="str">
        <f>IF(Emolumentos!C99="","",Emolumentos!C99)</f>
        <v/>
      </c>
      <c r="AH98" s="20" t="str">
        <f>IF(Emolumentos!D99="","",Emolumentos!D99)</f>
        <v/>
      </c>
      <c r="AI98" s="24" t="str">
        <f>IF(Emolumentos!E99="","",Emolumentos!E99)</f>
        <v/>
      </c>
      <c r="AK98" s="14" t="str">
        <v/>
      </c>
      <c r="AL98" s="10" t="str">
        <v/>
      </c>
      <c r="AM98" s="10" t="str">
        <v/>
      </c>
      <c r="AN98" s="28" t="str">
        <v/>
      </c>
    </row>
    <row r="99" spans="32:40" x14ac:dyDescent="0.25">
      <c r="AF99" s="19" t="str">
        <f>IF(Emolumentos!B100="","",Emolumentos!B100)</f>
        <v/>
      </c>
      <c r="AG99" s="20" t="str">
        <f>IF(Emolumentos!C100="","",Emolumentos!C100)</f>
        <v/>
      </c>
      <c r="AH99" s="20" t="str">
        <f>IF(Emolumentos!D100="","",Emolumentos!D100)</f>
        <v/>
      </c>
      <c r="AI99" s="24" t="str">
        <f>IF(Emolumentos!E100="","",Emolumentos!E100)</f>
        <v/>
      </c>
      <c r="AK99" s="14" t="str">
        <v/>
      </c>
      <c r="AL99" s="10" t="str">
        <v/>
      </c>
      <c r="AM99" s="10" t="str">
        <v/>
      </c>
      <c r="AN99" s="28" t="str">
        <v/>
      </c>
    </row>
    <row r="100" spans="32:40" x14ac:dyDescent="0.25">
      <c r="AF100" s="19" t="str">
        <f>IF(Emolumentos!B101="","",Emolumentos!B101)</f>
        <v/>
      </c>
      <c r="AG100" s="20" t="str">
        <f>IF(Emolumentos!C101="","",Emolumentos!C101)</f>
        <v/>
      </c>
      <c r="AH100" s="20" t="str">
        <f>IF(Emolumentos!D101="","",Emolumentos!D101)</f>
        <v/>
      </c>
      <c r="AI100" s="24" t="str">
        <f>IF(Emolumentos!E101="","",Emolumentos!E101)</f>
        <v/>
      </c>
      <c r="AK100" s="14" t="str">
        <v/>
      </c>
      <c r="AL100" s="10" t="str">
        <v/>
      </c>
      <c r="AM100" s="10" t="str">
        <v/>
      </c>
      <c r="AN100" s="28" t="str">
        <v/>
      </c>
    </row>
    <row r="101" spans="32:40" x14ac:dyDescent="0.25">
      <c r="AF101" s="19" t="str">
        <f>IF(Emolumentos!B102="","",Emolumentos!B102)</f>
        <v/>
      </c>
      <c r="AG101" s="20" t="str">
        <f>IF(Emolumentos!C102="","",Emolumentos!C102)</f>
        <v/>
      </c>
      <c r="AH101" s="20" t="str">
        <f>IF(Emolumentos!D102="","",Emolumentos!D102)</f>
        <v/>
      </c>
      <c r="AI101" s="24" t="str">
        <f>IF(Emolumentos!E102="","",Emolumentos!E102)</f>
        <v/>
      </c>
      <c r="AK101" s="14" t="str">
        <v/>
      </c>
      <c r="AL101" s="10" t="str">
        <v/>
      </c>
      <c r="AM101" s="10" t="str">
        <v/>
      </c>
      <c r="AN101" s="28" t="str">
        <v/>
      </c>
    </row>
    <row r="102" spans="32:40" x14ac:dyDescent="0.25">
      <c r="AF102" s="19" t="str">
        <f>IF(Emolumentos!B103="","",Emolumentos!B103)</f>
        <v/>
      </c>
      <c r="AG102" s="20" t="str">
        <f>IF(Emolumentos!C103="","",Emolumentos!C103)</f>
        <v/>
      </c>
      <c r="AH102" s="20" t="str">
        <f>IF(Emolumentos!D103="","",Emolumentos!D103)</f>
        <v/>
      </c>
      <c r="AI102" s="24" t="str">
        <f>IF(Emolumentos!E103="","",Emolumentos!E103)</f>
        <v/>
      </c>
      <c r="AK102" s="14" t="str">
        <v/>
      </c>
      <c r="AL102" s="10" t="str">
        <v/>
      </c>
      <c r="AM102" s="10" t="str">
        <v/>
      </c>
      <c r="AN102" s="28" t="str">
        <v/>
      </c>
    </row>
    <row r="103" spans="32:40" x14ac:dyDescent="0.25">
      <c r="AF103" s="19" t="str">
        <f>IF(Emolumentos!B104="","",Emolumentos!B104)</f>
        <v/>
      </c>
      <c r="AG103" s="20" t="str">
        <f>IF(Emolumentos!C104="","",Emolumentos!C104)</f>
        <v/>
      </c>
      <c r="AH103" s="20" t="str">
        <f>IF(Emolumentos!D104="","",Emolumentos!D104)</f>
        <v/>
      </c>
      <c r="AI103" s="24" t="str">
        <f>IF(Emolumentos!E104="","",Emolumentos!E104)</f>
        <v/>
      </c>
      <c r="AK103" s="14" t="str">
        <v/>
      </c>
      <c r="AL103" s="10" t="str">
        <v/>
      </c>
      <c r="AM103" s="10" t="str">
        <v/>
      </c>
      <c r="AN103" s="28" t="str">
        <v/>
      </c>
    </row>
    <row r="104" spans="32:40" x14ac:dyDescent="0.25">
      <c r="AF104" s="19" t="str">
        <f>IF(Emolumentos!B105="","",Emolumentos!B105)</f>
        <v/>
      </c>
      <c r="AG104" s="20" t="str">
        <f>IF(Emolumentos!C105="","",Emolumentos!C105)</f>
        <v/>
      </c>
      <c r="AH104" s="20" t="str">
        <f>IF(Emolumentos!D105="","",Emolumentos!D105)</f>
        <v/>
      </c>
      <c r="AI104" s="24" t="str">
        <f>IF(Emolumentos!E105="","",Emolumentos!E105)</f>
        <v/>
      </c>
      <c r="AK104" s="14" t="str">
        <v/>
      </c>
      <c r="AL104" s="10" t="str">
        <v/>
      </c>
      <c r="AM104" s="10" t="str">
        <v/>
      </c>
      <c r="AN104" s="28" t="str">
        <v/>
      </c>
    </row>
    <row r="105" spans="32:40" x14ac:dyDescent="0.25">
      <c r="AF105" s="19" t="str">
        <f>IF(Emolumentos!B106="","",Emolumentos!B106)</f>
        <v/>
      </c>
      <c r="AG105" s="20" t="str">
        <f>IF(Emolumentos!C106="","",Emolumentos!C106)</f>
        <v/>
      </c>
      <c r="AH105" s="20" t="str">
        <f>IF(Emolumentos!D106="","",Emolumentos!D106)</f>
        <v/>
      </c>
      <c r="AI105" s="24" t="str">
        <f>IF(Emolumentos!E106="","",Emolumentos!E106)</f>
        <v/>
      </c>
      <c r="AK105" s="14" t="str">
        <v/>
      </c>
      <c r="AL105" s="10" t="str">
        <v/>
      </c>
      <c r="AM105" s="10" t="str">
        <v/>
      </c>
      <c r="AN105" s="28" t="str">
        <v/>
      </c>
    </row>
    <row r="106" spans="32:40" x14ac:dyDescent="0.25">
      <c r="AF106" s="19" t="str">
        <f>IF(Emolumentos!B107="","",Emolumentos!B107)</f>
        <v/>
      </c>
      <c r="AG106" s="20" t="str">
        <f>IF(Emolumentos!C107="","",Emolumentos!C107)</f>
        <v/>
      </c>
      <c r="AH106" s="20" t="str">
        <f>IF(Emolumentos!D107="","",Emolumentos!D107)</f>
        <v/>
      </c>
      <c r="AI106" s="24" t="str">
        <f>IF(Emolumentos!E107="","",Emolumentos!E107)</f>
        <v/>
      </c>
      <c r="AK106" s="14" t="str">
        <v/>
      </c>
      <c r="AL106" s="10" t="str">
        <v/>
      </c>
      <c r="AM106" s="10" t="str">
        <v/>
      </c>
      <c r="AN106" s="28" t="str">
        <v/>
      </c>
    </row>
    <row r="107" spans="32:40" x14ac:dyDescent="0.25">
      <c r="AF107" s="19" t="str">
        <f>IF(Emolumentos!B108="","",Emolumentos!B108)</f>
        <v/>
      </c>
      <c r="AG107" s="20" t="str">
        <f>IF(Emolumentos!C108="","",Emolumentos!C108)</f>
        <v/>
      </c>
      <c r="AH107" s="20" t="str">
        <f>IF(Emolumentos!D108="","",Emolumentos!D108)</f>
        <v/>
      </c>
      <c r="AI107" s="24" t="str">
        <f>IF(Emolumentos!E108="","",Emolumentos!E108)</f>
        <v/>
      </c>
      <c r="AK107" s="14" t="str">
        <v/>
      </c>
      <c r="AL107" s="10" t="str">
        <v/>
      </c>
      <c r="AM107" s="10" t="str">
        <v/>
      </c>
      <c r="AN107" s="28" t="str">
        <v/>
      </c>
    </row>
    <row r="108" spans="32:40" x14ac:dyDescent="0.25">
      <c r="AF108" s="19" t="str">
        <f>IF(Emolumentos!B109="","",Emolumentos!B109)</f>
        <v/>
      </c>
      <c r="AG108" s="20" t="str">
        <f>IF(Emolumentos!C109="","",Emolumentos!C109)</f>
        <v/>
      </c>
      <c r="AH108" s="20" t="str">
        <f>IF(Emolumentos!D109="","",Emolumentos!D109)</f>
        <v/>
      </c>
      <c r="AI108" s="24" t="str">
        <f>IF(Emolumentos!E109="","",Emolumentos!E109)</f>
        <v/>
      </c>
      <c r="AK108" s="14" t="str">
        <v/>
      </c>
      <c r="AL108" s="10" t="str">
        <v/>
      </c>
      <c r="AM108" s="10" t="str">
        <v/>
      </c>
      <c r="AN108" s="28" t="str">
        <v/>
      </c>
    </row>
    <row r="109" spans="32:40" x14ac:dyDescent="0.25">
      <c r="AF109" s="19" t="str">
        <f>IF(Emolumentos!B110="","",Emolumentos!B110)</f>
        <v/>
      </c>
      <c r="AG109" s="20" t="str">
        <f>IF(Emolumentos!C110="","",Emolumentos!C110)</f>
        <v/>
      </c>
      <c r="AH109" s="20" t="str">
        <f>IF(Emolumentos!D110="","",Emolumentos!D110)</f>
        <v/>
      </c>
      <c r="AI109" s="24" t="str">
        <f>IF(Emolumentos!E110="","",Emolumentos!E110)</f>
        <v/>
      </c>
      <c r="AK109" s="14" t="str">
        <v/>
      </c>
      <c r="AL109" s="10" t="str">
        <v/>
      </c>
      <c r="AM109" s="10" t="str">
        <v/>
      </c>
      <c r="AN109" s="28" t="str">
        <v/>
      </c>
    </row>
    <row r="110" spans="32:40" x14ac:dyDescent="0.25">
      <c r="AF110" s="19" t="str">
        <f>IF(Emolumentos!B111="","",Emolumentos!B111)</f>
        <v/>
      </c>
      <c r="AG110" s="20" t="str">
        <f>IF(Emolumentos!C111="","",Emolumentos!C111)</f>
        <v/>
      </c>
      <c r="AH110" s="20" t="str">
        <f>IF(Emolumentos!D111="","",Emolumentos!D111)</f>
        <v/>
      </c>
      <c r="AI110" s="24" t="str">
        <f>IF(Emolumentos!E111="","",Emolumentos!E111)</f>
        <v/>
      </c>
      <c r="AK110" s="14" t="str">
        <v/>
      </c>
      <c r="AL110" s="10" t="str">
        <v/>
      </c>
      <c r="AM110" s="10" t="str">
        <v/>
      </c>
      <c r="AN110" s="28" t="str">
        <v/>
      </c>
    </row>
    <row r="111" spans="32:40" x14ac:dyDescent="0.25">
      <c r="AF111" s="19" t="str">
        <f>IF(Emolumentos!B112="","",Emolumentos!B112)</f>
        <v/>
      </c>
      <c r="AG111" s="20" t="str">
        <f>IF(Emolumentos!C112="","",Emolumentos!C112)</f>
        <v/>
      </c>
      <c r="AH111" s="20" t="str">
        <f>IF(Emolumentos!D112="","",Emolumentos!D112)</f>
        <v/>
      </c>
      <c r="AI111" s="24" t="str">
        <f>IF(Emolumentos!E112="","",Emolumentos!E112)</f>
        <v/>
      </c>
      <c r="AK111" s="14" t="str">
        <v/>
      </c>
      <c r="AL111" s="10" t="str">
        <v/>
      </c>
      <c r="AM111" s="10" t="str">
        <v/>
      </c>
      <c r="AN111" s="28" t="str">
        <v/>
      </c>
    </row>
    <row r="112" spans="32:40" x14ac:dyDescent="0.25">
      <c r="AF112" s="19" t="str">
        <f>IF(Emolumentos!B113="","",Emolumentos!B113)</f>
        <v/>
      </c>
      <c r="AG112" s="20" t="str">
        <f>IF(Emolumentos!C113="","",Emolumentos!C113)</f>
        <v/>
      </c>
      <c r="AH112" s="20" t="str">
        <f>IF(Emolumentos!D113="","",Emolumentos!D113)</f>
        <v/>
      </c>
      <c r="AI112" s="24" t="str">
        <f>IF(Emolumentos!E113="","",Emolumentos!E113)</f>
        <v/>
      </c>
      <c r="AK112" s="14" t="str">
        <v/>
      </c>
      <c r="AL112" s="10" t="str">
        <v/>
      </c>
      <c r="AM112" s="10" t="str">
        <v/>
      </c>
      <c r="AN112" s="28" t="str">
        <v/>
      </c>
    </row>
    <row r="113" spans="32:40" x14ac:dyDescent="0.25">
      <c r="AF113" s="19" t="str">
        <f>IF(Emolumentos!B114="","",Emolumentos!B114)</f>
        <v/>
      </c>
      <c r="AG113" s="20" t="str">
        <f>IF(Emolumentos!C114="","",Emolumentos!C114)</f>
        <v/>
      </c>
      <c r="AH113" s="20" t="str">
        <f>IF(Emolumentos!D114="","",Emolumentos!D114)</f>
        <v/>
      </c>
      <c r="AI113" s="24" t="str">
        <f>IF(Emolumentos!E114="","",Emolumentos!E114)</f>
        <v/>
      </c>
      <c r="AK113" s="14" t="str">
        <v/>
      </c>
      <c r="AL113" s="10" t="str">
        <v/>
      </c>
      <c r="AM113" s="10" t="str">
        <v/>
      </c>
      <c r="AN113" s="28" t="str">
        <v/>
      </c>
    </row>
    <row r="114" spans="32:40" x14ac:dyDescent="0.25">
      <c r="AF114" s="19" t="str">
        <f>IF(Emolumentos!B115="","",Emolumentos!B115)</f>
        <v/>
      </c>
      <c r="AG114" s="20" t="str">
        <f>IF(Emolumentos!C115="","",Emolumentos!C115)</f>
        <v/>
      </c>
      <c r="AH114" s="20" t="str">
        <f>IF(Emolumentos!D115="","",Emolumentos!D115)</f>
        <v/>
      </c>
      <c r="AI114" s="24" t="str">
        <f>IF(Emolumentos!E115="","",Emolumentos!E115)</f>
        <v/>
      </c>
      <c r="AK114" s="14" t="str">
        <v/>
      </c>
      <c r="AL114" s="10" t="str">
        <v/>
      </c>
      <c r="AM114" s="10" t="str">
        <v/>
      </c>
      <c r="AN114" s="28" t="str">
        <v/>
      </c>
    </row>
    <row r="115" spans="32:40" x14ac:dyDescent="0.25">
      <c r="AF115" s="19" t="str">
        <f>IF(Emolumentos!B116="","",Emolumentos!B116)</f>
        <v/>
      </c>
      <c r="AG115" s="20" t="str">
        <f>IF(Emolumentos!C116="","",Emolumentos!C116)</f>
        <v/>
      </c>
      <c r="AH115" s="20" t="str">
        <f>IF(Emolumentos!D116="","",Emolumentos!D116)</f>
        <v/>
      </c>
      <c r="AI115" s="24" t="str">
        <f>IF(Emolumentos!E116="","",Emolumentos!E116)</f>
        <v/>
      </c>
      <c r="AK115" s="14" t="str">
        <v/>
      </c>
      <c r="AL115" s="10" t="str">
        <v/>
      </c>
      <c r="AM115" s="10" t="str">
        <v/>
      </c>
      <c r="AN115" s="28" t="str">
        <v/>
      </c>
    </row>
    <row r="116" spans="32:40" x14ac:dyDescent="0.25">
      <c r="AF116" s="19" t="str">
        <f>IF(Emolumentos!B117="","",Emolumentos!B117)</f>
        <v/>
      </c>
      <c r="AG116" s="20" t="str">
        <f>IF(Emolumentos!C117="","",Emolumentos!C117)</f>
        <v/>
      </c>
      <c r="AH116" s="20" t="str">
        <f>IF(Emolumentos!D117="","",Emolumentos!D117)</f>
        <v/>
      </c>
      <c r="AI116" s="24" t="str">
        <f>IF(Emolumentos!E117="","",Emolumentos!E117)</f>
        <v/>
      </c>
      <c r="AK116" s="14" t="str">
        <v/>
      </c>
      <c r="AL116" s="10" t="str">
        <v/>
      </c>
      <c r="AM116" s="10" t="str">
        <v/>
      </c>
      <c r="AN116" s="28" t="str">
        <v/>
      </c>
    </row>
    <row r="117" spans="32:40" x14ac:dyDescent="0.25">
      <c r="AF117" s="19" t="str">
        <f>IF(Emolumentos!B118="","",Emolumentos!B118)</f>
        <v/>
      </c>
      <c r="AG117" s="20" t="str">
        <f>IF(Emolumentos!C118="","",Emolumentos!C118)</f>
        <v/>
      </c>
      <c r="AH117" s="20" t="str">
        <f>IF(Emolumentos!D118="","",Emolumentos!D118)</f>
        <v/>
      </c>
      <c r="AI117" s="24" t="str">
        <f>IF(Emolumentos!E118="","",Emolumentos!E118)</f>
        <v/>
      </c>
      <c r="AK117" s="14" t="str">
        <v/>
      </c>
      <c r="AL117" s="10" t="str">
        <v/>
      </c>
      <c r="AM117" s="10" t="str">
        <v/>
      </c>
      <c r="AN117" s="28" t="str">
        <v/>
      </c>
    </row>
    <row r="118" spans="32:40" x14ac:dyDescent="0.25">
      <c r="AF118" s="19" t="str">
        <f>IF(Emolumentos!B119="","",Emolumentos!B119)</f>
        <v/>
      </c>
      <c r="AG118" s="20" t="str">
        <f>IF(Emolumentos!C119="","",Emolumentos!C119)</f>
        <v/>
      </c>
      <c r="AH118" s="20" t="str">
        <f>IF(Emolumentos!D119="","",Emolumentos!D119)</f>
        <v/>
      </c>
      <c r="AI118" s="24" t="str">
        <f>IF(Emolumentos!E119="","",Emolumentos!E119)</f>
        <v/>
      </c>
      <c r="AK118" s="14" t="str">
        <v/>
      </c>
      <c r="AL118" s="10" t="str">
        <v/>
      </c>
      <c r="AM118" s="10" t="str">
        <v/>
      </c>
      <c r="AN118" s="28" t="str">
        <v/>
      </c>
    </row>
    <row r="119" spans="32:40" x14ac:dyDescent="0.25">
      <c r="AF119" s="19" t="str">
        <f>IF(Emolumentos!B120="","",Emolumentos!B120)</f>
        <v/>
      </c>
      <c r="AG119" s="20" t="str">
        <f>IF(Emolumentos!C120="","",Emolumentos!C120)</f>
        <v/>
      </c>
      <c r="AH119" s="20" t="str">
        <f>IF(Emolumentos!D120="","",Emolumentos!D120)</f>
        <v/>
      </c>
      <c r="AI119" s="24" t="str">
        <f>IF(Emolumentos!E120="","",Emolumentos!E120)</f>
        <v/>
      </c>
      <c r="AK119" s="14" t="str">
        <v/>
      </c>
      <c r="AL119" s="10" t="str">
        <v/>
      </c>
      <c r="AM119" s="10" t="str">
        <v/>
      </c>
      <c r="AN119" s="28" t="str">
        <v/>
      </c>
    </row>
    <row r="120" spans="32:40" x14ac:dyDescent="0.25">
      <c r="AF120" s="21" t="str">
        <f>IF(Emolumentos!B121="","",Emolumentos!B121)</f>
        <v/>
      </c>
      <c r="AG120" s="22" t="str">
        <f>IF(Emolumentos!C121="","",Emolumentos!C121)</f>
        <v/>
      </c>
      <c r="AH120" s="22" t="str">
        <f>IF(Emolumentos!D121="","",Emolumentos!D121)</f>
        <v/>
      </c>
      <c r="AI120" s="25" t="str">
        <f>IF(Emolumentos!E121="","",Emolumentos!E121)</f>
        <v/>
      </c>
      <c r="AK120" s="14" t="str">
        <v/>
      </c>
      <c r="AL120" s="10" t="str">
        <v/>
      </c>
      <c r="AM120" s="10" t="str">
        <v/>
      </c>
      <c r="AN120" s="28" t="str">
        <v/>
      </c>
    </row>
    <row r="121" spans="32:40" x14ac:dyDescent="0.25">
      <c r="AF121" s="19">
        <f>IF(Emolumentos!G4="","",Emolumentos!G4)</f>
        <v>67.459999999999994</v>
      </c>
      <c r="AG121" s="20">
        <f>IF(Emolumentos!H4="","",Emolumentos!H4)</f>
        <v>113.19</v>
      </c>
      <c r="AH121" s="20" t="str">
        <f>IF(Emolumentos!I4="","",Emolumentos!I4)</f>
        <v>p</v>
      </c>
      <c r="AI121" s="24" t="str">
        <f>IF(Emolumentos!J4="","",Emolumentos!J4)</f>
        <v>até 4 outorgantes - Foro em geral</v>
      </c>
      <c r="AK121" s="14" t="str">
        <v/>
      </c>
      <c r="AL121" s="10" t="str">
        <v/>
      </c>
      <c r="AM121" s="10" t="str">
        <v/>
      </c>
      <c r="AN121" s="29" t="str">
        <v/>
      </c>
    </row>
    <row r="122" spans="32:40" x14ac:dyDescent="0.25">
      <c r="AF122" s="19">
        <f>IF(Emolumentos!G5="","",Emolumentos!G5)</f>
        <v>84.32</v>
      </c>
      <c r="AG122" s="20">
        <f>IF(Emolumentos!H5="","",Emolumentos!H5)</f>
        <v>141.47</v>
      </c>
      <c r="AH122" s="20" t="str">
        <f>IF(Emolumentos!I5="","",Emolumentos!I5)</f>
        <v>p</v>
      </c>
      <c r="AI122" s="24" t="str">
        <f>IF(Emolumentos!J5="","",Emolumentos!J5)</f>
        <v>5 outorgantes</v>
      </c>
      <c r="AK122" s="14" t="str">
        <v/>
      </c>
      <c r="AL122" s="10" t="str">
        <v/>
      </c>
      <c r="AM122" s="10" t="str">
        <v/>
      </c>
      <c r="AN122" s="29" t="str">
        <v/>
      </c>
    </row>
    <row r="123" spans="32:40" x14ac:dyDescent="0.25">
      <c r="AF123" s="19">
        <f>IF(Emolumentos!G6="","",Emolumentos!G6)</f>
        <v>101.88</v>
      </c>
      <c r="AG123" s="20">
        <f>IF(Emolumentos!H6="","",Emolumentos!H6)</f>
        <v>169.75</v>
      </c>
      <c r="AH123" s="20" t="str">
        <f>IF(Emolumentos!I6="","",Emolumentos!I6)</f>
        <v>p</v>
      </c>
      <c r="AI123" s="24" t="str">
        <f>IF(Emolumentos!J6="","",Emolumentos!J6)</f>
        <v>6 outorgantes</v>
      </c>
      <c r="AK123" s="14" t="str">
        <v/>
      </c>
      <c r="AL123" s="10" t="str">
        <v/>
      </c>
      <c r="AM123" s="10" t="str">
        <v/>
      </c>
      <c r="AN123" s="29" t="str">
        <v/>
      </c>
    </row>
    <row r="124" spans="32:40" x14ac:dyDescent="0.25">
      <c r="AF124" s="19">
        <f>IF(Emolumentos!G7="","",Emolumentos!G7)</f>
        <v>118.74</v>
      </c>
      <c r="AG124" s="20">
        <f>IF(Emolumentos!H7="","",Emolumentos!H7)</f>
        <v>198.03</v>
      </c>
      <c r="AH124" s="20" t="str">
        <f>IF(Emolumentos!I7="","",Emolumentos!I7)</f>
        <v>p</v>
      </c>
      <c r="AI124" s="24" t="str">
        <f>IF(Emolumentos!J7="","",Emolumentos!J7)</f>
        <v>7 outorgantes</v>
      </c>
      <c r="AK124" s="14" t="str">
        <v/>
      </c>
      <c r="AL124" s="10" t="str">
        <v/>
      </c>
      <c r="AM124" s="10" t="str">
        <v/>
      </c>
      <c r="AN124" s="29" t="str">
        <v/>
      </c>
    </row>
    <row r="125" spans="32:40" x14ac:dyDescent="0.25">
      <c r="AF125" s="19">
        <f>IF(Emolumentos!G8="","",Emolumentos!G8)</f>
        <v>135.6</v>
      </c>
      <c r="AG125" s="20">
        <f>IF(Emolumentos!H8="","",Emolumentos!H8)</f>
        <v>226.31</v>
      </c>
      <c r="AH125" s="20" t="str">
        <f>IF(Emolumentos!I8="","",Emolumentos!I8)</f>
        <v>p</v>
      </c>
      <c r="AI125" s="24" t="str">
        <f>IF(Emolumentos!J8="","",Emolumentos!J8)</f>
        <v>8 outorgantes</v>
      </c>
      <c r="AK125" s="14" t="str">
        <v/>
      </c>
      <c r="AL125" s="10" t="str">
        <v/>
      </c>
      <c r="AM125" s="10" t="str">
        <v/>
      </c>
      <c r="AN125" s="29" t="str">
        <v/>
      </c>
    </row>
    <row r="126" spans="32:40" x14ac:dyDescent="0.25">
      <c r="AF126" s="19">
        <f>IF(Emolumentos!G9="","",Emolumentos!G9)</f>
        <v>33.700000000000003</v>
      </c>
      <c r="AG126" s="20">
        <f>IF(Emolumentos!H9="","",Emolumentos!H9)</f>
        <v>56.54</v>
      </c>
      <c r="AH126" s="20" t="str">
        <f>IF(Emolumentos!I9="","",Emolumentos!I9)</f>
        <v>p</v>
      </c>
      <c r="AI126" s="24" t="str">
        <f>IF(Emolumentos!J9="","",Emolumentos!J9)</f>
        <v>tratando-se de outorgante analfabeto</v>
      </c>
      <c r="AK126" s="14" t="str">
        <v/>
      </c>
      <c r="AL126" s="10" t="str">
        <v/>
      </c>
      <c r="AM126" s="10" t="str">
        <v/>
      </c>
      <c r="AN126" s="29" t="str">
        <v/>
      </c>
    </row>
    <row r="127" spans="32:40" x14ac:dyDescent="0.25">
      <c r="AF127" s="19" t="str">
        <f>IF(Emolumentos!G10="","",Emolumentos!G10)</f>
        <v/>
      </c>
      <c r="AG127" s="20" t="str">
        <f>IF(Emolumentos!H10="","",Emolumentos!H10)</f>
        <v/>
      </c>
      <c r="AH127" s="20" t="str">
        <f>IF(Emolumentos!I10="","",Emolumentos!I10)</f>
        <v/>
      </c>
      <c r="AI127" s="24" t="str">
        <f>IF(Emolumentos!J10="","",Emolumentos!J10)</f>
        <v/>
      </c>
      <c r="AK127" s="14" t="str">
        <v/>
      </c>
      <c r="AL127" s="10" t="str">
        <v/>
      </c>
      <c r="AM127" s="10" t="str">
        <v/>
      </c>
      <c r="AN127" s="29" t="str">
        <v/>
      </c>
    </row>
    <row r="128" spans="32:40" x14ac:dyDescent="0.25">
      <c r="AF128" s="19">
        <f>IF(Emolumentos!G11="","",Emolumentos!G11)</f>
        <v>89.96</v>
      </c>
      <c r="AG128" s="20">
        <f>IF(Emolumentos!H11="","",Emolumentos!H11)</f>
        <v>150.91999999999999</v>
      </c>
      <c r="AH128" s="20" t="str">
        <f>IF(Emolumentos!I11="","",Emolumentos!I11)</f>
        <v>pS</v>
      </c>
      <c r="AI128" s="24" t="str">
        <f>IF(Emolumentos!J11="","",Emolumentos!J11)</f>
        <v>até 4 outorgantes - Sem valor econômico</v>
      </c>
      <c r="AK128" s="14" t="str">
        <v/>
      </c>
      <c r="AL128" s="10" t="str">
        <v/>
      </c>
      <c r="AM128" s="10" t="str">
        <v/>
      </c>
      <c r="AN128" s="29" t="str">
        <v/>
      </c>
    </row>
    <row r="129" spans="32:40" x14ac:dyDescent="0.25">
      <c r="AF129" s="19">
        <f>IF(Emolumentos!G12="","",Emolumentos!G12)</f>
        <v>112.47</v>
      </c>
      <c r="AG129" s="20">
        <f>IF(Emolumentos!H12="","",Emolumentos!H12)</f>
        <v>188.69</v>
      </c>
      <c r="AH129" s="20" t="str">
        <f>IF(Emolumentos!I12="","",Emolumentos!I12)</f>
        <v>pS</v>
      </c>
      <c r="AI129" s="24" t="str">
        <f>IF(Emolumentos!J12="","",Emolumentos!J12)</f>
        <v>5 outorgantes</v>
      </c>
      <c r="AK129" s="14" t="str">
        <v/>
      </c>
      <c r="AL129" s="10" t="str">
        <v/>
      </c>
      <c r="AM129" s="10" t="str">
        <v/>
      </c>
      <c r="AN129" s="29" t="str">
        <v/>
      </c>
    </row>
    <row r="130" spans="32:40" x14ac:dyDescent="0.25">
      <c r="AF130" s="19">
        <f>IF(Emolumentos!G13="","",Emolumentos!G13)</f>
        <v>134.97999999999999</v>
      </c>
      <c r="AG130" s="20">
        <f>IF(Emolumentos!H13="","",Emolumentos!H13)</f>
        <v>226.46</v>
      </c>
      <c r="AH130" s="20" t="str">
        <f>IF(Emolumentos!I13="","",Emolumentos!I13)</f>
        <v>pS</v>
      </c>
      <c r="AI130" s="24" t="str">
        <f>IF(Emolumentos!J13="","",Emolumentos!J13)</f>
        <v>6 outorgantes</v>
      </c>
      <c r="AK130" s="14" t="str">
        <v/>
      </c>
      <c r="AL130" s="10" t="str">
        <v/>
      </c>
      <c r="AM130" s="10" t="str">
        <v/>
      </c>
      <c r="AN130" s="29" t="str">
        <v/>
      </c>
    </row>
    <row r="131" spans="32:40" x14ac:dyDescent="0.25">
      <c r="AF131" s="19">
        <f>IF(Emolumentos!G14="","",Emolumentos!G14)</f>
        <v>157.49</v>
      </c>
      <c r="AG131" s="20">
        <f>IF(Emolumentos!H14="","",Emolumentos!H14)</f>
        <v>264.23</v>
      </c>
      <c r="AH131" s="20" t="str">
        <f>IF(Emolumentos!I14="","",Emolumentos!I14)</f>
        <v>pS</v>
      </c>
      <c r="AI131" s="24" t="str">
        <f>IF(Emolumentos!J14="","",Emolumentos!J14)</f>
        <v>7 outorgantes</v>
      </c>
      <c r="AK131" s="14" t="str">
        <v/>
      </c>
      <c r="AL131" s="10" t="str">
        <v/>
      </c>
      <c r="AM131" s="10" t="str">
        <v/>
      </c>
      <c r="AN131" s="29" t="str">
        <v/>
      </c>
    </row>
    <row r="132" spans="32:40" x14ac:dyDescent="0.25">
      <c r="AF132" s="19">
        <f>IF(Emolumentos!G15="","",Emolumentos!G15)</f>
        <v>180</v>
      </c>
      <c r="AG132" s="20">
        <f>IF(Emolumentos!H15="","",Emolumentos!H15)</f>
        <v>302</v>
      </c>
      <c r="AH132" s="20" t="str">
        <f>IF(Emolumentos!I15="","",Emolumentos!I15)</f>
        <v>pS</v>
      </c>
      <c r="AI132" s="24" t="str">
        <f>IF(Emolumentos!J15="","",Emolumentos!J15)</f>
        <v>8 outorgantes</v>
      </c>
      <c r="AK132" s="14" t="str">
        <v/>
      </c>
      <c r="AL132" s="10" t="str">
        <v/>
      </c>
      <c r="AM132" s="10" t="str">
        <v/>
      </c>
      <c r="AN132" s="29" t="str">
        <v/>
      </c>
    </row>
    <row r="133" spans="32:40" x14ac:dyDescent="0.25">
      <c r="AF133" s="19" t="str">
        <f>IF(Emolumentos!G16="","",Emolumentos!G16)</f>
        <v/>
      </c>
      <c r="AG133" s="20" t="str">
        <f>IF(Emolumentos!H16="","",Emolumentos!H16)</f>
        <v/>
      </c>
      <c r="AH133" s="20" t="str">
        <f>IF(Emolumentos!I16="","",Emolumentos!I16)</f>
        <v/>
      </c>
      <c r="AI133" s="24" t="str">
        <f>IF(Emolumentos!J16="","",Emolumentos!J16)</f>
        <v/>
      </c>
      <c r="AK133" s="14" t="str">
        <v/>
      </c>
      <c r="AL133" s="10" t="str">
        <v/>
      </c>
      <c r="AM133" s="10" t="str">
        <v/>
      </c>
      <c r="AN133" s="29" t="str">
        <v/>
      </c>
    </row>
    <row r="134" spans="32:40" x14ac:dyDescent="0.25">
      <c r="AF134" s="19">
        <f>IF(Emolumentos!G17="","",Emolumentos!G17)</f>
        <v>179.86</v>
      </c>
      <c r="AG134" s="20">
        <f>IF(Emolumentos!H17="","",Emolumentos!H17)</f>
        <v>301.79000000000002</v>
      </c>
      <c r="AH134" s="20" t="str">
        <f>IF(Emolumentos!I17="","",Emolumentos!I17)</f>
        <v>pV</v>
      </c>
      <c r="AI134" s="24" t="str">
        <f>IF(Emolumentos!J17="","",Emolumentos!J17)</f>
        <v>até 4 outorgantes - Com valor econômico</v>
      </c>
      <c r="AK134" s="14" t="str">
        <v/>
      </c>
      <c r="AL134" s="10" t="str">
        <v/>
      </c>
      <c r="AM134" s="10" t="str">
        <v/>
      </c>
      <c r="AN134" s="29" t="str">
        <v/>
      </c>
    </row>
    <row r="135" spans="32:40" x14ac:dyDescent="0.25">
      <c r="AF135" s="19">
        <f>IF(Emolumentos!G18="","",Emolumentos!G18)</f>
        <v>224.81</v>
      </c>
      <c r="AG135" s="20">
        <f>IF(Emolumentos!H18="","",Emolumentos!H18)</f>
        <v>377.22</v>
      </c>
      <c r="AH135" s="20" t="str">
        <f>IF(Emolumentos!I18="","",Emolumentos!I18)</f>
        <v>pV</v>
      </c>
      <c r="AI135" s="24" t="str">
        <f>IF(Emolumentos!J18="","",Emolumentos!J18)</f>
        <v>5 outorgantes</v>
      </c>
      <c r="AK135" s="14" t="str">
        <v/>
      </c>
      <c r="AL135" s="10" t="str">
        <v/>
      </c>
      <c r="AM135" s="10" t="str">
        <v/>
      </c>
      <c r="AN135" s="29" t="str">
        <v/>
      </c>
    </row>
    <row r="136" spans="32:40" x14ac:dyDescent="0.25">
      <c r="AF136" s="19">
        <f>IF(Emolumentos!G19="","",Emolumentos!G19)</f>
        <v>269.76</v>
      </c>
      <c r="AG136" s="20">
        <f>IF(Emolumentos!H19="","",Emolumentos!H19)</f>
        <v>452.65</v>
      </c>
      <c r="AH136" s="20" t="str">
        <f>IF(Emolumentos!I19="","",Emolumentos!I19)</f>
        <v>pV</v>
      </c>
      <c r="AI136" s="24" t="str">
        <f>IF(Emolumentos!J19="","",Emolumentos!J19)</f>
        <v>6 outorgantes</v>
      </c>
      <c r="AK136" s="14" t="str">
        <v/>
      </c>
      <c r="AL136" s="10" t="str">
        <v/>
      </c>
      <c r="AM136" s="10" t="str">
        <v/>
      </c>
      <c r="AN136" s="29" t="str">
        <v/>
      </c>
    </row>
    <row r="137" spans="32:40" x14ac:dyDescent="0.25">
      <c r="AF137" s="19">
        <f>IF(Emolumentos!G20="","",Emolumentos!G20)</f>
        <v>314.70999999999998</v>
      </c>
      <c r="AG137" s="20">
        <f>IF(Emolumentos!H20="","",Emolumentos!H20)</f>
        <v>528.08000000000004</v>
      </c>
      <c r="AH137" s="20" t="str">
        <f>IF(Emolumentos!I20="","",Emolumentos!I20)</f>
        <v>pV</v>
      </c>
      <c r="AI137" s="24" t="str">
        <f>IF(Emolumentos!J20="","",Emolumentos!J20)</f>
        <v>7 outorgantes</v>
      </c>
      <c r="AK137" s="14" t="str">
        <v/>
      </c>
      <c r="AL137" s="10" t="str">
        <v/>
      </c>
      <c r="AM137" s="10" t="str">
        <v/>
      </c>
      <c r="AN137" s="29" t="str">
        <v/>
      </c>
    </row>
    <row r="138" spans="32:40" x14ac:dyDescent="0.25">
      <c r="AF138" s="19">
        <f>IF(Emolumentos!G21="","",Emolumentos!G21)</f>
        <v>359.66</v>
      </c>
      <c r="AG138" s="20">
        <f>IF(Emolumentos!H21="","",Emolumentos!H21)</f>
        <v>603.51</v>
      </c>
      <c r="AH138" s="20" t="str">
        <f>IF(Emolumentos!I21="","",Emolumentos!I21)</f>
        <v>pV</v>
      </c>
      <c r="AI138" s="24" t="str">
        <f>IF(Emolumentos!J21="","",Emolumentos!J21)</f>
        <v>8 outorgantes</v>
      </c>
      <c r="AK138" s="14" t="str">
        <v/>
      </c>
      <c r="AL138" s="10" t="str">
        <v/>
      </c>
      <c r="AM138" s="10" t="str">
        <v/>
      </c>
      <c r="AN138" s="29" t="str">
        <v/>
      </c>
    </row>
    <row r="139" spans="32:40" x14ac:dyDescent="0.25">
      <c r="AF139" s="19" t="str">
        <f>IF(Emolumentos!G22="","",Emolumentos!G22)</f>
        <v/>
      </c>
      <c r="AG139" s="20" t="str">
        <f>IF(Emolumentos!H22="","",Emolumentos!H22)</f>
        <v/>
      </c>
      <c r="AH139" s="20" t="str">
        <f>IF(Emolumentos!I22="","",Emolumentos!I22)</f>
        <v/>
      </c>
      <c r="AI139" s="24" t="str">
        <f>IF(Emolumentos!J22="","",Emolumentos!J22)</f>
        <v/>
      </c>
      <c r="AK139" s="14" t="str">
        <v/>
      </c>
      <c r="AL139" s="10" t="str">
        <v/>
      </c>
      <c r="AM139" s="10" t="str">
        <v/>
      </c>
      <c r="AN139" s="29" t="str">
        <v/>
      </c>
    </row>
    <row r="140" spans="32:40" x14ac:dyDescent="0.25">
      <c r="AF140" s="19" t="str">
        <f>IF(Emolumentos!G23="","",Emolumentos!G23)</f>
        <v/>
      </c>
      <c r="AG140" s="20" t="str">
        <f>IF(Emolumentos!H23="","",Emolumentos!H23)</f>
        <v/>
      </c>
      <c r="AH140" s="20" t="str">
        <f>IF(Emolumentos!I23="","",Emolumentos!I23)</f>
        <v/>
      </c>
      <c r="AI140" s="24" t="str">
        <f>IF(Emolumentos!J23="","",Emolumentos!J23)</f>
        <v/>
      </c>
      <c r="AK140" s="14" t="str">
        <v/>
      </c>
      <c r="AL140" s="10" t="str">
        <v/>
      </c>
      <c r="AM140" s="10" t="str">
        <v/>
      </c>
      <c r="AN140" s="29" t="str">
        <v/>
      </c>
    </row>
    <row r="141" spans="32:40" x14ac:dyDescent="0.25">
      <c r="AF141" s="19" t="str">
        <f>IF(Emolumentos!G24="","",Emolumentos!G24)</f>
        <v/>
      </c>
      <c r="AG141" s="20" t="str">
        <f>IF(Emolumentos!H24="","",Emolumentos!H24)</f>
        <v/>
      </c>
      <c r="AH141" s="20" t="str">
        <f>IF(Emolumentos!I24="","",Emolumentos!I24)</f>
        <v/>
      </c>
      <c r="AI141" s="24" t="str">
        <f>IF(Emolumentos!J24="","",Emolumentos!J24)</f>
        <v/>
      </c>
      <c r="AK141" s="14" t="str">
        <v/>
      </c>
      <c r="AL141" s="10" t="str">
        <v/>
      </c>
      <c r="AM141" s="10" t="str">
        <v/>
      </c>
      <c r="AN141" s="29" t="str">
        <v/>
      </c>
    </row>
    <row r="142" spans="32:40" x14ac:dyDescent="0.25">
      <c r="AF142" s="19" t="str">
        <f>IF(Emolumentos!G25="","",Emolumentos!G25)</f>
        <v/>
      </c>
      <c r="AG142" s="20" t="str">
        <f>IF(Emolumentos!H25="","",Emolumentos!H25)</f>
        <v/>
      </c>
      <c r="AH142" s="20" t="str">
        <f>IF(Emolumentos!I25="","",Emolumentos!I25)</f>
        <v/>
      </c>
      <c r="AI142" s="24" t="str">
        <f>IF(Emolumentos!J25="","",Emolumentos!J25)</f>
        <v/>
      </c>
      <c r="AK142" s="14" t="str">
        <v/>
      </c>
      <c r="AL142" s="10" t="str">
        <v/>
      </c>
      <c r="AM142" s="10" t="str">
        <v/>
      </c>
      <c r="AN142" s="29" t="str">
        <v/>
      </c>
    </row>
    <row r="143" spans="32:40" x14ac:dyDescent="0.25">
      <c r="AF143" s="19" t="str">
        <f>IF(Emolumentos!G26="","",Emolumentos!G26)</f>
        <v/>
      </c>
      <c r="AG143" s="20" t="str">
        <f>IF(Emolumentos!H26="","",Emolumentos!H26)</f>
        <v/>
      </c>
      <c r="AH143" s="20" t="str">
        <f>IF(Emolumentos!I26="","",Emolumentos!I26)</f>
        <v/>
      </c>
      <c r="AI143" s="24" t="str">
        <f>IF(Emolumentos!J26="","",Emolumentos!J26)</f>
        <v/>
      </c>
      <c r="AK143" s="14" t="str">
        <v/>
      </c>
      <c r="AL143" s="10" t="str">
        <v/>
      </c>
      <c r="AM143" s="10" t="str">
        <v/>
      </c>
      <c r="AN143" s="29" t="str">
        <v/>
      </c>
    </row>
    <row r="144" spans="32:40" x14ac:dyDescent="0.25">
      <c r="AF144" s="19" t="str">
        <f>IF(Emolumentos!G27="","",Emolumentos!G27)</f>
        <v/>
      </c>
      <c r="AG144" s="20" t="str">
        <f>IF(Emolumentos!H27="","",Emolumentos!H27)</f>
        <v/>
      </c>
      <c r="AH144" s="20" t="str">
        <f>IF(Emolumentos!I27="","",Emolumentos!I27)</f>
        <v/>
      </c>
      <c r="AI144" s="24" t="str">
        <f>IF(Emolumentos!J27="","",Emolumentos!J27)</f>
        <v/>
      </c>
      <c r="AK144" s="14" t="str">
        <v/>
      </c>
      <c r="AL144" s="10" t="str">
        <v/>
      </c>
      <c r="AM144" s="10" t="str">
        <v/>
      </c>
      <c r="AN144" s="29" t="str">
        <v/>
      </c>
    </row>
    <row r="145" spans="32:40" x14ac:dyDescent="0.25">
      <c r="AF145" s="19" t="str">
        <f>IF(Emolumentos!G28="","",Emolumentos!G28)</f>
        <v/>
      </c>
      <c r="AG145" s="20" t="str">
        <f>IF(Emolumentos!H28="","",Emolumentos!H28)</f>
        <v/>
      </c>
      <c r="AH145" s="20" t="str">
        <f>IF(Emolumentos!I28="","",Emolumentos!I28)</f>
        <v/>
      </c>
      <c r="AI145" s="24" t="str">
        <f>IF(Emolumentos!J28="","",Emolumentos!J28)</f>
        <v/>
      </c>
      <c r="AK145" s="14" t="str">
        <v/>
      </c>
      <c r="AL145" s="10" t="str">
        <v/>
      </c>
      <c r="AM145" s="10" t="str">
        <v/>
      </c>
      <c r="AN145" s="29" t="str">
        <v/>
      </c>
    </row>
    <row r="146" spans="32:40" x14ac:dyDescent="0.25">
      <c r="AF146" s="19" t="str">
        <f>IF(Emolumentos!G29="","",Emolumentos!G29)</f>
        <v/>
      </c>
      <c r="AG146" s="20" t="str">
        <f>IF(Emolumentos!H29="","",Emolumentos!H29)</f>
        <v/>
      </c>
      <c r="AH146" s="20" t="str">
        <f>IF(Emolumentos!I29="","",Emolumentos!I29)</f>
        <v/>
      </c>
      <c r="AI146" s="24" t="str">
        <f>IF(Emolumentos!J29="","",Emolumentos!J29)</f>
        <v/>
      </c>
      <c r="AK146" s="14" t="str">
        <v/>
      </c>
      <c r="AL146" s="10" t="str">
        <v/>
      </c>
      <c r="AM146" s="10" t="str">
        <v/>
      </c>
      <c r="AN146" s="29" t="str">
        <v/>
      </c>
    </row>
    <row r="147" spans="32:40" x14ac:dyDescent="0.25">
      <c r="AF147" s="19" t="str">
        <f>IF(Emolumentos!G30="","",Emolumentos!G30)</f>
        <v/>
      </c>
      <c r="AG147" s="20" t="str">
        <f>IF(Emolumentos!H30="","",Emolumentos!H30)</f>
        <v/>
      </c>
      <c r="AH147" s="20" t="str">
        <f>IF(Emolumentos!I30="","",Emolumentos!I30)</f>
        <v/>
      </c>
      <c r="AI147" s="24" t="str">
        <f>IF(Emolumentos!J30="","",Emolumentos!J30)</f>
        <v/>
      </c>
      <c r="AK147" s="14" t="str">
        <v/>
      </c>
      <c r="AL147" s="10" t="str">
        <v/>
      </c>
      <c r="AM147" s="10" t="str">
        <v/>
      </c>
      <c r="AN147" s="29" t="str">
        <v/>
      </c>
    </row>
    <row r="148" spans="32:40" x14ac:dyDescent="0.25">
      <c r="AF148" s="19" t="str">
        <f>IF(Emolumentos!G31="","",Emolumentos!G31)</f>
        <v/>
      </c>
      <c r="AG148" s="20" t="str">
        <f>IF(Emolumentos!H31="","",Emolumentos!H31)</f>
        <v/>
      </c>
      <c r="AH148" s="20" t="str">
        <f>IF(Emolumentos!I31="","",Emolumentos!I31)</f>
        <v/>
      </c>
      <c r="AI148" s="24" t="str">
        <f>IF(Emolumentos!J31="","",Emolumentos!J31)</f>
        <v/>
      </c>
      <c r="AK148" s="14" t="str">
        <v/>
      </c>
      <c r="AL148" s="10" t="str">
        <v/>
      </c>
      <c r="AM148" s="10" t="str">
        <v/>
      </c>
      <c r="AN148" s="29" t="str">
        <v/>
      </c>
    </row>
    <row r="149" spans="32:40" x14ac:dyDescent="0.25">
      <c r="AF149" s="19" t="str">
        <f>IF(Emolumentos!G32="","",Emolumentos!G32)</f>
        <v/>
      </c>
      <c r="AG149" s="20" t="str">
        <f>IF(Emolumentos!H32="","",Emolumentos!H32)</f>
        <v/>
      </c>
      <c r="AH149" s="20" t="str">
        <f>IF(Emolumentos!I32="","",Emolumentos!I32)</f>
        <v/>
      </c>
      <c r="AI149" s="24" t="str">
        <f>IF(Emolumentos!J32="","",Emolumentos!J32)</f>
        <v/>
      </c>
      <c r="AK149" s="14" t="str">
        <v/>
      </c>
      <c r="AL149" s="10" t="str">
        <v/>
      </c>
      <c r="AM149" s="10" t="str">
        <v/>
      </c>
      <c r="AN149" s="29" t="str">
        <v/>
      </c>
    </row>
    <row r="150" spans="32:40" x14ac:dyDescent="0.25">
      <c r="AF150" s="19" t="str">
        <f>IF(Emolumentos!G33="","",Emolumentos!G33)</f>
        <v/>
      </c>
      <c r="AG150" s="20" t="str">
        <f>IF(Emolumentos!H33="","",Emolumentos!H33)</f>
        <v/>
      </c>
      <c r="AH150" s="20" t="str">
        <f>IF(Emolumentos!I33="","",Emolumentos!I33)</f>
        <v/>
      </c>
      <c r="AI150" s="24" t="str">
        <f>IF(Emolumentos!J33="","",Emolumentos!J33)</f>
        <v/>
      </c>
      <c r="AK150" s="14" t="str">
        <v/>
      </c>
      <c r="AL150" s="10" t="str">
        <v/>
      </c>
      <c r="AM150" s="10" t="str">
        <v/>
      </c>
      <c r="AN150" s="29" t="str">
        <v/>
      </c>
    </row>
    <row r="151" spans="32:40" x14ac:dyDescent="0.25">
      <c r="AF151" s="19" t="str">
        <f>IF(Emolumentos!G34="","",Emolumentos!G34)</f>
        <v/>
      </c>
      <c r="AG151" s="20" t="str">
        <f>IF(Emolumentos!H34="","",Emolumentos!H34)</f>
        <v/>
      </c>
      <c r="AH151" s="20" t="str">
        <f>IF(Emolumentos!I34="","",Emolumentos!I34)</f>
        <v/>
      </c>
      <c r="AI151" s="24" t="str">
        <f>IF(Emolumentos!J34="","",Emolumentos!J34)</f>
        <v/>
      </c>
      <c r="AK151" s="14" t="str">
        <v/>
      </c>
      <c r="AL151" s="10" t="str">
        <v/>
      </c>
      <c r="AM151" s="10" t="str">
        <v/>
      </c>
      <c r="AN151" s="29" t="str">
        <v/>
      </c>
    </row>
    <row r="152" spans="32:40" x14ac:dyDescent="0.25">
      <c r="AF152" s="19" t="str">
        <f>IF(Emolumentos!G35="","",Emolumentos!G35)</f>
        <v/>
      </c>
      <c r="AG152" s="20" t="str">
        <f>IF(Emolumentos!H35="","",Emolumentos!H35)</f>
        <v/>
      </c>
      <c r="AH152" s="20" t="str">
        <f>IF(Emolumentos!I35="","",Emolumentos!I35)</f>
        <v/>
      </c>
      <c r="AI152" s="24" t="str">
        <f>IF(Emolumentos!J35="","",Emolumentos!J35)</f>
        <v/>
      </c>
      <c r="AK152" s="14" t="str">
        <v/>
      </c>
      <c r="AL152" s="10" t="str">
        <v/>
      </c>
      <c r="AM152" s="10" t="str">
        <v/>
      </c>
      <c r="AN152" s="29" t="str">
        <v/>
      </c>
    </row>
    <row r="153" spans="32:40" x14ac:dyDescent="0.25">
      <c r="AF153" s="19" t="str">
        <f>IF(Emolumentos!G36="","",Emolumentos!G36)</f>
        <v/>
      </c>
      <c r="AG153" s="20" t="str">
        <f>IF(Emolumentos!H36="","",Emolumentos!H36)</f>
        <v/>
      </c>
      <c r="AH153" s="20" t="str">
        <f>IF(Emolumentos!I36="","",Emolumentos!I36)</f>
        <v/>
      </c>
      <c r="AI153" s="24" t="str">
        <f>IF(Emolumentos!J36="","",Emolumentos!J36)</f>
        <v/>
      </c>
      <c r="AK153" s="14" t="str">
        <v/>
      </c>
      <c r="AL153" s="10" t="str">
        <v/>
      </c>
      <c r="AM153" s="10" t="str">
        <v/>
      </c>
      <c r="AN153" s="29" t="str">
        <v/>
      </c>
    </row>
    <row r="154" spans="32:40" x14ac:dyDescent="0.25">
      <c r="AF154" s="19" t="str">
        <f>IF(Emolumentos!G37="","",Emolumentos!G37)</f>
        <v/>
      </c>
      <c r="AG154" s="20" t="str">
        <f>IF(Emolumentos!H37="","",Emolumentos!H37)</f>
        <v/>
      </c>
      <c r="AH154" s="20" t="str">
        <f>IF(Emolumentos!I37="","",Emolumentos!I37)</f>
        <v/>
      </c>
      <c r="AI154" s="24" t="str">
        <f>IF(Emolumentos!J37="","",Emolumentos!J37)</f>
        <v/>
      </c>
      <c r="AK154" s="14" t="str">
        <v/>
      </c>
      <c r="AL154" s="10" t="str">
        <v/>
      </c>
      <c r="AM154" s="10" t="str">
        <v/>
      </c>
      <c r="AN154" s="29" t="str">
        <v/>
      </c>
    </row>
    <row r="155" spans="32:40" x14ac:dyDescent="0.25">
      <c r="AF155" s="19" t="str">
        <f>IF(Emolumentos!G38="","",Emolumentos!G38)</f>
        <v/>
      </c>
      <c r="AG155" s="20" t="str">
        <f>IF(Emolumentos!H38="","",Emolumentos!H38)</f>
        <v/>
      </c>
      <c r="AH155" s="20" t="str">
        <f>IF(Emolumentos!I38="","",Emolumentos!I38)</f>
        <v/>
      </c>
      <c r="AI155" s="24" t="str">
        <f>IF(Emolumentos!J38="","",Emolumentos!J38)</f>
        <v/>
      </c>
      <c r="AK155" s="14" t="str">
        <v/>
      </c>
      <c r="AL155" s="10" t="str">
        <v/>
      </c>
      <c r="AM155" s="10" t="str">
        <v/>
      </c>
      <c r="AN155" s="29" t="str">
        <v/>
      </c>
    </row>
    <row r="156" spans="32:40" x14ac:dyDescent="0.25">
      <c r="AF156" s="19" t="str">
        <f>IF(Emolumentos!G39="","",Emolumentos!G39)</f>
        <v/>
      </c>
      <c r="AG156" s="20" t="str">
        <f>IF(Emolumentos!H39="","",Emolumentos!H39)</f>
        <v/>
      </c>
      <c r="AH156" s="20" t="str">
        <f>IF(Emolumentos!I39="","",Emolumentos!I39)</f>
        <v/>
      </c>
      <c r="AI156" s="24" t="str">
        <f>IF(Emolumentos!J39="","",Emolumentos!J39)</f>
        <v/>
      </c>
      <c r="AK156" s="14" t="str">
        <v/>
      </c>
      <c r="AL156" s="10" t="str">
        <v/>
      </c>
      <c r="AM156" s="10" t="str">
        <v/>
      </c>
      <c r="AN156" s="29" t="str">
        <v/>
      </c>
    </row>
    <row r="157" spans="32:40" x14ac:dyDescent="0.25">
      <c r="AF157" s="19" t="str">
        <f>IF(Emolumentos!G40="","",Emolumentos!G40)</f>
        <v/>
      </c>
      <c r="AG157" s="20" t="str">
        <f>IF(Emolumentos!H40="","",Emolumentos!H40)</f>
        <v/>
      </c>
      <c r="AH157" s="20" t="str">
        <f>IF(Emolumentos!I40="","",Emolumentos!I40)</f>
        <v/>
      </c>
      <c r="AI157" s="24" t="str">
        <f>IF(Emolumentos!J40="","",Emolumentos!J40)</f>
        <v/>
      </c>
      <c r="AK157" s="14" t="str">
        <v/>
      </c>
      <c r="AL157" s="10" t="str">
        <v/>
      </c>
      <c r="AM157" s="10" t="str">
        <v/>
      </c>
      <c r="AN157" s="29" t="str">
        <v/>
      </c>
    </row>
    <row r="158" spans="32:40" x14ac:dyDescent="0.25">
      <c r="AF158" s="19" t="str">
        <f>IF(Emolumentos!G41="","",Emolumentos!G41)</f>
        <v/>
      </c>
      <c r="AG158" s="20" t="str">
        <f>IF(Emolumentos!H41="","",Emolumentos!H41)</f>
        <v/>
      </c>
      <c r="AH158" s="20" t="str">
        <f>IF(Emolumentos!I41="","",Emolumentos!I41)</f>
        <v/>
      </c>
      <c r="AI158" s="24" t="str">
        <f>IF(Emolumentos!J41="","",Emolumentos!J41)</f>
        <v/>
      </c>
      <c r="AK158" s="14" t="str">
        <v/>
      </c>
      <c r="AL158" s="10" t="str">
        <v/>
      </c>
      <c r="AM158" s="10" t="str">
        <v/>
      </c>
      <c r="AN158" s="29" t="str">
        <v/>
      </c>
    </row>
    <row r="159" spans="32:40" x14ac:dyDescent="0.25">
      <c r="AF159" s="21" t="str">
        <f>IF(Emolumentos!G42="","",Emolumentos!G42)</f>
        <v/>
      </c>
      <c r="AG159" s="22" t="str">
        <f>IF(Emolumentos!H42="","",Emolumentos!H42)</f>
        <v/>
      </c>
      <c r="AH159" s="22" t="str">
        <f>IF(Emolumentos!I42="","",Emolumentos!I42)</f>
        <v/>
      </c>
      <c r="AI159" s="25" t="str">
        <f>IF(Emolumentos!J42="","",Emolumentos!J42)</f>
        <v/>
      </c>
      <c r="AK159" s="14" t="str">
        <v/>
      </c>
      <c r="AL159" s="10" t="str">
        <v/>
      </c>
      <c r="AM159" s="10" t="str">
        <v/>
      </c>
      <c r="AN159" s="29" t="str">
        <v/>
      </c>
    </row>
    <row r="160" spans="32:40" x14ac:dyDescent="0.25">
      <c r="AF160" s="19">
        <f>IF(Emolumentos!L4="","",Emolumentos!L4)</f>
        <v>2.84</v>
      </c>
      <c r="AG160" s="20">
        <f>IF(Emolumentos!M4="","",Emolumentos!M4)</f>
        <v>4.7699999999999996</v>
      </c>
      <c r="AH160" s="20" t="str">
        <f>IF(Emolumentos!N4="","",Emolumentos!N4)</f>
        <v>aut</v>
      </c>
      <c r="AI160" s="24" t="str">
        <f>IF(Emolumentos!O4="","",Emolumentos!O4)</f>
        <v>Autenticação</v>
      </c>
      <c r="AK160" s="14" t="str">
        <v/>
      </c>
      <c r="AL160" s="10" t="str">
        <v/>
      </c>
      <c r="AM160" s="10" t="str">
        <v/>
      </c>
      <c r="AN160" s="29" t="str">
        <v/>
      </c>
    </row>
    <row r="161" spans="32:40" x14ac:dyDescent="0.25">
      <c r="AF161" s="19">
        <f>IF(Emolumentos!L5="","",Emolumentos!L5)</f>
        <v>4.9000000000000004</v>
      </c>
      <c r="AG161" s="20">
        <f>IF(Emolumentos!M5="","",Emolumentos!M5)</f>
        <v>8.2200000000000006</v>
      </c>
      <c r="AH161" s="20" t="str">
        <f>IF(Emolumentos!N5="","",Emolumentos!N5)</f>
        <v>fS</v>
      </c>
      <c r="AI161" s="24" t="str">
        <f>IF(Emolumentos!O5="","",Emolumentos!O5)</f>
        <v>Sem valor econômimco</v>
      </c>
      <c r="AK161" s="14" t="str">
        <v/>
      </c>
      <c r="AL161" s="10" t="str">
        <v/>
      </c>
      <c r="AM161" s="10" t="str">
        <v/>
      </c>
      <c r="AN161" s="29" t="str">
        <v/>
      </c>
    </row>
    <row r="162" spans="32:40" x14ac:dyDescent="0.25">
      <c r="AF162" s="19">
        <f>IF(Emolumentos!L6="","",Emolumentos!L6)</f>
        <v>7.51</v>
      </c>
      <c r="AG162" s="20">
        <f>IF(Emolumentos!M6="","",Emolumentos!M6)</f>
        <v>12.59</v>
      </c>
      <c r="AH162" s="20" t="str">
        <f>IF(Emolumentos!N6="","",Emolumentos!N6)</f>
        <v>fV</v>
      </c>
      <c r="AI162" s="24" t="str">
        <f>IF(Emolumentos!O6="","",Emolumentos!O6)</f>
        <v>Com valor econômico</v>
      </c>
      <c r="AK162" s="14" t="str">
        <v/>
      </c>
      <c r="AL162" s="10" t="str">
        <v/>
      </c>
      <c r="AM162" s="10" t="str">
        <v/>
      </c>
      <c r="AN162" s="29" t="str">
        <v/>
      </c>
    </row>
    <row r="163" spans="32:40" x14ac:dyDescent="0.25">
      <c r="AF163" s="19">
        <f>IF(Emolumentos!L7="","",Emolumentos!L7)</f>
        <v>12.55</v>
      </c>
      <c r="AG163" s="20">
        <f>IF(Emolumentos!M7="","",Emolumentos!M7)</f>
        <v>21.06</v>
      </c>
      <c r="AH163" s="20" t="str">
        <f>IF(Emolumentos!N7="","",Emolumentos!N7)</f>
        <v>fA</v>
      </c>
      <c r="AI163" s="24" t="str">
        <f>IF(Emolumentos!O7="","",Emolumentos!O7)</f>
        <v>Por autenticidade</v>
      </c>
      <c r="AK163" s="14" t="str">
        <v/>
      </c>
      <c r="AL163" s="10" t="str">
        <v/>
      </c>
      <c r="AM163" s="10" t="str">
        <v/>
      </c>
      <c r="AN163" s="29" t="str">
        <v/>
      </c>
    </row>
    <row r="164" spans="32:40" x14ac:dyDescent="0.25">
      <c r="AF164" s="19" t="str">
        <f>IF(Emolumentos!L8="","",Emolumentos!L8)</f>
        <v/>
      </c>
      <c r="AG164" s="20" t="str">
        <f>IF(Emolumentos!M8="","",Emolumentos!M8)</f>
        <v/>
      </c>
      <c r="AH164" s="20" t="str">
        <f>IF(Emolumentos!N8="","",Emolumentos!N8)</f>
        <v/>
      </c>
      <c r="AI164" s="24" t="str">
        <f>IF(Emolumentos!O8="","",Emolumentos!O8)</f>
        <v/>
      </c>
      <c r="AK164" s="14" t="str">
        <v/>
      </c>
      <c r="AL164" s="10" t="str">
        <v/>
      </c>
      <c r="AM164" s="10" t="str">
        <v/>
      </c>
      <c r="AN164" s="29" t="str">
        <v/>
      </c>
    </row>
    <row r="165" spans="32:40" x14ac:dyDescent="0.25">
      <c r="AF165" s="19" t="str">
        <f>IF(Emolumentos!L9="","",Emolumentos!L9)</f>
        <v/>
      </c>
      <c r="AG165" s="20" t="str">
        <f>IF(Emolumentos!M9="","",Emolumentos!M9)</f>
        <v/>
      </c>
      <c r="AH165" s="20" t="str">
        <f>IF(Emolumentos!N9="","",Emolumentos!N9)</f>
        <v/>
      </c>
      <c r="AI165" s="24" t="str">
        <f>IF(Emolumentos!O9="","",Emolumentos!O9)</f>
        <v/>
      </c>
      <c r="AK165" s="14" t="str">
        <v/>
      </c>
      <c r="AL165" s="10" t="str">
        <v/>
      </c>
      <c r="AM165" s="10" t="str">
        <v/>
      </c>
      <c r="AN165" s="29" t="str">
        <v/>
      </c>
    </row>
    <row r="166" spans="32:40" x14ac:dyDescent="0.25">
      <c r="AF166" s="19" t="str">
        <f>IF(Emolumentos!L10="","",Emolumentos!L10)</f>
        <v/>
      </c>
      <c r="AG166" s="20" t="str">
        <f>IF(Emolumentos!M10="","",Emolumentos!M10)</f>
        <v/>
      </c>
      <c r="AH166" s="20" t="str">
        <f>IF(Emolumentos!N10="","",Emolumentos!N10)</f>
        <v/>
      </c>
      <c r="AI166" s="24" t="str">
        <f>IF(Emolumentos!O10="","",Emolumentos!O10)</f>
        <v/>
      </c>
      <c r="AK166" s="14" t="str">
        <v/>
      </c>
      <c r="AL166" s="10" t="str">
        <v/>
      </c>
      <c r="AM166" s="10" t="str">
        <v/>
      </c>
      <c r="AN166" s="29" t="str">
        <v/>
      </c>
    </row>
    <row r="167" spans="32:40" x14ac:dyDescent="0.25">
      <c r="AF167" s="19" t="str">
        <f>IF(Emolumentos!L11="","",Emolumentos!L11)</f>
        <v/>
      </c>
      <c r="AG167" s="20" t="str">
        <f>IF(Emolumentos!M11="","",Emolumentos!M11)</f>
        <v/>
      </c>
      <c r="AH167" s="20" t="str">
        <f>IF(Emolumentos!N11="","",Emolumentos!N11)</f>
        <v/>
      </c>
      <c r="AI167" s="24" t="str">
        <f>IF(Emolumentos!O11="","",Emolumentos!O11)</f>
        <v/>
      </c>
      <c r="AK167" s="14" t="str">
        <v/>
      </c>
      <c r="AL167" s="10" t="str">
        <v/>
      </c>
      <c r="AM167" s="10" t="str">
        <v/>
      </c>
      <c r="AN167" s="29" t="str">
        <v/>
      </c>
    </row>
    <row r="168" spans="32:40" x14ac:dyDescent="0.25">
      <c r="AF168" s="19" t="str">
        <f>IF(Emolumentos!L12="","",Emolumentos!L12)</f>
        <v/>
      </c>
      <c r="AG168" s="20" t="str">
        <f>IF(Emolumentos!M12="","",Emolumentos!M12)</f>
        <v/>
      </c>
      <c r="AH168" s="20" t="str">
        <f>IF(Emolumentos!N12="","",Emolumentos!N12)</f>
        <v/>
      </c>
      <c r="AI168" s="24" t="str">
        <f>IF(Emolumentos!O12="","",Emolumentos!O12)</f>
        <v/>
      </c>
      <c r="AK168" s="14" t="str">
        <v/>
      </c>
      <c r="AL168" s="10" t="str">
        <v/>
      </c>
      <c r="AM168" s="10" t="str">
        <v/>
      </c>
      <c r="AN168" s="29" t="str">
        <v/>
      </c>
    </row>
    <row r="169" spans="32:40" x14ac:dyDescent="0.25">
      <c r="AF169" s="19" t="str">
        <f>IF(Emolumentos!L13="","",Emolumentos!L13)</f>
        <v/>
      </c>
      <c r="AG169" s="20" t="str">
        <f>IF(Emolumentos!M13="","",Emolumentos!M13)</f>
        <v/>
      </c>
      <c r="AH169" s="20" t="str">
        <f>IF(Emolumentos!N13="","",Emolumentos!N13)</f>
        <v/>
      </c>
      <c r="AI169" s="24" t="str">
        <f>IF(Emolumentos!O13="","",Emolumentos!O13)</f>
        <v/>
      </c>
      <c r="AK169" s="14" t="str">
        <v/>
      </c>
      <c r="AL169" s="10" t="str">
        <v/>
      </c>
      <c r="AM169" s="10" t="str">
        <v/>
      </c>
      <c r="AN169" s="29" t="str">
        <v/>
      </c>
    </row>
    <row r="170" spans="32:40" x14ac:dyDescent="0.25">
      <c r="AF170" s="19" t="str">
        <f>IF(Emolumentos!L14="","",Emolumentos!L14)</f>
        <v/>
      </c>
      <c r="AG170" s="20" t="str">
        <f>IF(Emolumentos!M14="","",Emolumentos!M14)</f>
        <v/>
      </c>
      <c r="AH170" s="20" t="str">
        <f>IF(Emolumentos!N14="","",Emolumentos!N14)</f>
        <v/>
      </c>
      <c r="AI170" s="24" t="str">
        <f>IF(Emolumentos!O14="","",Emolumentos!O14)</f>
        <v/>
      </c>
      <c r="AK170" s="14" t="str">
        <v/>
      </c>
      <c r="AL170" s="10" t="str">
        <v/>
      </c>
      <c r="AM170" s="10" t="str">
        <v/>
      </c>
      <c r="AN170" s="29" t="str">
        <v/>
      </c>
    </row>
    <row r="171" spans="32:40" x14ac:dyDescent="0.25">
      <c r="AF171" s="19" t="str">
        <f>IF(Emolumentos!L15="","",Emolumentos!L15)</f>
        <v/>
      </c>
      <c r="AG171" s="20" t="str">
        <f>IF(Emolumentos!M15="","",Emolumentos!M15)</f>
        <v/>
      </c>
      <c r="AH171" s="20" t="str">
        <f>IF(Emolumentos!N15="","",Emolumentos!N15)</f>
        <v/>
      </c>
      <c r="AI171" s="24" t="str">
        <f>IF(Emolumentos!O15="","",Emolumentos!O15)</f>
        <v/>
      </c>
      <c r="AK171" s="14" t="str">
        <v/>
      </c>
      <c r="AL171" s="10" t="str">
        <v/>
      </c>
      <c r="AM171" s="10" t="str">
        <v/>
      </c>
      <c r="AN171" s="29" t="str">
        <v/>
      </c>
    </row>
    <row r="172" spans="32:40" x14ac:dyDescent="0.25">
      <c r="AF172" s="19" t="str">
        <f>IF(Emolumentos!L16="","",Emolumentos!L16)</f>
        <v/>
      </c>
      <c r="AG172" s="20" t="str">
        <f>IF(Emolumentos!M16="","",Emolumentos!M16)</f>
        <v/>
      </c>
      <c r="AH172" s="20" t="str">
        <f>IF(Emolumentos!N16="","",Emolumentos!N16)</f>
        <v/>
      </c>
      <c r="AI172" s="24" t="str">
        <f>IF(Emolumentos!O16="","",Emolumentos!O16)</f>
        <v/>
      </c>
      <c r="AK172" s="14" t="str">
        <v/>
      </c>
      <c r="AL172" s="10" t="str">
        <v/>
      </c>
      <c r="AM172" s="10" t="str">
        <v/>
      </c>
      <c r="AN172" s="29" t="str">
        <v/>
      </c>
    </row>
    <row r="173" spans="32:40" x14ac:dyDescent="0.25">
      <c r="AF173" s="19" t="str">
        <f>IF(Emolumentos!L17="","",Emolumentos!L17)</f>
        <v/>
      </c>
      <c r="AG173" s="20" t="str">
        <f>IF(Emolumentos!M17="","",Emolumentos!M17)</f>
        <v/>
      </c>
      <c r="AH173" s="20" t="str">
        <f>IF(Emolumentos!N17="","",Emolumentos!N17)</f>
        <v/>
      </c>
      <c r="AI173" s="24" t="str">
        <f>IF(Emolumentos!O17="","",Emolumentos!O17)</f>
        <v/>
      </c>
      <c r="AK173" s="14" t="str">
        <v/>
      </c>
      <c r="AL173" s="10" t="str">
        <v/>
      </c>
      <c r="AM173" s="10" t="str">
        <v/>
      </c>
      <c r="AN173" s="29" t="str">
        <v/>
      </c>
    </row>
    <row r="174" spans="32:40" x14ac:dyDescent="0.25">
      <c r="AF174" s="19" t="str">
        <f>IF(Emolumentos!L18="","",Emolumentos!L18)</f>
        <v/>
      </c>
      <c r="AG174" s="20" t="str">
        <f>IF(Emolumentos!M18="","",Emolumentos!M18)</f>
        <v/>
      </c>
      <c r="AH174" s="20" t="str">
        <f>IF(Emolumentos!N18="","",Emolumentos!N18)</f>
        <v/>
      </c>
      <c r="AI174" s="24" t="str">
        <f>IF(Emolumentos!O18="","",Emolumentos!O18)</f>
        <v/>
      </c>
      <c r="AK174" s="14" t="str">
        <v/>
      </c>
      <c r="AL174" s="10" t="str">
        <v/>
      </c>
      <c r="AM174" s="10" t="str">
        <v/>
      </c>
      <c r="AN174" s="29" t="str">
        <v/>
      </c>
    </row>
    <row r="175" spans="32:40" x14ac:dyDescent="0.25">
      <c r="AF175" s="19" t="str">
        <f>IF(Emolumentos!L19="","",Emolumentos!L19)</f>
        <v/>
      </c>
      <c r="AG175" s="20" t="str">
        <f>IF(Emolumentos!M19="","",Emolumentos!M19)</f>
        <v/>
      </c>
      <c r="AH175" s="20" t="str">
        <f>IF(Emolumentos!N19="","",Emolumentos!N19)</f>
        <v/>
      </c>
      <c r="AI175" s="24" t="str">
        <f>IF(Emolumentos!O19="","",Emolumentos!O19)</f>
        <v/>
      </c>
      <c r="AK175" s="14" t="str">
        <v/>
      </c>
      <c r="AL175" s="10" t="str">
        <v/>
      </c>
      <c r="AM175" s="10" t="str">
        <v/>
      </c>
      <c r="AN175" s="29" t="str">
        <v/>
      </c>
    </row>
    <row r="176" spans="32:40" x14ac:dyDescent="0.25">
      <c r="AF176" s="19" t="str">
        <f>IF(Emolumentos!L20="","",Emolumentos!L20)</f>
        <v/>
      </c>
      <c r="AG176" s="20" t="str">
        <f>IF(Emolumentos!M20="","",Emolumentos!M20)</f>
        <v/>
      </c>
      <c r="AH176" s="20" t="str">
        <f>IF(Emolumentos!N20="","",Emolumentos!N20)</f>
        <v/>
      </c>
      <c r="AI176" s="24" t="str">
        <f>IF(Emolumentos!O20="","",Emolumentos!O20)</f>
        <v/>
      </c>
      <c r="AK176" s="14" t="str">
        <v/>
      </c>
      <c r="AL176" s="10" t="str">
        <v/>
      </c>
      <c r="AM176" s="10" t="str">
        <v/>
      </c>
      <c r="AN176" s="29" t="str">
        <v/>
      </c>
    </row>
    <row r="177" spans="32:40" x14ac:dyDescent="0.25">
      <c r="AF177" s="19" t="str">
        <f>IF(Emolumentos!L21="","",Emolumentos!L21)</f>
        <v/>
      </c>
      <c r="AG177" s="20" t="str">
        <f>IF(Emolumentos!M21="","",Emolumentos!M21)</f>
        <v/>
      </c>
      <c r="AH177" s="20" t="str">
        <f>IF(Emolumentos!N21="","",Emolumentos!N21)</f>
        <v/>
      </c>
      <c r="AI177" s="24" t="str">
        <f>IF(Emolumentos!O21="","",Emolumentos!O21)</f>
        <v/>
      </c>
      <c r="AK177" s="14" t="str">
        <v/>
      </c>
      <c r="AL177" s="10" t="str">
        <v/>
      </c>
      <c r="AM177" s="10" t="str">
        <v/>
      </c>
      <c r="AN177" s="29" t="str">
        <v/>
      </c>
    </row>
    <row r="178" spans="32:40" x14ac:dyDescent="0.25">
      <c r="AF178" s="21" t="str">
        <f>IF(Emolumentos!L22="","",Emolumentos!L22)</f>
        <v/>
      </c>
      <c r="AG178" s="22" t="str">
        <f>IF(Emolumentos!M22="","",Emolumentos!M22)</f>
        <v/>
      </c>
      <c r="AH178" s="22" t="str">
        <f>IF(Emolumentos!N22="","",Emolumentos!N22)</f>
        <v/>
      </c>
      <c r="AI178" s="25" t="str">
        <f>IF(Emolumentos!O22="","",Emolumentos!O22)</f>
        <v/>
      </c>
      <c r="AK178" s="14" t="str">
        <v/>
      </c>
      <c r="AL178" s="10" t="str">
        <v/>
      </c>
      <c r="AM178" s="10" t="str">
        <v/>
      </c>
      <c r="AN178" s="29" t="str">
        <v/>
      </c>
    </row>
    <row r="179" spans="32:40" x14ac:dyDescent="0.25">
      <c r="AF179" s="19">
        <f>IF(Emolumentos!Q4="","",Emolumentos!Q4)</f>
        <v>51.26</v>
      </c>
      <c r="AG179" s="20">
        <f>IF(Emolumentos!R4="","",Emolumentos!R4)</f>
        <v>86.01</v>
      </c>
      <c r="AH179" s="20" t="str">
        <f>IF(Emolumentos!S4="","",Emolumentos!S4)</f>
        <v>cC</v>
      </c>
      <c r="AI179" s="24" t="str">
        <f>IF(Emolumentos!T4="","",Emolumentos!T4)</f>
        <v>Certidão ou traslado ou pública forma</v>
      </c>
      <c r="AK179" s="14" t="str">
        <v/>
      </c>
      <c r="AL179" s="10" t="str">
        <v/>
      </c>
      <c r="AM179" s="10" t="str">
        <v/>
      </c>
      <c r="AN179" s="29" t="str">
        <v/>
      </c>
    </row>
    <row r="180" spans="32:40" x14ac:dyDescent="0.25">
      <c r="AF180" s="19">
        <f>IF(Emolumentos!Q5="","",Emolumentos!Q5)</f>
        <v>10.59</v>
      </c>
      <c r="AG180" s="20">
        <f>IF(Emolumentos!R5="","",Emolumentos!R5)</f>
        <v>17.79</v>
      </c>
      <c r="AH180" s="20" t="str">
        <f>IF(Emolumentos!S5="","",Emolumentos!S5)</f>
        <v>cP</v>
      </c>
      <c r="AI180" s="24" t="str">
        <f>IF(Emolumentos!T5="","",Emolumentos!T5)</f>
        <v>Certidão de Protesto</v>
      </c>
      <c r="AK180" s="14" t="str">
        <v/>
      </c>
      <c r="AL180" s="10" t="str">
        <v/>
      </c>
      <c r="AM180" s="10" t="str">
        <v/>
      </c>
      <c r="AN180" s="29" t="str">
        <v/>
      </c>
    </row>
    <row r="181" spans="32:40" x14ac:dyDescent="0.25">
      <c r="AF181" s="19">
        <f>IF(Emolumentos!Q6="","",Emolumentos!Q6)</f>
        <v>1.71</v>
      </c>
      <c r="AG181" s="20">
        <f>IF(Emolumentos!R6="","",Emolumentos!R6)</f>
        <v>2.87</v>
      </c>
      <c r="AH181" s="20" t="str">
        <f>IF(Emolumentos!S6="","",Emolumentos!S6)</f>
        <v>cR</v>
      </c>
      <c r="AI181" s="24" t="str">
        <f>IF(Emolumentos!T6="","",Emolumentos!T6)</f>
        <v>Cópia Reprográfica</v>
      </c>
      <c r="AK181" s="14" t="str">
        <v/>
      </c>
      <c r="AL181" s="10" t="str">
        <v/>
      </c>
      <c r="AM181" s="10" t="str">
        <v/>
      </c>
      <c r="AN181" s="29" t="str">
        <v/>
      </c>
    </row>
    <row r="182" spans="32:40" x14ac:dyDescent="0.25">
      <c r="AF182" s="19">
        <f>IF(Emolumentos!Q7="","",Emolumentos!Q7)</f>
        <v>16.05</v>
      </c>
      <c r="AG182" s="20">
        <f>IF(Emolumentos!R7="","",Emolumentos!R7)</f>
        <v>26.93</v>
      </c>
      <c r="AH182" s="20" t="str">
        <f>IF(Emolumentos!S7="","",Emolumentos!S7)</f>
        <v>cM</v>
      </c>
      <c r="AI182" s="24" t="str">
        <f>IF(Emolumentos!T7="","",Emolumentos!T7)</f>
        <v>Cópia de Microfilme</v>
      </c>
      <c r="AK182" s="14" t="str">
        <v/>
      </c>
      <c r="AL182" s="10" t="str">
        <v/>
      </c>
      <c r="AM182" s="10" t="str">
        <v/>
      </c>
      <c r="AN182" s="29" t="str">
        <v/>
      </c>
    </row>
    <row r="183" spans="32:40" x14ac:dyDescent="0.25">
      <c r="AF183" s="19" t="str">
        <f>IF(Emolumentos!Q8="","",Emolumentos!Q8)</f>
        <v/>
      </c>
      <c r="AG183" s="20" t="str">
        <f>IF(Emolumentos!R8="","",Emolumentos!R8)</f>
        <v/>
      </c>
      <c r="AH183" s="20" t="str">
        <f>IF(Emolumentos!S8="","",Emolumentos!S8)</f>
        <v/>
      </c>
      <c r="AI183" s="24" t="str">
        <f>IF(Emolumentos!T8="","",Emolumentos!T8)</f>
        <v/>
      </c>
      <c r="AK183" s="14" t="str">
        <v/>
      </c>
      <c r="AL183" s="10" t="str">
        <v/>
      </c>
      <c r="AM183" s="10" t="str">
        <v/>
      </c>
      <c r="AN183" s="29" t="str">
        <v/>
      </c>
    </row>
    <row r="184" spans="32:40" x14ac:dyDescent="0.25">
      <c r="AF184" s="19" t="str">
        <f>IF(Emolumentos!Q9="","",Emolumentos!Q9)</f>
        <v/>
      </c>
      <c r="AG184" s="20" t="str">
        <f>IF(Emolumentos!R9="","",Emolumentos!R9)</f>
        <v/>
      </c>
      <c r="AH184" s="20" t="str">
        <f>IF(Emolumentos!S9="","",Emolumentos!S9)</f>
        <v/>
      </c>
      <c r="AI184" s="24" t="str">
        <f>IF(Emolumentos!T9="","",Emolumentos!T9)</f>
        <v/>
      </c>
      <c r="AK184" s="14" t="str">
        <v/>
      </c>
      <c r="AL184" s="10" t="str">
        <v/>
      </c>
      <c r="AM184" s="10" t="str">
        <v/>
      </c>
      <c r="AN184" s="29" t="str">
        <v/>
      </c>
    </row>
    <row r="185" spans="32:40" x14ac:dyDescent="0.25">
      <c r="AF185" s="19" t="str">
        <f>IF(Emolumentos!Q10="","",Emolumentos!Q10)</f>
        <v/>
      </c>
      <c r="AG185" s="20" t="str">
        <f>IF(Emolumentos!R10="","",Emolumentos!R10)</f>
        <v/>
      </c>
      <c r="AH185" s="20" t="str">
        <f>IF(Emolumentos!S10="","",Emolumentos!S10)</f>
        <v/>
      </c>
      <c r="AI185" s="24" t="str">
        <f>IF(Emolumentos!T10="","",Emolumentos!T10)</f>
        <v/>
      </c>
      <c r="AK185" s="14" t="str">
        <v/>
      </c>
      <c r="AL185" s="10" t="str">
        <v/>
      </c>
      <c r="AM185" s="10" t="str">
        <v/>
      </c>
      <c r="AN185" s="29" t="str">
        <v/>
      </c>
    </row>
    <row r="186" spans="32:40" x14ac:dyDescent="0.25">
      <c r="AF186" s="19" t="str">
        <f>IF(Emolumentos!Q11="","",Emolumentos!Q11)</f>
        <v/>
      </c>
      <c r="AG186" s="20" t="str">
        <f>IF(Emolumentos!R11="","",Emolumentos!R11)</f>
        <v/>
      </c>
      <c r="AH186" s="20" t="str">
        <f>IF(Emolumentos!S11="","",Emolumentos!S11)</f>
        <v/>
      </c>
      <c r="AI186" s="24" t="str">
        <f>IF(Emolumentos!T11="","",Emolumentos!T11)</f>
        <v/>
      </c>
      <c r="AK186" s="14" t="str">
        <v/>
      </c>
      <c r="AL186" s="10" t="str">
        <v/>
      </c>
      <c r="AM186" s="10" t="str">
        <v/>
      </c>
      <c r="AN186" s="29" t="str">
        <v/>
      </c>
    </row>
    <row r="187" spans="32:40" x14ac:dyDescent="0.25">
      <c r="AF187" s="19" t="str">
        <f>IF(Emolumentos!Q12="","",Emolumentos!Q12)</f>
        <v/>
      </c>
      <c r="AG187" s="20" t="str">
        <f>IF(Emolumentos!R12="","",Emolumentos!R12)</f>
        <v/>
      </c>
      <c r="AH187" s="20" t="str">
        <f>IF(Emolumentos!S12="","",Emolumentos!S12)</f>
        <v/>
      </c>
      <c r="AI187" s="24" t="str">
        <f>IF(Emolumentos!T12="","",Emolumentos!T12)</f>
        <v/>
      </c>
      <c r="AK187" s="14" t="str">
        <v/>
      </c>
      <c r="AL187" s="10" t="str">
        <v/>
      </c>
      <c r="AM187" s="10" t="str">
        <v/>
      </c>
      <c r="AN187" s="29" t="str">
        <v/>
      </c>
    </row>
    <row r="188" spans="32:40" x14ac:dyDescent="0.25">
      <c r="AF188" s="19" t="str">
        <f>IF(Emolumentos!Q13="","",Emolumentos!Q13)</f>
        <v/>
      </c>
      <c r="AG188" s="20" t="str">
        <f>IF(Emolumentos!R13="","",Emolumentos!R13)</f>
        <v/>
      </c>
      <c r="AH188" s="20" t="str">
        <f>IF(Emolumentos!S13="","",Emolumentos!S13)</f>
        <v/>
      </c>
      <c r="AI188" s="24" t="str">
        <f>IF(Emolumentos!T13="","",Emolumentos!T13)</f>
        <v/>
      </c>
      <c r="AK188" s="14" t="str">
        <v/>
      </c>
      <c r="AL188" s="10" t="str">
        <v/>
      </c>
      <c r="AM188" s="10" t="str">
        <v/>
      </c>
      <c r="AN188" s="29" t="str">
        <v/>
      </c>
    </row>
    <row r="189" spans="32:40" x14ac:dyDescent="0.25">
      <c r="AF189" s="19" t="str">
        <f>IF(Emolumentos!Q14="","",Emolumentos!Q14)</f>
        <v/>
      </c>
      <c r="AG189" s="20" t="str">
        <f>IF(Emolumentos!R14="","",Emolumentos!R14)</f>
        <v/>
      </c>
      <c r="AH189" s="20" t="str">
        <f>IF(Emolumentos!S14="","",Emolumentos!S14)</f>
        <v/>
      </c>
      <c r="AI189" s="24" t="str">
        <f>IF(Emolumentos!T14="","",Emolumentos!T14)</f>
        <v/>
      </c>
      <c r="AK189" s="14" t="str">
        <v/>
      </c>
      <c r="AL189" s="10" t="str">
        <v/>
      </c>
      <c r="AM189" s="10" t="str">
        <v/>
      </c>
      <c r="AN189" s="29" t="str">
        <v/>
      </c>
    </row>
    <row r="190" spans="32:40" x14ac:dyDescent="0.25">
      <c r="AF190" s="19" t="str">
        <f>IF(Emolumentos!Q15="","",Emolumentos!Q15)</f>
        <v/>
      </c>
      <c r="AG190" s="20" t="str">
        <f>IF(Emolumentos!R15="","",Emolumentos!R15)</f>
        <v/>
      </c>
      <c r="AH190" s="20" t="str">
        <f>IF(Emolumentos!S15="","",Emolumentos!S15)</f>
        <v/>
      </c>
      <c r="AI190" s="24" t="str">
        <f>IF(Emolumentos!T15="","",Emolumentos!T15)</f>
        <v/>
      </c>
      <c r="AK190" s="14" t="str">
        <v/>
      </c>
      <c r="AL190" s="10" t="str">
        <v/>
      </c>
      <c r="AM190" s="10" t="str">
        <v/>
      </c>
      <c r="AN190" s="29" t="str">
        <v/>
      </c>
    </row>
    <row r="191" spans="32:40" x14ac:dyDescent="0.25">
      <c r="AF191" s="19" t="str">
        <f>IF(Emolumentos!Q16="","",Emolumentos!Q16)</f>
        <v/>
      </c>
      <c r="AG191" s="20" t="str">
        <f>IF(Emolumentos!R16="","",Emolumentos!R16)</f>
        <v/>
      </c>
      <c r="AH191" s="20" t="str">
        <f>IF(Emolumentos!S16="","",Emolumentos!S16)</f>
        <v/>
      </c>
      <c r="AI191" s="24" t="str">
        <f>IF(Emolumentos!T16="","",Emolumentos!T16)</f>
        <v/>
      </c>
      <c r="AK191" s="14" t="str">
        <v/>
      </c>
      <c r="AL191" s="10" t="str">
        <v/>
      </c>
      <c r="AM191" s="10" t="str">
        <v/>
      </c>
      <c r="AN191" s="29" t="str">
        <v/>
      </c>
    </row>
    <row r="192" spans="32:40" x14ac:dyDescent="0.25">
      <c r="AF192" s="19" t="str">
        <f>IF(Emolumentos!Q17="","",Emolumentos!Q17)</f>
        <v/>
      </c>
      <c r="AG192" s="20" t="str">
        <f>IF(Emolumentos!R17="","",Emolumentos!R17)</f>
        <v/>
      </c>
      <c r="AH192" s="20" t="str">
        <f>IF(Emolumentos!S17="","",Emolumentos!S17)</f>
        <v/>
      </c>
      <c r="AI192" s="24" t="str">
        <f>IF(Emolumentos!T17="","",Emolumentos!T17)</f>
        <v/>
      </c>
      <c r="AK192" s="14" t="str">
        <v/>
      </c>
      <c r="AL192" s="10" t="str">
        <v/>
      </c>
      <c r="AM192" s="10" t="str">
        <v/>
      </c>
      <c r="AN192" s="29" t="str">
        <v/>
      </c>
    </row>
    <row r="193" spans="32:40" x14ac:dyDescent="0.25">
      <c r="AF193" s="19" t="str">
        <f>IF(Emolumentos!Q18="","",Emolumentos!Q18)</f>
        <v/>
      </c>
      <c r="AG193" s="20" t="str">
        <f>IF(Emolumentos!R18="","",Emolumentos!R18)</f>
        <v/>
      </c>
      <c r="AH193" s="20" t="str">
        <f>IF(Emolumentos!S18="","",Emolumentos!S18)</f>
        <v/>
      </c>
      <c r="AI193" s="24" t="str">
        <f>IF(Emolumentos!T18="","",Emolumentos!T18)</f>
        <v/>
      </c>
      <c r="AK193" s="14" t="str">
        <v/>
      </c>
      <c r="AL193" s="10" t="str">
        <v/>
      </c>
      <c r="AM193" s="10" t="str">
        <v/>
      </c>
      <c r="AN193" s="29" t="str">
        <v/>
      </c>
    </row>
    <row r="194" spans="32:40" x14ac:dyDescent="0.25">
      <c r="AF194" s="19" t="str">
        <f>IF(Emolumentos!Q19="","",Emolumentos!Q19)</f>
        <v/>
      </c>
      <c r="AG194" s="20" t="str">
        <f>IF(Emolumentos!R19="","",Emolumentos!R19)</f>
        <v/>
      </c>
      <c r="AH194" s="20" t="str">
        <f>IF(Emolumentos!S19="","",Emolumentos!S19)</f>
        <v/>
      </c>
      <c r="AI194" s="24" t="str">
        <f>IF(Emolumentos!T19="","",Emolumentos!T19)</f>
        <v/>
      </c>
      <c r="AK194" s="14" t="str">
        <v/>
      </c>
      <c r="AL194" s="10" t="str">
        <v/>
      </c>
      <c r="AM194" s="10" t="str">
        <v/>
      </c>
      <c r="AN194" s="29" t="str">
        <v/>
      </c>
    </row>
    <row r="195" spans="32:40" x14ac:dyDescent="0.25">
      <c r="AF195" s="19" t="str">
        <f>IF(Emolumentos!Q20="","",Emolumentos!Q20)</f>
        <v/>
      </c>
      <c r="AG195" s="20" t="str">
        <f>IF(Emolumentos!R20="","",Emolumentos!R20)</f>
        <v/>
      </c>
      <c r="AH195" s="20" t="str">
        <f>IF(Emolumentos!S20="","",Emolumentos!S20)</f>
        <v/>
      </c>
      <c r="AI195" s="24" t="str">
        <f>IF(Emolumentos!T20="","",Emolumentos!T20)</f>
        <v/>
      </c>
      <c r="AK195" s="14" t="str">
        <v/>
      </c>
      <c r="AL195" s="10" t="str">
        <v/>
      </c>
      <c r="AM195" s="10" t="str">
        <v/>
      </c>
      <c r="AN195" s="29" t="str">
        <v/>
      </c>
    </row>
    <row r="196" spans="32:40" x14ac:dyDescent="0.25">
      <c r="AF196" s="19" t="str">
        <f>IF(Emolumentos!Q21="","",Emolumentos!Q21)</f>
        <v/>
      </c>
      <c r="AG196" s="20" t="str">
        <f>IF(Emolumentos!R21="","",Emolumentos!R21)</f>
        <v/>
      </c>
      <c r="AH196" s="20" t="str">
        <f>IF(Emolumentos!S21="","",Emolumentos!S21)</f>
        <v/>
      </c>
      <c r="AI196" s="24" t="str">
        <f>IF(Emolumentos!T21="","",Emolumentos!T21)</f>
        <v/>
      </c>
      <c r="AK196" s="14" t="str">
        <v/>
      </c>
      <c r="AL196" s="10" t="str">
        <v/>
      </c>
      <c r="AM196" s="10" t="str">
        <v/>
      </c>
      <c r="AN196" s="29" t="str">
        <v/>
      </c>
    </row>
    <row r="197" spans="32:40" x14ac:dyDescent="0.25">
      <c r="AF197" s="21" t="str">
        <f>IF(Emolumentos!Q22="","",Emolumentos!Q22)</f>
        <v/>
      </c>
      <c r="AG197" s="22" t="str">
        <f>IF(Emolumentos!R22="","",Emolumentos!R22)</f>
        <v/>
      </c>
      <c r="AH197" s="22" t="str">
        <f>IF(Emolumentos!S22="","",Emolumentos!S22)</f>
        <v/>
      </c>
      <c r="AI197" s="25" t="str">
        <f>IF(Emolumentos!T22="","",Emolumentos!T22)</f>
        <v/>
      </c>
      <c r="AK197" s="14" t="str">
        <v/>
      </c>
      <c r="AL197" s="10" t="str">
        <v/>
      </c>
      <c r="AM197" s="10" t="str">
        <v/>
      </c>
      <c r="AN197" s="29" t="str">
        <v/>
      </c>
    </row>
    <row r="198" spans="32:40" x14ac:dyDescent="0.25">
      <c r="AF198" s="19">
        <f>IF(Emolumentos!V4="","",Emolumentos!V4)</f>
        <v>65.209999999999994</v>
      </c>
      <c r="AG198" s="20">
        <f>IF(Emolumentos!W4="","",Emolumentos!W4)</f>
        <v>109.4</v>
      </c>
      <c r="AH198" s="20" t="str">
        <f>IF(Emolumentos!X4="","",Emolumentos!X4)</f>
        <v>e</v>
      </c>
      <c r="AI198" s="24" t="str">
        <f>IF(Emolumentos!Y4="","",Emolumentos!Y4)</f>
        <v>Escritura sem valor declarado - Para reconhecimento de filho, ou adoção, ou fins previdenciários, ou de dependência econômica</v>
      </c>
      <c r="AK198" s="14" t="str">
        <v/>
      </c>
      <c r="AL198" s="10" t="str">
        <v/>
      </c>
      <c r="AM198" s="10" t="str">
        <v/>
      </c>
      <c r="AN198" s="29" t="str">
        <v/>
      </c>
    </row>
    <row r="199" spans="32:40" x14ac:dyDescent="0.25">
      <c r="AF199" s="19">
        <f>IF(Emolumentos!V5="","",Emolumentos!V5)</f>
        <v>337.21</v>
      </c>
      <c r="AG199" s="20">
        <f>IF(Emolumentos!W5="","",Emolumentos!W5)</f>
        <v>565.83000000000004</v>
      </c>
      <c r="AH199" s="20" t="str">
        <f>IF(Emolumentos!X5="","",Emolumentos!X5)</f>
        <v>e</v>
      </c>
      <c r="AI199" s="24" t="str">
        <f>IF(Emolumentos!Y5="","",Emolumentos!Y5)</f>
        <v>Escritura sem valor declarado - demais escrituras, desde que não tratadas nesta tabela</v>
      </c>
      <c r="AK199" s="14" t="str">
        <v/>
      </c>
      <c r="AL199" s="10" t="str">
        <v/>
      </c>
      <c r="AM199" s="10" t="str">
        <v/>
      </c>
      <c r="AN199" s="29" t="str">
        <v/>
      </c>
    </row>
    <row r="200" spans="32:40" x14ac:dyDescent="0.25">
      <c r="AF200" s="19" t="str">
        <f>IF(Emolumentos!V6="","",Emolumentos!V6)</f>
        <v/>
      </c>
      <c r="AG200" s="20" t="str">
        <f>IF(Emolumentos!W6="","",Emolumentos!W6)</f>
        <v/>
      </c>
      <c r="AH200" s="20" t="str">
        <f>IF(Emolumentos!X6="","",Emolumentos!X6)</f>
        <v/>
      </c>
      <c r="AI200" s="24" t="str">
        <f>IF(Emolumentos!Y6="","",Emolumentos!Y6)</f>
        <v/>
      </c>
      <c r="AK200" s="14" t="str">
        <v/>
      </c>
      <c r="AL200" s="10" t="str">
        <v/>
      </c>
      <c r="AM200" s="10" t="str">
        <v/>
      </c>
      <c r="AN200" s="29" t="str">
        <v/>
      </c>
    </row>
    <row r="201" spans="32:40" x14ac:dyDescent="0.25">
      <c r="AF201" s="19">
        <f>IF(Emolumentos!V7="","",Emolumentos!V7)</f>
        <v>74.2</v>
      </c>
      <c r="AG201" s="20">
        <f>IF(Emolumentos!W7="","",Emolumentos!W7)</f>
        <v>124.49</v>
      </c>
      <c r="AH201" s="20" t="str">
        <f>IF(Emolumentos!X7="","",Emolumentos!X7)</f>
        <v>tS</v>
      </c>
      <c r="AI201" s="24" t="str">
        <f>IF(Emolumentos!Y7="","",Emolumentos!Y7)</f>
        <v>Testamento - público sem conteúdo patrimonial, com ou sem revogação</v>
      </c>
      <c r="AK201" s="14" t="str">
        <v/>
      </c>
      <c r="AL201" s="10" t="str">
        <v/>
      </c>
      <c r="AM201" s="10" t="str">
        <v/>
      </c>
      <c r="AN201" s="29" t="str">
        <v/>
      </c>
    </row>
    <row r="202" spans="32:40" x14ac:dyDescent="0.25">
      <c r="AF202" s="19">
        <f>IF(Emolumentos!V8="","",Emolumentos!V8)</f>
        <v>1348.95</v>
      </c>
      <c r="AG202" s="20">
        <f>IF(Emolumentos!W8="","",Emolumentos!W8)</f>
        <v>2263.5300000000002</v>
      </c>
      <c r="AH202" s="20" t="str">
        <f>IF(Emolumentos!X8="","",Emolumentos!X8)</f>
        <v>tV</v>
      </c>
      <c r="AI202" s="24" t="str">
        <f>IF(Emolumentos!Y8="","",Emolumentos!Y8)</f>
        <v>Testamento - público com ou sem revogação</v>
      </c>
      <c r="AK202" s="14" t="str">
        <v/>
      </c>
      <c r="AL202" s="10" t="str">
        <v/>
      </c>
      <c r="AM202" s="10" t="str">
        <v/>
      </c>
      <c r="AN202" s="29" t="str">
        <v/>
      </c>
    </row>
    <row r="203" spans="32:40" x14ac:dyDescent="0.25">
      <c r="AF203" s="19">
        <f>IF(Emolumentos!V9="","",Emolumentos!V9)</f>
        <v>1348.95</v>
      </c>
      <c r="AG203" s="20">
        <f>IF(Emolumentos!W9="","",Emolumentos!W9)</f>
        <v>2263.5300000000002</v>
      </c>
      <c r="AH203" s="20" t="str">
        <f>IF(Emolumentos!X9="","",Emolumentos!X9)</f>
        <v>tV</v>
      </c>
      <c r="AI203" s="24" t="str">
        <f>IF(Emolumentos!Y9="","",Emolumentos!Y9)</f>
        <v>Testamento - cerrado, pela aprovação e encerramento</v>
      </c>
      <c r="AK203" s="14" t="str">
        <v/>
      </c>
      <c r="AL203" s="10" t="str">
        <v/>
      </c>
      <c r="AM203" s="10" t="str">
        <v/>
      </c>
      <c r="AN203" s="29" t="str">
        <v/>
      </c>
    </row>
    <row r="204" spans="32:40" x14ac:dyDescent="0.25">
      <c r="AF204" s="19">
        <f>IF(Emolumentos!V10="","",Emolumentos!V10)</f>
        <v>224.83</v>
      </c>
      <c r="AG204" s="20">
        <f>IF(Emolumentos!W10="","",Emolumentos!W10)</f>
        <v>377.25</v>
      </c>
      <c r="AH204" s="20" t="str">
        <f>IF(Emolumentos!X10="","",Emolumentos!X10)</f>
        <v>tR</v>
      </c>
      <c r="AI204" s="24" t="str">
        <f>IF(Emolumentos!Y10="","",Emolumentos!Y10)</f>
        <v>Testamento - revogação</v>
      </c>
      <c r="AK204" s="14" t="str">
        <v/>
      </c>
      <c r="AL204" s="10" t="str">
        <v/>
      </c>
      <c r="AM204" s="10" t="str">
        <v/>
      </c>
      <c r="AN204" s="29" t="str">
        <v/>
      </c>
    </row>
    <row r="205" spans="32:40" x14ac:dyDescent="0.25">
      <c r="AF205" s="19" t="str">
        <f>IF(Emolumentos!V11="","",Emolumentos!V11)</f>
        <v/>
      </c>
      <c r="AG205" s="20" t="str">
        <f>IF(Emolumentos!W11="","",Emolumentos!W11)</f>
        <v/>
      </c>
      <c r="AH205" s="20" t="str">
        <f>IF(Emolumentos!X11="","",Emolumentos!X11)</f>
        <v/>
      </c>
      <c r="AI205" s="24" t="str">
        <f>IF(Emolumentos!Y11="","",Emolumentos!Y11)</f>
        <v/>
      </c>
      <c r="AK205" s="14" t="str">
        <v/>
      </c>
      <c r="AL205" s="10" t="str">
        <v/>
      </c>
      <c r="AM205" s="10" t="str">
        <v/>
      </c>
      <c r="AN205" s="29" t="str">
        <v/>
      </c>
    </row>
    <row r="206" spans="32:40" x14ac:dyDescent="0.25">
      <c r="AF206" s="19">
        <f>IF(Emolumentos!V12="","",Emolumentos!V12)</f>
        <v>350.08</v>
      </c>
      <c r="AG206" s="20">
        <f>IF(Emolumentos!W12="","",Emolumentos!W12)</f>
        <v>587.41</v>
      </c>
      <c r="AH206" s="20" t="str">
        <f>IF(Emolumentos!X12="","",Emolumentos!X12)</f>
        <v>a1</v>
      </c>
      <c r="AI206" s="24" t="str">
        <f>IF(Emolumentos!Y12="","",Emolumentos!Y12)</f>
        <v>Ata notarial - pela primeira folha</v>
      </c>
      <c r="AK206" s="14" t="str">
        <v/>
      </c>
      <c r="AL206" s="10" t="str">
        <v/>
      </c>
      <c r="AM206" s="10" t="str">
        <v/>
      </c>
      <c r="AN206" s="29" t="str">
        <v/>
      </c>
    </row>
    <row r="207" spans="32:40" x14ac:dyDescent="0.25">
      <c r="AF207" s="19">
        <f>IF(Emolumentos!V13="","",Emolumentos!V13)</f>
        <v>526.87</v>
      </c>
      <c r="AG207" s="20">
        <f>IF(Emolumentos!W13="","",Emolumentos!W13)</f>
        <v>884.04</v>
      </c>
      <c r="AH207" s="20" t="str">
        <f>IF(Emolumentos!X13="","",Emolumentos!X13)</f>
        <v>a2</v>
      </c>
      <c r="AI207" s="24" t="str">
        <f>IF(Emolumentos!Y13="","",Emolumentos!Y13)</f>
        <v>2 páginas</v>
      </c>
      <c r="AK207" s="14" t="str">
        <v/>
      </c>
      <c r="AL207" s="10" t="str">
        <v/>
      </c>
      <c r="AM207" s="10" t="str">
        <v/>
      </c>
      <c r="AN207" s="29" t="str">
        <v/>
      </c>
    </row>
    <row r="208" spans="32:40" x14ac:dyDescent="0.25">
      <c r="AF208" s="19">
        <f>IF(Emolumentos!V14="","",Emolumentos!V14)</f>
        <v>703.66</v>
      </c>
      <c r="AG208" s="20">
        <f>IF(Emolumentos!W14="","",Emolumentos!W14)</f>
        <v>1180.67</v>
      </c>
      <c r="AH208" s="20" t="str">
        <f>IF(Emolumentos!X14="","",Emolumentos!X14)</f>
        <v>a3</v>
      </c>
      <c r="AI208" s="24" t="str">
        <f>IF(Emolumentos!Y14="","",Emolumentos!Y14)</f>
        <v>3 páginas</v>
      </c>
      <c r="AK208" s="14" t="str">
        <v/>
      </c>
      <c r="AL208" s="10" t="str">
        <v/>
      </c>
      <c r="AM208" s="10" t="str">
        <v/>
      </c>
      <c r="AN208" s="29" t="str">
        <v/>
      </c>
    </row>
    <row r="209" spans="32:40" x14ac:dyDescent="0.25">
      <c r="AF209" s="19">
        <f>IF(Emolumentos!V15="","",Emolumentos!V15)</f>
        <v>880.45</v>
      </c>
      <c r="AG209" s="20">
        <f>IF(Emolumentos!W15="","",Emolumentos!W15)</f>
        <v>1477.3</v>
      </c>
      <c r="AH209" s="20" t="str">
        <f>IF(Emolumentos!X15="","",Emolumentos!X15)</f>
        <v>a4</v>
      </c>
      <c r="AI209" s="24" t="str">
        <f>IF(Emolumentos!Y15="","",Emolumentos!Y15)</f>
        <v>4 páginas</v>
      </c>
      <c r="AK209" s="14" t="str">
        <v/>
      </c>
      <c r="AL209" s="10" t="str">
        <v/>
      </c>
      <c r="AM209" s="10" t="str">
        <v/>
      </c>
      <c r="AN209" s="29" t="str">
        <v/>
      </c>
    </row>
    <row r="210" spans="32:40" x14ac:dyDescent="0.25">
      <c r="AF210" s="19">
        <f>IF(Emolumentos!V16="","",Emolumentos!V16)</f>
        <v>1057.24</v>
      </c>
      <c r="AG210" s="20">
        <f>IF(Emolumentos!W16="","",Emolumentos!W16)</f>
        <v>1773.93</v>
      </c>
      <c r="AH210" s="20" t="str">
        <f>IF(Emolumentos!X16="","",Emolumentos!X16)</f>
        <v>a5</v>
      </c>
      <c r="AI210" s="24" t="str">
        <f>IF(Emolumentos!Y16="","",Emolumentos!Y16)</f>
        <v>5 páginas</v>
      </c>
      <c r="AK210" s="14" t="str">
        <v/>
      </c>
      <c r="AL210" s="10" t="str">
        <v/>
      </c>
      <c r="AM210" s="10" t="str">
        <v/>
      </c>
      <c r="AN210" s="29" t="str">
        <v/>
      </c>
    </row>
    <row r="211" spans="32:40" x14ac:dyDescent="0.25">
      <c r="AF211" s="19">
        <f>IF(Emolumentos!V17="","",Emolumentos!V17)</f>
        <v>1234.03</v>
      </c>
      <c r="AG211" s="20">
        <f>IF(Emolumentos!W17="","",Emolumentos!W17)</f>
        <v>2070.56</v>
      </c>
      <c r="AH211" s="20" t="str">
        <f>IF(Emolumentos!X17="","",Emolumentos!X17)</f>
        <v>a6</v>
      </c>
      <c r="AI211" s="24" t="str">
        <f>IF(Emolumentos!Y17="","",Emolumentos!Y17)</f>
        <v>6 páginas</v>
      </c>
      <c r="AK211" s="14" t="str">
        <v/>
      </c>
      <c r="AL211" s="10" t="str">
        <v/>
      </c>
      <c r="AM211" s="10" t="str">
        <v/>
      </c>
      <c r="AN211" s="29" t="str">
        <v/>
      </c>
    </row>
    <row r="212" spans="32:40" x14ac:dyDescent="0.25">
      <c r="AF212" s="19">
        <f>IF(Emolumentos!V18="","",Emolumentos!V18)</f>
        <v>1410.82</v>
      </c>
      <c r="AG212" s="20">
        <f>IF(Emolumentos!W18="","",Emolumentos!W18)</f>
        <v>2367.19</v>
      </c>
      <c r="AH212" s="20" t="str">
        <f>IF(Emolumentos!X18="","",Emolumentos!X18)</f>
        <v>a7</v>
      </c>
      <c r="AI212" s="24" t="str">
        <f>IF(Emolumentos!Y18="","",Emolumentos!Y18)</f>
        <v>7 páginas</v>
      </c>
      <c r="AK212" s="14" t="str">
        <v/>
      </c>
      <c r="AL212" s="10" t="str">
        <v/>
      </c>
      <c r="AM212" s="10" t="str">
        <v/>
      </c>
      <c r="AN212" s="29" t="str">
        <v/>
      </c>
    </row>
    <row r="213" spans="32:40" x14ac:dyDescent="0.25">
      <c r="AF213" s="19">
        <f>IF(Emolumentos!V19="","",Emolumentos!V19)</f>
        <v>1587.61</v>
      </c>
      <c r="AG213" s="20">
        <f>IF(Emolumentos!W19="","",Emolumentos!W19)</f>
        <v>2663.82</v>
      </c>
      <c r="AH213" s="20" t="str">
        <f>IF(Emolumentos!X19="","",Emolumentos!X19)</f>
        <v>a8</v>
      </c>
      <c r="AI213" s="24" t="str">
        <f>IF(Emolumentos!Y19="","",Emolumentos!Y19)</f>
        <v>8 páginas</v>
      </c>
      <c r="AK213" s="14" t="str">
        <v/>
      </c>
      <c r="AL213" s="10" t="str">
        <v/>
      </c>
      <c r="AM213" s="10" t="str">
        <v/>
      </c>
      <c r="AN213" s="29" t="str">
        <v/>
      </c>
    </row>
    <row r="214" spans="32:40" x14ac:dyDescent="0.25">
      <c r="AF214" s="19">
        <f>IF(Emolumentos!V20="","",Emolumentos!V20)</f>
        <v>1764.4</v>
      </c>
      <c r="AG214" s="20">
        <f>IF(Emolumentos!W20="","",Emolumentos!W20)</f>
        <v>2960.45</v>
      </c>
      <c r="AH214" s="20" t="str">
        <f>IF(Emolumentos!X20="","",Emolumentos!X20)</f>
        <v>a9</v>
      </c>
      <c r="AI214" s="24" t="str">
        <f>IF(Emolumentos!Y20="","",Emolumentos!Y20)</f>
        <v>9 páginas</v>
      </c>
      <c r="AK214" s="14" t="str">
        <v/>
      </c>
      <c r="AL214" s="10" t="str">
        <v/>
      </c>
      <c r="AM214" s="10" t="str">
        <v/>
      </c>
      <c r="AN214" s="29" t="str">
        <v/>
      </c>
    </row>
    <row r="215" spans="32:40" x14ac:dyDescent="0.25">
      <c r="AF215" s="19">
        <f>IF(Emolumentos!V21="","",Emolumentos!V21)</f>
        <v>1941.19</v>
      </c>
      <c r="AG215" s="20">
        <f>IF(Emolumentos!W21="","",Emolumentos!W21)</f>
        <v>3257.08</v>
      </c>
      <c r="AH215" s="20" t="str">
        <f>IF(Emolumentos!X21="","",Emolumentos!X21)</f>
        <v>a10</v>
      </c>
      <c r="AI215" s="24" t="str">
        <f>IF(Emolumentos!Y21="","",Emolumentos!Y21)</f>
        <v>10 páginas</v>
      </c>
      <c r="AK215" s="14" t="str">
        <v/>
      </c>
      <c r="AL215" s="10" t="str">
        <v/>
      </c>
      <c r="AM215" s="10" t="str">
        <v/>
      </c>
      <c r="AN215" s="29" t="str">
        <v/>
      </c>
    </row>
    <row r="216" spans="32:40" x14ac:dyDescent="0.25">
      <c r="AF216" s="19">
        <f>IF(Emolumentos!V22="","",Emolumentos!V22)</f>
        <v>2117.98</v>
      </c>
      <c r="AG216" s="20">
        <f>IF(Emolumentos!W22="","",Emolumentos!W22)</f>
        <v>3553.71</v>
      </c>
      <c r="AH216" s="20" t="str">
        <f>IF(Emolumentos!X22="","",Emolumentos!X22)</f>
        <v>a11</v>
      </c>
      <c r="AI216" s="24" t="str">
        <f>IF(Emolumentos!Y22="","",Emolumentos!Y22)</f>
        <v>11 páginas</v>
      </c>
      <c r="AK216" s="14" t="str">
        <v/>
      </c>
      <c r="AL216" s="10" t="str">
        <v/>
      </c>
      <c r="AM216" s="10" t="str">
        <v/>
      </c>
      <c r="AN216" s="29" t="str">
        <v/>
      </c>
    </row>
    <row r="217" spans="32:40" x14ac:dyDescent="0.25">
      <c r="AF217" s="19">
        <f>IF(Emolumentos!V23="","",Emolumentos!V23)</f>
        <v>2294.77</v>
      </c>
      <c r="AG217" s="20">
        <f>IF(Emolumentos!W23="","",Emolumentos!W23)</f>
        <v>3850.34</v>
      </c>
      <c r="AH217" s="20" t="str">
        <f>IF(Emolumentos!X23="","",Emolumentos!X23)</f>
        <v>a12</v>
      </c>
      <c r="AI217" s="24" t="str">
        <f>IF(Emolumentos!Y23="","",Emolumentos!Y23)</f>
        <v>12 páginas</v>
      </c>
      <c r="AK217" s="14" t="str">
        <v/>
      </c>
      <c r="AL217" s="10" t="str">
        <v/>
      </c>
      <c r="AM217" s="10" t="str">
        <v/>
      </c>
      <c r="AN217" s="29" t="str">
        <v/>
      </c>
    </row>
    <row r="218" spans="32:40" x14ac:dyDescent="0.25">
      <c r="AF218" s="19" t="str">
        <f>IF(Emolumentos!V24="","",Emolumentos!V24)</f>
        <v/>
      </c>
      <c r="AG218" s="20" t="str">
        <f>IF(Emolumentos!W24="","",Emolumentos!W24)</f>
        <v/>
      </c>
      <c r="AH218" s="20" t="str">
        <f>IF(Emolumentos!X24="","",Emolumentos!X24)</f>
        <v/>
      </c>
      <c r="AI218" s="24" t="str">
        <f>IF(Emolumentos!Y24="","",Emolumentos!Y24)</f>
        <v/>
      </c>
      <c r="AK218" s="14" t="str">
        <v/>
      </c>
      <c r="AL218" s="10" t="str">
        <v/>
      </c>
      <c r="AM218" s="10" t="str">
        <v/>
      </c>
      <c r="AN218" s="29" t="str">
        <v/>
      </c>
    </row>
    <row r="219" spans="32:40" x14ac:dyDescent="0.25">
      <c r="AF219" s="19">
        <f>IF(Emolumentos!V25="","",Emolumentos!V25)</f>
        <v>980.23</v>
      </c>
      <c r="AG219" s="20">
        <f>IF(Emolumentos!W25="","",Emolumentos!W25)</f>
        <v>1644.81</v>
      </c>
      <c r="AH219" s="20" t="str">
        <f>IF(Emolumentos!X25="","",Emolumentos!X25)</f>
        <v>o</v>
      </c>
      <c r="AI219" s="24" t="str">
        <f>IF(Emolumentos!Y25="","",Emolumentos!Y25)</f>
        <v>Registro Chancela Mecânica</v>
      </c>
      <c r="AK219" s="14" t="str">
        <v/>
      </c>
      <c r="AL219" s="10" t="str">
        <v/>
      </c>
      <c r="AM219" s="10" t="str">
        <v/>
      </c>
      <c r="AN219" s="29" t="str">
        <v/>
      </c>
    </row>
    <row r="220" spans="32:40" x14ac:dyDescent="0.25">
      <c r="AF220" s="19">
        <f>IF(Emolumentos!V26="","",Emolumentos!V26)</f>
        <v>1298.57</v>
      </c>
      <c r="AG220" s="20">
        <f>IF(Emolumentos!W26="","",Emolumentos!W26)</f>
        <v>2179</v>
      </c>
      <c r="AH220" s="20" t="str">
        <f>IF(Emolumentos!X26="","",Emolumentos!X26)</f>
        <v>o</v>
      </c>
      <c r="AI220" s="24" t="str">
        <f>IF(Emolumentos!Y26="","",Emolumentos!Y26)</f>
        <v>Escritura de Convenção de Condomínio</v>
      </c>
      <c r="AK220" s="14" t="str">
        <v/>
      </c>
      <c r="AL220" s="10" t="str">
        <v/>
      </c>
      <c r="AM220" s="10" t="str">
        <v/>
      </c>
      <c r="AN220" s="29" t="str">
        <v/>
      </c>
    </row>
    <row r="221" spans="32:40" x14ac:dyDescent="0.25">
      <c r="AF221" s="19" t="str">
        <f>IF(Emolumentos!V27="","",Emolumentos!V27)</f>
        <v/>
      </c>
      <c r="AG221" s="20" t="str">
        <f>IF(Emolumentos!W27="","",Emolumentos!W27)</f>
        <v/>
      </c>
      <c r="AH221" s="20" t="str">
        <f>IF(Emolumentos!X27="","",Emolumentos!X27)</f>
        <v/>
      </c>
      <c r="AI221" s="24" t="str">
        <f>IF(Emolumentos!Y27="","",Emolumentos!Y27)</f>
        <v/>
      </c>
      <c r="AK221" s="14" t="str">
        <v/>
      </c>
      <c r="AL221" s="10" t="str">
        <v/>
      </c>
      <c r="AM221" s="10" t="str">
        <v/>
      </c>
      <c r="AN221" s="29" t="str">
        <v/>
      </c>
    </row>
    <row r="222" spans="32:40" x14ac:dyDescent="0.25">
      <c r="AF222" s="19">
        <f>IF(Emolumentos!V28="","",Emolumentos!V28)</f>
        <v>89.96</v>
      </c>
      <c r="AG222" s="20">
        <f>IF(Emolumentos!W28="","",Emolumentos!W28)</f>
        <v>150.91999999999999</v>
      </c>
      <c r="AH222" s="20" t="str">
        <f>IF(Emolumentos!X28="","",Emolumentos!X28)</f>
        <v>apo</v>
      </c>
      <c r="AI222" s="24" t="str">
        <f>IF(Emolumentos!Y28="","",Emolumentos!Y28)</f>
        <v>Apostilamento de Haia</v>
      </c>
      <c r="AK222" s="14" t="str">
        <v/>
      </c>
      <c r="AL222" s="10" t="str">
        <v/>
      </c>
      <c r="AM222" s="10" t="str">
        <v/>
      </c>
      <c r="AN222" s="29" t="str">
        <v/>
      </c>
    </row>
    <row r="223" spans="32:40" x14ac:dyDescent="0.25">
      <c r="AF223" s="19" t="str">
        <f>IF(Emolumentos!V29="","",Emolumentos!V29)</f>
        <v/>
      </c>
      <c r="AG223" s="20" t="str">
        <f>IF(Emolumentos!W29="","",Emolumentos!W29)</f>
        <v/>
      </c>
      <c r="AH223" s="20" t="str">
        <f>IF(Emolumentos!X29="","",Emolumentos!X29)</f>
        <v/>
      </c>
      <c r="AI223" s="24" t="str">
        <f>IF(Emolumentos!Y29="","",Emolumentos!Y29)</f>
        <v/>
      </c>
      <c r="AK223" s="14" t="str">
        <v/>
      </c>
      <c r="AL223" s="10" t="str">
        <v/>
      </c>
      <c r="AM223" s="10" t="str">
        <v/>
      </c>
      <c r="AN223" s="29" t="str">
        <v/>
      </c>
    </row>
    <row r="224" spans="32:40" x14ac:dyDescent="0.25">
      <c r="AF224" s="19" t="str">
        <f>IF(Emolumentos!V30="","",Emolumentos!V30)</f>
        <v/>
      </c>
      <c r="AG224" s="20" t="str">
        <f>IF(Emolumentos!W30="","",Emolumentos!W30)</f>
        <v/>
      </c>
      <c r="AH224" s="20" t="str">
        <f>IF(Emolumentos!X30="","",Emolumentos!X30)</f>
        <v/>
      </c>
      <c r="AI224" s="24" t="str">
        <f>IF(Emolumentos!Y30="","",Emolumentos!Y30)</f>
        <v/>
      </c>
      <c r="AK224" s="14" t="str">
        <v/>
      </c>
      <c r="AL224" s="10" t="str">
        <v/>
      </c>
      <c r="AM224" s="10" t="str">
        <v/>
      </c>
      <c r="AN224" s="29" t="str">
        <v/>
      </c>
    </row>
    <row r="225" spans="32:40" x14ac:dyDescent="0.25">
      <c r="AF225" s="19" t="str">
        <f>IF(Emolumentos!V31="","",Emolumentos!V31)</f>
        <v/>
      </c>
      <c r="AG225" s="20" t="str">
        <f>IF(Emolumentos!W31="","",Emolumentos!W31)</f>
        <v/>
      </c>
      <c r="AH225" s="20" t="str">
        <f>IF(Emolumentos!X31="","",Emolumentos!X31)</f>
        <v/>
      </c>
      <c r="AI225" s="24" t="str">
        <f>IF(Emolumentos!Y31="","",Emolumentos!Y31)</f>
        <v/>
      </c>
      <c r="AK225" s="14" t="str">
        <v/>
      </c>
      <c r="AL225" s="10" t="str">
        <v/>
      </c>
      <c r="AM225" s="10" t="str">
        <v/>
      </c>
      <c r="AN225" s="29" t="str">
        <v/>
      </c>
    </row>
    <row r="226" spans="32:40" x14ac:dyDescent="0.25">
      <c r="AF226" s="19" t="str">
        <f>IF(Emolumentos!V32="","",Emolumentos!V32)</f>
        <v/>
      </c>
      <c r="AG226" s="20" t="str">
        <f>IF(Emolumentos!W32="","",Emolumentos!W32)</f>
        <v/>
      </c>
      <c r="AH226" s="20" t="str">
        <f>IF(Emolumentos!X32="","",Emolumentos!X32)</f>
        <v/>
      </c>
      <c r="AI226" s="24" t="str">
        <f>IF(Emolumentos!Y32="","",Emolumentos!Y32)</f>
        <v/>
      </c>
      <c r="AK226" s="14" t="str">
        <v/>
      </c>
      <c r="AL226" s="10" t="str">
        <v/>
      </c>
      <c r="AM226" s="10" t="str">
        <v/>
      </c>
      <c r="AN226" s="29" t="str">
        <v/>
      </c>
    </row>
    <row r="227" spans="32:40" x14ac:dyDescent="0.25">
      <c r="AF227" s="19" t="str">
        <f>IF(Emolumentos!V33="","",Emolumentos!V33)</f>
        <v/>
      </c>
      <c r="AG227" s="20" t="str">
        <f>IF(Emolumentos!W33="","",Emolumentos!W33)</f>
        <v/>
      </c>
      <c r="AH227" s="20" t="str">
        <f>IF(Emolumentos!X33="","",Emolumentos!X33)</f>
        <v/>
      </c>
      <c r="AI227" s="24" t="str">
        <f>IF(Emolumentos!Y33="","",Emolumentos!Y33)</f>
        <v/>
      </c>
      <c r="AK227" s="14" t="str">
        <v/>
      </c>
      <c r="AL227" s="10" t="str">
        <v/>
      </c>
      <c r="AM227" s="10" t="str">
        <v/>
      </c>
      <c r="AN227" s="29" t="str">
        <v/>
      </c>
    </row>
    <row r="228" spans="32:40" x14ac:dyDescent="0.25">
      <c r="AF228" s="19" t="str">
        <f>IF(Emolumentos!V34="","",Emolumentos!V34)</f>
        <v/>
      </c>
      <c r="AG228" s="20" t="str">
        <f>IF(Emolumentos!W34="","",Emolumentos!W34)</f>
        <v/>
      </c>
      <c r="AH228" s="20" t="str">
        <f>IF(Emolumentos!X34="","",Emolumentos!X34)</f>
        <v/>
      </c>
      <c r="AI228" s="24" t="str">
        <f>IF(Emolumentos!Y34="","",Emolumentos!Y34)</f>
        <v/>
      </c>
      <c r="AK228" s="14" t="str">
        <v/>
      </c>
      <c r="AL228" s="10" t="str">
        <v/>
      </c>
      <c r="AM228" s="10" t="str">
        <v/>
      </c>
      <c r="AN228" s="29" t="str">
        <v/>
      </c>
    </row>
    <row r="229" spans="32:40" x14ac:dyDescent="0.25">
      <c r="AF229" s="19" t="str">
        <f>IF(Emolumentos!V35="","",Emolumentos!V35)</f>
        <v/>
      </c>
      <c r="AG229" s="20" t="str">
        <f>IF(Emolumentos!W35="","",Emolumentos!W35)</f>
        <v/>
      </c>
      <c r="AH229" s="20" t="str">
        <f>IF(Emolumentos!X35="","",Emolumentos!X35)</f>
        <v/>
      </c>
      <c r="AI229" s="24" t="str">
        <f>IF(Emolumentos!Y35="","",Emolumentos!Y35)</f>
        <v/>
      </c>
      <c r="AK229" s="14" t="str">
        <v/>
      </c>
      <c r="AL229" s="10" t="str">
        <v/>
      </c>
      <c r="AM229" s="10" t="str">
        <v/>
      </c>
      <c r="AN229" s="29" t="str">
        <v/>
      </c>
    </row>
    <row r="230" spans="32:40" x14ac:dyDescent="0.25">
      <c r="AF230" s="19" t="str">
        <f>IF(Emolumentos!V36="","",Emolumentos!V36)</f>
        <v/>
      </c>
      <c r="AG230" s="20" t="str">
        <f>IF(Emolumentos!W36="","",Emolumentos!W36)</f>
        <v/>
      </c>
      <c r="AH230" s="20" t="str">
        <f>IF(Emolumentos!X36="","",Emolumentos!X36)</f>
        <v/>
      </c>
      <c r="AI230" s="24" t="str">
        <f>IF(Emolumentos!Y36="","",Emolumentos!Y36)</f>
        <v/>
      </c>
      <c r="AK230" s="14" t="str">
        <v/>
      </c>
      <c r="AL230" s="10" t="str">
        <v/>
      </c>
      <c r="AM230" s="10" t="str">
        <v/>
      </c>
      <c r="AN230" s="29" t="str">
        <v/>
      </c>
    </row>
    <row r="231" spans="32:40" x14ac:dyDescent="0.25">
      <c r="AF231" s="19" t="str">
        <f>IF(Emolumentos!V37="","",Emolumentos!V37)</f>
        <v/>
      </c>
      <c r="AG231" s="20" t="str">
        <f>IF(Emolumentos!W37="","",Emolumentos!W37)</f>
        <v/>
      </c>
      <c r="AH231" s="20" t="str">
        <f>IF(Emolumentos!X37="","",Emolumentos!X37)</f>
        <v/>
      </c>
      <c r="AI231" s="24" t="str">
        <f>IF(Emolumentos!Y37="","",Emolumentos!Y37)</f>
        <v/>
      </c>
      <c r="AK231" s="14" t="str">
        <v/>
      </c>
      <c r="AL231" s="10" t="str">
        <v/>
      </c>
      <c r="AM231" s="10" t="str">
        <v/>
      </c>
      <c r="AN231" s="29" t="str">
        <v/>
      </c>
    </row>
    <row r="232" spans="32:40" x14ac:dyDescent="0.25">
      <c r="AF232" s="19" t="str">
        <f>IF(Emolumentos!V38="","",Emolumentos!V38)</f>
        <v/>
      </c>
      <c r="AG232" s="20" t="str">
        <f>IF(Emolumentos!W38="","",Emolumentos!W38)</f>
        <v/>
      </c>
      <c r="AH232" s="20" t="str">
        <f>IF(Emolumentos!X38="","",Emolumentos!X38)</f>
        <v/>
      </c>
      <c r="AI232" s="24" t="str">
        <f>IF(Emolumentos!Y38="","",Emolumentos!Y38)</f>
        <v/>
      </c>
      <c r="AK232" s="14" t="str">
        <v/>
      </c>
      <c r="AL232" s="10" t="str">
        <v/>
      </c>
      <c r="AM232" s="10" t="str">
        <v/>
      </c>
      <c r="AN232" s="29" t="str">
        <v/>
      </c>
    </row>
    <row r="233" spans="32:40" x14ac:dyDescent="0.25">
      <c r="AF233" s="19" t="str">
        <f>IF(Emolumentos!V39="","",Emolumentos!V39)</f>
        <v/>
      </c>
      <c r="AG233" s="20" t="str">
        <f>IF(Emolumentos!W39="","",Emolumentos!W39)</f>
        <v/>
      </c>
      <c r="AH233" s="20" t="str">
        <f>IF(Emolumentos!X39="","",Emolumentos!X39)</f>
        <v/>
      </c>
      <c r="AI233" s="24" t="str">
        <f>IF(Emolumentos!Y39="","",Emolumentos!Y39)</f>
        <v/>
      </c>
      <c r="AK233" s="14" t="str">
        <v/>
      </c>
      <c r="AL233" s="10" t="str">
        <v/>
      </c>
      <c r="AM233" s="10" t="str">
        <v/>
      </c>
      <c r="AN233" s="29" t="str">
        <v/>
      </c>
    </row>
    <row r="234" spans="32:40" x14ac:dyDescent="0.25">
      <c r="AF234" s="19" t="str">
        <f>IF(Emolumentos!V40="","",Emolumentos!V40)</f>
        <v/>
      </c>
      <c r="AG234" s="20" t="str">
        <f>IF(Emolumentos!W40="","",Emolumentos!W40)</f>
        <v/>
      </c>
      <c r="AH234" s="20" t="str">
        <f>IF(Emolumentos!X40="","",Emolumentos!X40)</f>
        <v/>
      </c>
      <c r="AI234" s="24" t="str">
        <f>IF(Emolumentos!Y40="","",Emolumentos!Y40)</f>
        <v/>
      </c>
      <c r="AK234" s="14" t="str">
        <v/>
      </c>
      <c r="AL234" s="10" t="str">
        <v/>
      </c>
      <c r="AM234" s="10" t="str">
        <v/>
      </c>
      <c r="AN234" s="29" t="str">
        <v/>
      </c>
    </row>
    <row r="235" spans="32:40" x14ac:dyDescent="0.25">
      <c r="AF235" s="19" t="str">
        <f>IF(Emolumentos!V41="","",Emolumentos!V41)</f>
        <v/>
      </c>
      <c r="AG235" s="20" t="str">
        <f>IF(Emolumentos!W41="","",Emolumentos!W41)</f>
        <v/>
      </c>
      <c r="AH235" s="20" t="str">
        <f>IF(Emolumentos!X41="","",Emolumentos!X41)</f>
        <v/>
      </c>
      <c r="AI235" s="24" t="str">
        <f>IF(Emolumentos!Y41="","",Emolumentos!Y41)</f>
        <v/>
      </c>
      <c r="AK235" s="14" t="str">
        <v/>
      </c>
      <c r="AL235" s="10" t="str">
        <v/>
      </c>
      <c r="AM235" s="10" t="str">
        <v/>
      </c>
      <c r="AN235" s="29" t="str">
        <v/>
      </c>
    </row>
    <row r="236" spans="32:40" x14ac:dyDescent="0.25">
      <c r="AF236" s="19" t="str">
        <f>IF(Emolumentos!V42="","",Emolumentos!V42)</f>
        <v/>
      </c>
      <c r="AG236" s="20" t="str">
        <f>IF(Emolumentos!W42="","",Emolumentos!W42)</f>
        <v/>
      </c>
      <c r="AH236" s="20" t="str">
        <f>IF(Emolumentos!X42="","",Emolumentos!X42)</f>
        <v/>
      </c>
      <c r="AI236" s="24" t="str">
        <f>IF(Emolumentos!Y42="","",Emolumentos!Y42)</f>
        <v/>
      </c>
      <c r="AK236" s="14" t="str">
        <v/>
      </c>
      <c r="AL236" s="10" t="str">
        <v/>
      </c>
      <c r="AM236" s="10" t="str">
        <v/>
      </c>
      <c r="AN236" s="29" t="str">
        <v/>
      </c>
    </row>
    <row r="237" spans="32:40" x14ac:dyDescent="0.25">
      <c r="AF237" s="19" t="str">
        <f>IF(Emolumentos!V43="","",Emolumentos!V43)</f>
        <v/>
      </c>
      <c r="AG237" s="20" t="str">
        <f>IF(Emolumentos!W43="","",Emolumentos!W43)</f>
        <v/>
      </c>
      <c r="AH237" s="20" t="str">
        <f>IF(Emolumentos!X43="","",Emolumentos!X43)</f>
        <v/>
      </c>
      <c r="AI237" s="24" t="str">
        <f>IF(Emolumentos!Y43="","",Emolumentos!Y43)</f>
        <v/>
      </c>
      <c r="AK237" s="14" t="str">
        <v/>
      </c>
      <c r="AL237" s="10" t="str">
        <v/>
      </c>
      <c r="AM237" s="10" t="str">
        <v/>
      </c>
      <c r="AN237" s="29" t="str">
        <v/>
      </c>
    </row>
    <row r="238" spans="32:40" x14ac:dyDescent="0.25">
      <c r="AF238" s="19" t="str">
        <f>IF(Emolumentos!V44="","",Emolumentos!V44)</f>
        <v/>
      </c>
      <c r="AG238" s="20" t="str">
        <f>IF(Emolumentos!W44="","",Emolumentos!W44)</f>
        <v/>
      </c>
      <c r="AH238" s="20" t="str">
        <f>IF(Emolumentos!X44="","",Emolumentos!X44)</f>
        <v/>
      </c>
      <c r="AI238" s="24" t="str">
        <f>IF(Emolumentos!Y44="","",Emolumentos!Y44)</f>
        <v/>
      </c>
      <c r="AK238" s="14" t="str">
        <v/>
      </c>
      <c r="AL238" s="10" t="str">
        <v/>
      </c>
      <c r="AM238" s="10" t="str">
        <v/>
      </c>
      <c r="AN238" s="29" t="str">
        <v/>
      </c>
    </row>
    <row r="239" spans="32:40" x14ac:dyDescent="0.25">
      <c r="AF239" s="19" t="str">
        <f>IF(Emolumentos!V45="","",Emolumentos!V45)</f>
        <v/>
      </c>
      <c r="AG239" s="20" t="str">
        <f>IF(Emolumentos!W45="","",Emolumentos!W45)</f>
        <v/>
      </c>
      <c r="AH239" s="20" t="str">
        <f>IF(Emolumentos!X45="","",Emolumentos!X45)</f>
        <v/>
      </c>
      <c r="AI239" s="24" t="str">
        <f>IF(Emolumentos!Y45="","",Emolumentos!Y45)</f>
        <v/>
      </c>
      <c r="AK239" s="14" t="str">
        <v/>
      </c>
      <c r="AL239" s="10" t="str">
        <v/>
      </c>
      <c r="AM239" s="10" t="str">
        <v/>
      </c>
      <c r="AN239" s="29" t="str">
        <v/>
      </c>
    </row>
    <row r="240" spans="32:40" x14ac:dyDescent="0.25">
      <c r="AF240" s="19" t="str">
        <f>IF(Emolumentos!V46="","",Emolumentos!V46)</f>
        <v/>
      </c>
      <c r="AG240" s="20" t="str">
        <f>IF(Emolumentos!W46="","",Emolumentos!W46)</f>
        <v/>
      </c>
      <c r="AH240" s="20" t="str">
        <f>IF(Emolumentos!X46="","",Emolumentos!X46)</f>
        <v/>
      </c>
      <c r="AI240" s="24" t="str">
        <f>IF(Emolumentos!Y46="","",Emolumentos!Y46)</f>
        <v/>
      </c>
      <c r="AK240" s="14" t="str">
        <v/>
      </c>
      <c r="AL240" s="10" t="str">
        <v/>
      </c>
      <c r="AM240" s="10" t="str">
        <v/>
      </c>
      <c r="AN240" s="29" t="str">
        <v/>
      </c>
    </row>
    <row r="241" spans="32:40" x14ac:dyDescent="0.25">
      <c r="AF241" s="19" t="str">
        <f>IF(Emolumentos!V47="","",Emolumentos!V47)</f>
        <v/>
      </c>
      <c r="AG241" s="20" t="str">
        <f>IF(Emolumentos!W47="","",Emolumentos!W47)</f>
        <v/>
      </c>
      <c r="AH241" s="20" t="str">
        <f>IF(Emolumentos!X47="","",Emolumentos!X47)</f>
        <v/>
      </c>
      <c r="AI241" s="24" t="str">
        <f>IF(Emolumentos!Y47="","",Emolumentos!Y47)</f>
        <v/>
      </c>
      <c r="AK241" s="14" t="str">
        <v/>
      </c>
      <c r="AL241" s="10" t="str">
        <v/>
      </c>
      <c r="AM241" s="10" t="str">
        <v/>
      </c>
      <c r="AN241" s="29" t="str">
        <v/>
      </c>
    </row>
    <row r="242" spans="32:40" x14ac:dyDescent="0.25">
      <c r="AF242" s="19" t="str">
        <f>IF(Emolumentos!V48="","",Emolumentos!V48)</f>
        <v/>
      </c>
      <c r="AG242" s="20" t="str">
        <f>IF(Emolumentos!W48="","",Emolumentos!W48)</f>
        <v/>
      </c>
      <c r="AH242" s="20" t="str">
        <f>IF(Emolumentos!X48="","",Emolumentos!X48)</f>
        <v/>
      </c>
      <c r="AI242" s="24" t="str">
        <f>IF(Emolumentos!Y48="","",Emolumentos!Y48)</f>
        <v/>
      </c>
      <c r="AK242" s="14" t="str">
        <v/>
      </c>
      <c r="AL242" s="10" t="str">
        <v/>
      </c>
      <c r="AM242" s="10" t="str">
        <v/>
      </c>
      <c r="AN242" s="29" t="str">
        <v/>
      </c>
    </row>
    <row r="243" spans="32:40" x14ac:dyDescent="0.25">
      <c r="AF243" s="19" t="str">
        <f>IF(Emolumentos!V49="","",Emolumentos!V49)</f>
        <v/>
      </c>
      <c r="AG243" s="20" t="str">
        <f>IF(Emolumentos!W49="","",Emolumentos!W49)</f>
        <v/>
      </c>
      <c r="AH243" s="20" t="str">
        <f>IF(Emolumentos!X49="","",Emolumentos!X49)</f>
        <v/>
      </c>
      <c r="AI243" s="24" t="str">
        <f>IF(Emolumentos!Y49="","",Emolumentos!Y49)</f>
        <v/>
      </c>
      <c r="AK243" s="14" t="str">
        <v/>
      </c>
      <c r="AL243" s="10" t="str">
        <v/>
      </c>
      <c r="AM243" s="10" t="str">
        <v/>
      </c>
      <c r="AN243" s="29" t="str">
        <v/>
      </c>
    </row>
    <row r="244" spans="32:40" x14ac:dyDescent="0.25">
      <c r="AF244" s="19" t="str">
        <f>IF(Emolumentos!V50="","",Emolumentos!V50)</f>
        <v/>
      </c>
      <c r="AG244" s="20" t="str">
        <f>IF(Emolumentos!W50="","",Emolumentos!W50)</f>
        <v/>
      </c>
      <c r="AH244" s="20" t="str">
        <f>IF(Emolumentos!X50="","",Emolumentos!X50)</f>
        <v/>
      </c>
      <c r="AI244" s="24" t="str">
        <f>IF(Emolumentos!Y50="","",Emolumentos!Y50)</f>
        <v/>
      </c>
      <c r="AK244" s="14" t="str">
        <v/>
      </c>
      <c r="AL244" s="10" t="str">
        <v/>
      </c>
      <c r="AM244" s="10" t="str">
        <v/>
      </c>
      <c r="AN244" s="29" t="str">
        <v/>
      </c>
    </row>
    <row r="245" spans="32:40" x14ac:dyDescent="0.25">
      <c r="AF245" s="19" t="str">
        <f>IF(Emolumentos!V51="","",Emolumentos!V51)</f>
        <v/>
      </c>
      <c r="AG245" s="20" t="str">
        <f>IF(Emolumentos!W51="","",Emolumentos!W51)</f>
        <v/>
      </c>
      <c r="AH245" s="20" t="str">
        <f>IF(Emolumentos!X51="","",Emolumentos!X51)</f>
        <v/>
      </c>
      <c r="AI245" s="24" t="str">
        <f>IF(Emolumentos!Y51="","",Emolumentos!Y51)</f>
        <v/>
      </c>
      <c r="AK245" s="14" t="str">
        <v/>
      </c>
      <c r="AL245" s="10" t="str">
        <v/>
      </c>
      <c r="AM245" s="10" t="str">
        <v/>
      </c>
      <c r="AN245" s="29" t="str">
        <v/>
      </c>
    </row>
    <row r="246" spans="32:40" x14ac:dyDescent="0.25">
      <c r="AF246" s="19" t="str">
        <f>IF(Emolumentos!V52="","",Emolumentos!V52)</f>
        <v/>
      </c>
      <c r="AG246" s="20" t="str">
        <f>IF(Emolumentos!W52="","",Emolumentos!W52)</f>
        <v/>
      </c>
      <c r="AH246" s="20" t="str">
        <f>IF(Emolumentos!X52="","",Emolumentos!X52)</f>
        <v/>
      </c>
      <c r="AI246" s="24" t="str">
        <f>IF(Emolumentos!Y52="","",Emolumentos!Y52)</f>
        <v/>
      </c>
      <c r="AK246" s="14" t="str">
        <v/>
      </c>
      <c r="AL246" s="10" t="str">
        <v/>
      </c>
      <c r="AM246" s="10" t="str">
        <v/>
      </c>
      <c r="AN246" s="29" t="str">
        <v/>
      </c>
    </row>
    <row r="247" spans="32:40" x14ac:dyDescent="0.25">
      <c r="AF247" s="19" t="str">
        <f>IF(Emolumentos!V53="","",Emolumentos!V53)</f>
        <v/>
      </c>
      <c r="AG247" s="20" t="str">
        <f>IF(Emolumentos!W53="","",Emolumentos!W53)</f>
        <v/>
      </c>
      <c r="AH247" s="20" t="str">
        <f>IF(Emolumentos!X53="","",Emolumentos!X53)</f>
        <v/>
      </c>
      <c r="AI247" s="24" t="str">
        <f>IF(Emolumentos!Y53="","",Emolumentos!Y53)</f>
        <v/>
      </c>
      <c r="AK247" s="14" t="str">
        <v/>
      </c>
      <c r="AL247" s="10" t="str">
        <v/>
      </c>
      <c r="AM247" s="10" t="str">
        <v/>
      </c>
      <c r="AN247" s="29" t="str">
        <v/>
      </c>
    </row>
    <row r="248" spans="32:40" x14ac:dyDescent="0.25">
      <c r="AF248" s="19" t="str">
        <f>IF(Emolumentos!V54="","",Emolumentos!V54)</f>
        <v/>
      </c>
      <c r="AG248" s="20" t="str">
        <f>IF(Emolumentos!W54="","",Emolumentos!W54)</f>
        <v/>
      </c>
      <c r="AH248" s="20" t="str">
        <f>IF(Emolumentos!X54="","",Emolumentos!X54)</f>
        <v/>
      </c>
      <c r="AI248" s="24" t="str">
        <f>IF(Emolumentos!Y54="","",Emolumentos!Y54)</f>
        <v/>
      </c>
      <c r="AK248" s="14" t="str">
        <v/>
      </c>
      <c r="AL248" s="10" t="str">
        <v/>
      </c>
      <c r="AM248" s="10" t="str">
        <v/>
      </c>
      <c r="AN248" s="29" t="str">
        <v/>
      </c>
    </row>
    <row r="249" spans="32:40" x14ac:dyDescent="0.25">
      <c r="AF249" s="19" t="str">
        <f>IF(Emolumentos!V55="","",Emolumentos!V55)</f>
        <v/>
      </c>
      <c r="AG249" s="20" t="str">
        <f>IF(Emolumentos!W55="","",Emolumentos!W55)</f>
        <v/>
      </c>
      <c r="AH249" s="20" t="str">
        <f>IF(Emolumentos!X55="","",Emolumentos!X55)</f>
        <v/>
      </c>
      <c r="AI249" s="24" t="str">
        <f>IF(Emolumentos!Y55="","",Emolumentos!Y55)</f>
        <v/>
      </c>
      <c r="AK249" s="14" t="str">
        <v/>
      </c>
      <c r="AL249" s="10" t="str">
        <v/>
      </c>
      <c r="AM249" s="10" t="str">
        <v/>
      </c>
      <c r="AN249" s="29" t="str">
        <v/>
      </c>
    </row>
    <row r="250" spans="32:40" x14ac:dyDescent="0.25">
      <c r="AF250" s="19" t="str">
        <f>IF(Emolumentos!V56="","",Emolumentos!V56)</f>
        <v/>
      </c>
      <c r="AG250" s="20" t="str">
        <f>IF(Emolumentos!W56="","",Emolumentos!W56)</f>
        <v/>
      </c>
      <c r="AH250" s="20" t="str">
        <f>IF(Emolumentos!X56="","",Emolumentos!X56)</f>
        <v/>
      </c>
      <c r="AI250" s="24" t="str">
        <f>IF(Emolumentos!Y56="","",Emolumentos!Y56)</f>
        <v/>
      </c>
      <c r="AK250" s="14" t="str">
        <v/>
      </c>
      <c r="AL250" s="10" t="str">
        <v/>
      </c>
      <c r="AM250" s="10" t="str">
        <v/>
      </c>
      <c r="AN250" s="29" t="str">
        <v/>
      </c>
    </row>
    <row r="251" spans="32:40" x14ac:dyDescent="0.25">
      <c r="AF251" s="19" t="str">
        <f>IF(Emolumentos!V57="","",Emolumentos!V57)</f>
        <v/>
      </c>
      <c r="AG251" s="20" t="str">
        <f>IF(Emolumentos!W57="","",Emolumentos!W57)</f>
        <v/>
      </c>
      <c r="AH251" s="20" t="str">
        <f>IF(Emolumentos!X57="","",Emolumentos!X57)</f>
        <v/>
      </c>
      <c r="AI251" s="24" t="str">
        <f>IF(Emolumentos!Y57="","",Emolumentos!Y57)</f>
        <v/>
      </c>
      <c r="AK251" s="14" t="str">
        <v/>
      </c>
      <c r="AL251" s="10" t="str">
        <v/>
      </c>
      <c r="AM251" s="10" t="str">
        <v/>
      </c>
      <c r="AN251" s="29" t="str">
        <v/>
      </c>
    </row>
    <row r="252" spans="32:40" x14ac:dyDescent="0.25">
      <c r="AF252" s="19" t="str">
        <f>IF(Emolumentos!V58="","",Emolumentos!V58)</f>
        <v/>
      </c>
      <c r="AG252" s="20" t="str">
        <f>IF(Emolumentos!W58="","",Emolumentos!W58)</f>
        <v/>
      </c>
      <c r="AH252" s="20" t="str">
        <f>IF(Emolumentos!X58="","",Emolumentos!X58)</f>
        <v/>
      </c>
      <c r="AI252" s="24" t="str">
        <f>IF(Emolumentos!Y58="","",Emolumentos!Y58)</f>
        <v/>
      </c>
      <c r="AK252" s="14" t="str">
        <v/>
      </c>
      <c r="AL252" s="10" t="str">
        <v/>
      </c>
      <c r="AM252" s="10" t="str">
        <v/>
      </c>
      <c r="AN252" s="29" t="str">
        <v/>
      </c>
    </row>
    <row r="253" spans="32:40" x14ac:dyDescent="0.25">
      <c r="AF253" s="19" t="str">
        <f>IF(Emolumentos!V59="","",Emolumentos!V59)</f>
        <v/>
      </c>
      <c r="AG253" s="20" t="str">
        <f>IF(Emolumentos!W59="","",Emolumentos!W59)</f>
        <v/>
      </c>
      <c r="AH253" s="20" t="str">
        <f>IF(Emolumentos!X59="","",Emolumentos!X59)</f>
        <v/>
      </c>
      <c r="AI253" s="24" t="str">
        <f>IF(Emolumentos!Y59="","",Emolumentos!Y59)</f>
        <v/>
      </c>
      <c r="AK253" s="14" t="str">
        <v/>
      </c>
      <c r="AL253" s="10" t="str">
        <v/>
      </c>
      <c r="AM253" s="10" t="str">
        <v/>
      </c>
      <c r="AN253" s="29" t="str">
        <v/>
      </c>
    </row>
    <row r="254" spans="32:40" x14ac:dyDescent="0.25">
      <c r="AF254" s="19" t="str">
        <f>IF(Emolumentos!V60="","",Emolumentos!V60)</f>
        <v/>
      </c>
      <c r="AG254" s="20" t="str">
        <f>IF(Emolumentos!W60="","",Emolumentos!W60)</f>
        <v/>
      </c>
      <c r="AH254" s="20" t="str">
        <f>IF(Emolumentos!X60="","",Emolumentos!X60)</f>
        <v/>
      </c>
      <c r="AI254" s="24" t="str">
        <f>IF(Emolumentos!Y60="","",Emolumentos!Y60)</f>
        <v/>
      </c>
      <c r="AK254" s="14" t="str">
        <v/>
      </c>
      <c r="AL254" s="10" t="str">
        <v/>
      </c>
      <c r="AM254" s="10" t="str">
        <v/>
      </c>
      <c r="AN254" s="29" t="str">
        <v/>
      </c>
    </row>
    <row r="255" spans="32:40" x14ac:dyDescent="0.25">
      <c r="AF255" s="19" t="str">
        <f>IF(Emolumentos!V61="","",Emolumentos!V61)</f>
        <v/>
      </c>
      <c r="AG255" s="20" t="str">
        <f>IF(Emolumentos!W61="","",Emolumentos!W61)</f>
        <v/>
      </c>
      <c r="AH255" s="20" t="str">
        <f>IF(Emolumentos!X61="","",Emolumentos!X61)</f>
        <v/>
      </c>
      <c r="AI255" s="24" t="str">
        <f>IF(Emolumentos!Y61="","",Emolumentos!Y61)</f>
        <v/>
      </c>
      <c r="AK255" s="14" t="str">
        <v/>
      </c>
      <c r="AL255" s="10" t="str">
        <v/>
      </c>
      <c r="AM255" s="10" t="str">
        <v/>
      </c>
      <c r="AN255" s="29" t="str">
        <v/>
      </c>
    </row>
    <row r="256" spans="32:40" x14ac:dyDescent="0.25">
      <c r="AF256" s="21" t="str">
        <f>IF(Emolumentos!V62="","",Emolumentos!V62)</f>
        <v/>
      </c>
      <c r="AG256" s="22" t="str">
        <f>IF(Emolumentos!W62="","",Emolumentos!W62)</f>
        <v/>
      </c>
      <c r="AH256" s="22" t="str">
        <f>IF(Emolumentos!X62="","",Emolumentos!X62)</f>
        <v/>
      </c>
      <c r="AI256" s="25" t="str">
        <f>IF(Emolumentos!Y62="","",Emolumentos!Y62)</f>
        <v/>
      </c>
      <c r="AK256" s="15" t="str">
        <v/>
      </c>
      <c r="AL256" s="16" t="str">
        <v/>
      </c>
      <c r="AM256" s="16" t="str">
        <v/>
      </c>
      <c r="AN256" s="30" t="str">
        <v/>
      </c>
    </row>
  </sheetData>
  <sheetProtection sheet="1" objects="1" scenarios="1" selectLockedCells="1"/>
  <mergeCells count="3">
    <mergeCell ref="X2:Y2"/>
    <mergeCell ref="H2:J2"/>
    <mergeCell ref="L2:M2"/>
  </mergeCells>
  <pageMargins left="0.511811024" right="0.511811024" top="0.78740157499999996" bottom="0.78740157499999996" header="0.31496062000000002" footer="0.31496062000000002"/>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920FE-9BB9-41CB-95D4-559C7495B178}">
  <sheetPr codeName="Planilha3"/>
  <dimension ref="B2:AC121"/>
  <sheetViews>
    <sheetView topLeftCell="A8" zoomScaleNormal="100" workbookViewId="0">
      <selection activeCell="AE15" sqref="AE15"/>
    </sheetView>
  </sheetViews>
  <sheetFormatPr defaultColWidth="9.140625" defaultRowHeight="15" x14ac:dyDescent="0.25"/>
  <cols>
    <col min="1" max="1" width="1" style="20" customWidth="1"/>
    <col min="2" max="5" width="9.140625" style="20"/>
    <col min="6" max="6" width="1" style="20" customWidth="1"/>
    <col min="7" max="10" width="9.140625" style="20"/>
    <col min="11" max="11" width="1" style="20" customWidth="1"/>
    <col min="12" max="15" width="9.140625" style="20"/>
    <col min="16" max="16" width="1" style="20" customWidth="1"/>
    <col min="17" max="20" width="9.140625" style="20"/>
    <col min="21" max="21" width="1" style="20" customWidth="1"/>
    <col min="22" max="25" width="9.140625" style="20"/>
    <col min="26" max="26" width="1" style="20" customWidth="1"/>
    <col min="27" max="16384" width="9.140625" style="20"/>
  </cols>
  <sheetData>
    <row r="2" spans="2:29" x14ac:dyDescent="0.25">
      <c r="C2" s="20" t="s">
        <v>77</v>
      </c>
      <c r="H2" s="20" t="s">
        <v>78</v>
      </c>
      <c r="M2" s="20" t="s">
        <v>90</v>
      </c>
      <c r="R2" s="20" t="s">
        <v>98</v>
      </c>
      <c r="W2" s="20" t="s">
        <v>14</v>
      </c>
    </row>
    <row r="3" spans="2:29" x14ac:dyDescent="0.25">
      <c r="G3" s="20">
        <v>44.95</v>
      </c>
      <c r="H3" s="20">
        <v>75.430000000000007</v>
      </c>
    </row>
    <row r="4" spans="2:29" x14ac:dyDescent="0.25">
      <c r="B4" s="17">
        <v>195.6</v>
      </c>
      <c r="C4" s="18">
        <v>328.2</v>
      </c>
      <c r="D4" s="18" t="s">
        <v>95</v>
      </c>
      <c r="E4" s="23"/>
      <c r="G4" s="17">
        <v>67.459999999999994</v>
      </c>
      <c r="H4" s="18">
        <v>113.19</v>
      </c>
      <c r="I4" s="18" t="s">
        <v>152</v>
      </c>
      <c r="J4" s="23" t="s">
        <v>83</v>
      </c>
      <c r="L4" s="17">
        <v>2.84</v>
      </c>
      <c r="M4" s="18">
        <v>4.7699999999999996</v>
      </c>
      <c r="N4" s="18" t="s">
        <v>162</v>
      </c>
      <c r="O4" s="23" t="s">
        <v>94</v>
      </c>
      <c r="Q4" s="17">
        <v>51.26</v>
      </c>
      <c r="R4" s="18">
        <v>86.01</v>
      </c>
      <c r="S4" s="18" t="s">
        <v>157</v>
      </c>
      <c r="T4" s="23" t="s">
        <v>99</v>
      </c>
      <c r="V4" s="17">
        <v>65.209999999999994</v>
      </c>
      <c r="W4" s="18">
        <v>109.4</v>
      </c>
      <c r="X4" s="18" t="s">
        <v>161</v>
      </c>
      <c r="Y4" s="23" t="s">
        <v>100</v>
      </c>
    </row>
    <row r="5" spans="2:29" x14ac:dyDescent="0.25">
      <c r="B5" s="19">
        <v>292.3</v>
      </c>
      <c r="C5" s="20">
        <v>490.46</v>
      </c>
      <c r="D5" s="20" t="s">
        <v>96</v>
      </c>
      <c r="E5" s="24"/>
      <c r="G5" s="19">
        <v>84.32</v>
      </c>
      <c r="H5" s="20">
        <v>141.47</v>
      </c>
      <c r="I5" s="20" t="s">
        <v>152</v>
      </c>
      <c r="J5" s="24" t="s">
        <v>79</v>
      </c>
      <c r="L5" s="19">
        <v>4.9000000000000004</v>
      </c>
      <c r="M5" s="20">
        <v>8.2200000000000006</v>
      </c>
      <c r="N5" s="20" t="s">
        <v>155</v>
      </c>
      <c r="O5" s="24" t="s">
        <v>91</v>
      </c>
      <c r="Q5" s="19">
        <v>10.59</v>
      </c>
      <c r="R5" s="20">
        <v>17.79</v>
      </c>
      <c r="S5" s="20" t="s">
        <v>158</v>
      </c>
      <c r="T5" s="24" t="s">
        <v>120</v>
      </c>
      <c r="V5" s="19">
        <v>337.21</v>
      </c>
      <c r="W5" s="20">
        <v>565.83000000000004</v>
      </c>
      <c r="X5" s="20" t="s">
        <v>161</v>
      </c>
      <c r="Y5" s="24" t="s">
        <v>101</v>
      </c>
    </row>
    <row r="6" spans="2:29" x14ac:dyDescent="0.25">
      <c r="B6" s="19">
        <v>456.39</v>
      </c>
      <c r="C6" s="20">
        <v>765.8</v>
      </c>
      <c r="D6" s="20" t="s">
        <v>97</v>
      </c>
      <c r="E6" s="24"/>
      <c r="G6" s="19">
        <v>101.88</v>
      </c>
      <c r="H6" s="20">
        <v>169.75</v>
      </c>
      <c r="I6" s="20" t="s">
        <v>152</v>
      </c>
      <c r="J6" s="24" t="s">
        <v>80</v>
      </c>
      <c r="L6" s="19">
        <v>7.51</v>
      </c>
      <c r="M6" s="20">
        <v>12.59</v>
      </c>
      <c r="N6" s="20" t="s">
        <v>156</v>
      </c>
      <c r="O6" s="24" t="s">
        <v>92</v>
      </c>
      <c r="Q6" s="19">
        <v>1.71</v>
      </c>
      <c r="R6" s="20">
        <v>2.87</v>
      </c>
      <c r="S6" s="20" t="s">
        <v>159</v>
      </c>
      <c r="T6" s="24" t="s">
        <v>121</v>
      </c>
      <c r="V6" s="19"/>
      <c r="Y6" s="24"/>
    </row>
    <row r="7" spans="2:29" x14ac:dyDescent="0.25">
      <c r="B7" s="19">
        <v>651.98</v>
      </c>
      <c r="C7" s="20">
        <v>1094.01</v>
      </c>
      <c r="D7" s="20" t="s">
        <v>124</v>
      </c>
      <c r="E7" s="24"/>
      <c r="G7" s="19">
        <v>118.74</v>
      </c>
      <c r="H7" s="20">
        <v>198.03</v>
      </c>
      <c r="I7" s="20" t="s">
        <v>152</v>
      </c>
      <c r="J7" s="24" t="s">
        <v>81</v>
      </c>
      <c r="L7" s="19">
        <v>12.55</v>
      </c>
      <c r="M7" s="20">
        <v>21.06</v>
      </c>
      <c r="N7" s="20" t="s">
        <v>76</v>
      </c>
      <c r="O7" s="24" t="s">
        <v>93</v>
      </c>
      <c r="Q7" s="19">
        <v>16.05</v>
      </c>
      <c r="R7" s="20">
        <v>26.93</v>
      </c>
      <c r="S7" s="20" t="s">
        <v>160</v>
      </c>
      <c r="T7" s="24" t="s">
        <v>122</v>
      </c>
      <c r="V7" s="19">
        <v>74.2</v>
      </c>
      <c r="W7" s="20">
        <v>124.49</v>
      </c>
      <c r="X7" s="20" t="s">
        <v>220</v>
      </c>
      <c r="Y7" s="24" t="s">
        <v>114</v>
      </c>
    </row>
    <row r="8" spans="2:29" x14ac:dyDescent="0.25">
      <c r="B8" s="19">
        <v>881.29</v>
      </c>
      <c r="C8" s="20">
        <v>1478.78</v>
      </c>
      <c r="D8" s="20" t="s">
        <v>127</v>
      </c>
      <c r="E8" s="24"/>
      <c r="G8" s="19">
        <v>135.6</v>
      </c>
      <c r="H8" s="20">
        <v>226.31</v>
      </c>
      <c r="I8" s="20" t="s">
        <v>152</v>
      </c>
      <c r="J8" s="24" t="s">
        <v>82</v>
      </c>
      <c r="L8" s="19"/>
      <c r="O8" s="24"/>
      <c r="Q8" s="19"/>
      <c r="T8" s="24"/>
      <c r="V8" s="19">
        <v>1348.95</v>
      </c>
      <c r="W8" s="20">
        <v>2263.5300000000002</v>
      </c>
      <c r="X8" s="20" t="s">
        <v>221</v>
      </c>
      <c r="Y8" s="24" t="s">
        <v>115</v>
      </c>
    </row>
    <row r="9" spans="2:29" x14ac:dyDescent="0.25">
      <c r="B9" s="19">
        <v>1045.43</v>
      </c>
      <c r="C9" s="20">
        <v>1754.21</v>
      </c>
      <c r="D9" s="20" t="s">
        <v>125</v>
      </c>
      <c r="E9" s="24"/>
      <c r="G9" s="19">
        <v>33.700000000000003</v>
      </c>
      <c r="H9" s="20">
        <v>56.54</v>
      </c>
      <c r="I9" s="20" t="s">
        <v>152</v>
      </c>
      <c r="J9" s="24" t="s">
        <v>85</v>
      </c>
      <c r="L9" s="19"/>
      <c r="O9" s="24"/>
      <c r="Q9" s="19"/>
      <c r="T9" s="24"/>
      <c r="V9" s="19">
        <v>1348.95</v>
      </c>
      <c r="W9" s="20">
        <v>2263.5300000000002</v>
      </c>
      <c r="X9" s="20" t="s">
        <v>221</v>
      </c>
      <c r="Y9" s="24" t="s">
        <v>116</v>
      </c>
    </row>
    <row r="10" spans="2:29" x14ac:dyDescent="0.25">
      <c r="B10" s="19">
        <v>1241.02</v>
      </c>
      <c r="C10" s="20">
        <v>2082.42</v>
      </c>
      <c r="D10" s="20" t="s">
        <v>126</v>
      </c>
      <c r="E10" s="24"/>
      <c r="G10" s="19"/>
      <c r="J10" s="24"/>
      <c r="L10" s="19"/>
      <c r="O10" s="24"/>
      <c r="Q10" s="19"/>
      <c r="T10" s="24"/>
      <c r="V10" s="19">
        <v>224.83</v>
      </c>
      <c r="W10" s="20">
        <v>377.25</v>
      </c>
      <c r="X10" s="20" t="s">
        <v>222</v>
      </c>
      <c r="Y10" s="24" t="s">
        <v>117</v>
      </c>
    </row>
    <row r="11" spans="2:29" x14ac:dyDescent="0.25">
      <c r="B11" s="19">
        <v>1470.31</v>
      </c>
      <c r="C11" s="20">
        <v>2467.17</v>
      </c>
      <c r="D11" s="20" t="s">
        <v>128</v>
      </c>
      <c r="E11" s="24"/>
      <c r="G11" s="19">
        <v>89.96</v>
      </c>
      <c r="H11" s="20">
        <v>150.91999999999999</v>
      </c>
      <c r="I11" s="20" t="s">
        <v>154</v>
      </c>
      <c r="J11" s="24" t="s">
        <v>84</v>
      </c>
      <c r="L11" s="19"/>
      <c r="O11" s="24"/>
      <c r="Q11" s="19"/>
      <c r="T11" s="24"/>
      <c r="V11" s="19"/>
      <c r="Y11" s="24"/>
      <c r="AC11" s="20">
        <v>296.63</v>
      </c>
    </row>
    <row r="12" spans="2:29" x14ac:dyDescent="0.25">
      <c r="B12" s="19">
        <v>1665.95</v>
      </c>
      <c r="C12" s="20">
        <v>2795.46</v>
      </c>
      <c r="D12" s="20" t="s">
        <v>129</v>
      </c>
      <c r="E12" s="24"/>
      <c r="G12" s="19">
        <v>112.47</v>
      </c>
      <c r="H12" s="20">
        <v>188.69</v>
      </c>
      <c r="I12" s="20" t="s">
        <v>154</v>
      </c>
      <c r="J12" s="24" t="s">
        <v>79</v>
      </c>
      <c r="L12" s="19"/>
      <c r="O12" s="24"/>
      <c r="Q12" s="19"/>
      <c r="T12" s="24"/>
      <c r="V12" s="19">
        <v>350.08</v>
      </c>
      <c r="W12" s="20">
        <v>587.41</v>
      </c>
      <c r="X12" s="20" t="s">
        <v>169</v>
      </c>
      <c r="Y12" s="24" t="s">
        <v>102</v>
      </c>
    </row>
    <row r="13" spans="2:29" x14ac:dyDescent="0.25">
      <c r="B13" s="19">
        <v>1863.79</v>
      </c>
      <c r="C13" s="20">
        <v>3127.41</v>
      </c>
      <c r="D13" s="20" t="s">
        <v>130</v>
      </c>
      <c r="E13" s="24"/>
      <c r="G13" s="19">
        <v>134.97999999999999</v>
      </c>
      <c r="H13" s="20">
        <v>226.46</v>
      </c>
      <c r="I13" s="20" t="s">
        <v>154</v>
      </c>
      <c r="J13" s="24" t="s">
        <v>80</v>
      </c>
      <c r="L13" s="19"/>
      <c r="O13" s="24"/>
      <c r="Q13" s="19"/>
      <c r="T13" s="24"/>
      <c r="V13" s="19">
        <v>526.87</v>
      </c>
      <c r="W13" s="20">
        <v>884.04</v>
      </c>
      <c r="X13" s="20" t="s">
        <v>170</v>
      </c>
      <c r="Y13" s="24" t="s">
        <v>103</v>
      </c>
    </row>
    <row r="14" spans="2:29" x14ac:dyDescent="0.25">
      <c r="B14" s="19">
        <v>2090.85</v>
      </c>
      <c r="C14" s="20">
        <v>3508.43</v>
      </c>
      <c r="D14" s="20" t="s">
        <v>131</v>
      </c>
      <c r="E14" s="24"/>
      <c r="G14" s="19">
        <v>157.49</v>
      </c>
      <c r="H14" s="20">
        <v>264.23</v>
      </c>
      <c r="I14" s="20" t="s">
        <v>154</v>
      </c>
      <c r="J14" s="24" t="s">
        <v>81</v>
      </c>
      <c r="L14" s="19"/>
      <c r="O14" s="24"/>
      <c r="Q14" s="19"/>
      <c r="T14" s="24"/>
      <c r="V14" s="19">
        <v>703.66</v>
      </c>
      <c r="W14" s="20">
        <v>1180.67</v>
      </c>
      <c r="X14" s="20" t="s">
        <v>171</v>
      </c>
      <c r="Y14" s="24" t="s">
        <v>104</v>
      </c>
    </row>
    <row r="15" spans="2:29" x14ac:dyDescent="0.25">
      <c r="B15" s="19">
        <v>2288.6999999999998</v>
      </c>
      <c r="C15" s="20">
        <v>3840.45</v>
      </c>
      <c r="D15" s="20" t="s">
        <v>132</v>
      </c>
      <c r="E15" s="24"/>
      <c r="G15" s="19">
        <v>180</v>
      </c>
      <c r="H15" s="20">
        <v>302</v>
      </c>
      <c r="I15" s="20" t="s">
        <v>154</v>
      </c>
      <c r="J15" s="24" t="s">
        <v>82</v>
      </c>
      <c r="L15" s="19"/>
      <c r="O15" s="24"/>
      <c r="Q15" s="19"/>
      <c r="T15" s="24"/>
      <c r="V15" s="19">
        <v>880.45</v>
      </c>
      <c r="W15" s="20">
        <v>1477.3</v>
      </c>
      <c r="X15" s="20" t="s">
        <v>172</v>
      </c>
      <c r="Y15" s="24" t="s">
        <v>105</v>
      </c>
    </row>
    <row r="16" spans="2:29" x14ac:dyDescent="0.25">
      <c r="B16" s="19">
        <v>2518.02</v>
      </c>
      <c r="C16" s="20">
        <v>4225.21</v>
      </c>
      <c r="D16" s="20" t="s">
        <v>133</v>
      </c>
      <c r="E16" s="24"/>
      <c r="G16" s="19"/>
      <c r="J16" s="24"/>
      <c r="L16" s="19"/>
      <c r="O16" s="24"/>
      <c r="Q16" s="19"/>
      <c r="T16" s="24"/>
      <c r="V16" s="19">
        <v>1057.24</v>
      </c>
      <c r="W16" s="20">
        <v>1773.93</v>
      </c>
      <c r="X16" s="20" t="s">
        <v>173</v>
      </c>
      <c r="Y16" s="24" t="s">
        <v>106</v>
      </c>
    </row>
    <row r="17" spans="2:25" x14ac:dyDescent="0.25">
      <c r="B17" s="19">
        <v>2679.88</v>
      </c>
      <c r="C17" s="20">
        <v>4496.82</v>
      </c>
      <c r="D17" s="20" t="s">
        <v>166</v>
      </c>
      <c r="E17" s="24"/>
      <c r="G17" s="19">
        <v>179.86</v>
      </c>
      <c r="H17" s="20">
        <v>301.79000000000002</v>
      </c>
      <c r="I17" s="20" t="s">
        <v>153</v>
      </c>
      <c r="J17" s="24" t="s">
        <v>86</v>
      </c>
      <c r="L17" s="19"/>
      <c r="O17" s="24"/>
      <c r="Q17" s="19"/>
      <c r="T17" s="24"/>
      <c r="V17" s="19">
        <v>1234.03</v>
      </c>
      <c r="W17" s="20">
        <v>2070.56</v>
      </c>
      <c r="X17" s="20" t="s">
        <v>174</v>
      </c>
      <c r="Y17" s="24" t="s">
        <v>107</v>
      </c>
    </row>
    <row r="18" spans="2:25" x14ac:dyDescent="0.25">
      <c r="B18" s="19">
        <v>2974.39</v>
      </c>
      <c r="C18" s="20">
        <v>4991.0200000000004</v>
      </c>
      <c r="D18" s="20" t="s">
        <v>134</v>
      </c>
      <c r="E18" s="24"/>
      <c r="G18" s="19">
        <v>224.81</v>
      </c>
      <c r="H18" s="20">
        <v>377.22</v>
      </c>
      <c r="I18" s="20" t="s">
        <v>153</v>
      </c>
      <c r="J18" s="24" t="s">
        <v>79</v>
      </c>
      <c r="L18" s="19"/>
      <c r="O18" s="24"/>
      <c r="Q18" s="19"/>
      <c r="T18" s="24"/>
      <c r="V18" s="19">
        <v>1410.82</v>
      </c>
      <c r="W18" s="20">
        <v>2367.19</v>
      </c>
      <c r="X18" s="20" t="s">
        <v>175</v>
      </c>
      <c r="Y18" s="24" t="s">
        <v>108</v>
      </c>
    </row>
    <row r="19" spans="2:25" x14ac:dyDescent="0.25">
      <c r="B19" s="19">
        <v>3302.65</v>
      </c>
      <c r="C19" s="20">
        <v>5541.82</v>
      </c>
      <c r="D19" s="20" t="s">
        <v>135</v>
      </c>
      <c r="E19" s="24"/>
      <c r="G19" s="19">
        <v>269.76</v>
      </c>
      <c r="H19" s="20">
        <v>452.65</v>
      </c>
      <c r="I19" s="20" t="s">
        <v>153</v>
      </c>
      <c r="J19" s="24" t="s">
        <v>80</v>
      </c>
      <c r="L19" s="19"/>
      <c r="O19" s="24"/>
      <c r="Q19" s="19"/>
      <c r="T19" s="24"/>
      <c r="V19" s="19">
        <v>1587.61</v>
      </c>
      <c r="W19" s="20">
        <v>2663.82</v>
      </c>
      <c r="X19" s="20" t="s">
        <v>176</v>
      </c>
      <c r="Y19" s="24" t="s">
        <v>109</v>
      </c>
    </row>
    <row r="20" spans="2:25" x14ac:dyDescent="0.25">
      <c r="B20" s="19">
        <v>3662.35</v>
      </c>
      <c r="C20" s="20">
        <v>6145.41</v>
      </c>
      <c r="D20" s="20" t="s">
        <v>136</v>
      </c>
      <c r="E20" s="24"/>
      <c r="G20" s="19">
        <v>314.70999999999998</v>
      </c>
      <c r="H20" s="20">
        <v>528.08000000000004</v>
      </c>
      <c r="I20" s="20" t="s">
        <v>153</v>
      </c>
      <c r="J20" s="24" t="s">
        <v>81</v>
      </c>
      <c r="L20" s="19"/>
      <c r="O20" s="24"/>
      <c r="Q20" s="19"/>
      <c r="T20" s="24"/>
      <c r="V20" s="19">
        <v>1764.4</v>
      </c>
      <c r="W20" s="20">
        <v>2960.45</v>
      </c>
      <c r="X20" s="20" t="s">
        <v>177</v>
      </c>
      <c r="Y20" s="24" t="s">
        <v>110</v>
      </c>
    </row>
    <row r="21" spans="2:25" x14ac:dyDescent="0.25">
      <c r="B21" s="19">
        <v>4046.79</v>
      </c>
      <c r="C21" s="20">
        <v>6790.51</v>
      </c>
      <c r="D21" s="20" t="s">
        <v>137</v>
      </c>
      <c r="E21" s="24"/>
      <c r="G21" s="19">
        <v>359.66</v>
      </c>
      <c r="H21" s="20">
        <v>603.51</v>
      </c>
      <c r="I21" s="20" t="s">
        <v>153</v>
      </c>
      <c r="J21" s="24" t="s">
        <v>82</v>
      </c>
      <c r="L21" s="19"/>
      <c r="O21" s="24"/>
      <c r="Q21" s="19"/>
      <c r="T21" s="24"/>
      <c r="V21" s="19">
        <v>1941.19</v>
      </c>
      <c r="W21" s="20">
        <v>3257.08</v>
      </c>
      <c r="X21" s="20" t="s">
        <v>178</v>
      </c>
      <c r="Y21" s="24" t="s">
        <v>111</v>
      </c>
    </row>
    <row r="22" spans="2:25" x14ac:dyDescent="0.25">
      <c r="B22" s="19">
        <v>5620.57</v>
      </c>
      <c r="C22" s="20">
        <v>9431.31</v>
      </c>
      <c r="D22" s="20" t="s">
        <v>138</v>
      </c>
      <c r="E22" s="24"/>
      <c r="G22" s="19"/>
      <c r="J22" s="24"/>
      <c r="L22" s="21"/>
      <c r="M22" s="22"/>
      <c r="N22" s="22"/>
      <c r="O22" s="25"/>
      <c r="Q22" s="21"/>
      <c r="R22" s="22"/>
      <c r="S22" s="22"/>
      <c r="T22" s="25"/>
      <c r="V22" s="19">
        <v>2117.98</v>
      </c>
      <c r="W22" s="20">
        <v>3553.71</v>
      </c>
      <c r="X22" s="20" t="s">
        <v>179</v>
      </c>
      <c r="Y22" s="24" t="s">
        <v>112</v>
      </c>
    </row>
    <row r="23" spans="2:25" x14ac:dyDescent="0.25">
      <c r="B23" s="19">
        <v>7306.72</v>
      </c>
      <c r="C23" s="20">
        <v>12260.66</v>
      </c>
      <c r="D23" s="20" t="s">
        <v>139</v>
      </c>
      <c r="E23" s="24"/>
      <c r="G23" s="19"/>
      <c r="J23" s="24"/>
      <c r="V23" s="19">
        <v>2294.77</v>
      </c>
      <c r="W23" s="20">
        <v>3850.34</v>
      </c>
      <c r="X23" s="20" t="s">
        <v>180</v>
      </c>
      <c r="Y23" s="24" t="s">
        <v>113</v>
      </c>
    </row>
    <row r="24" spans="2:25" x14ac:dyDescent="0.25">
      <c r="B24" s="19">
        <v>8992.89</v>
      </c>
      <c r="C24" s="20">
        <v>15090.07</v>
      </c>
      <c r="D24" s="20" t="s">
        <v>140</v>
      </c>
      <c r="E24" s="24"/>
      <c r="G24" s="19"/>
      <c r="J24" s="24"/>
      <c r="V24" s="19"/>
      <c r="Y24" s="24"/>
    </row>
    <row r="25" spans="2:25" x14ac:dyDescent="0.25">
      <c r="B25" s="19">
        <v>10679.05</v>
      </c>
      <c r="C25" s="20">
        <v>17919.43</v>
      </c>
      <c r="D25" s="20" t="s">
        <v>141</v>
      </c>
      <c r="E25" s="24"/>
      <c r="G25" s="19"/>
      <c r="J25" s="24"/>
      <c r="V25" s="19">
        <v>980.23</v>
      </c>
      <c r="W25" s="20">
        <v>1644.81</v>
      </c>
      <c r="X25" s="20" t="s">
        <v>163</v>
      </c>
      <c r="Y25" s="24" t="s">
        <v>118</v>
      </c>
    </row>
    <row r="26" spans="2:25" x14ac:dyDescent="0.25">
      <c r="B26" s="19">
        <v>12365.18</v>
      </c>
      <c r="C26" s="20">
        <v>20748.77</v>
      </c>
      <c r="D26" s="20" t="s">
        <v>142</v>
      </c>
      <c r="E26" s="24"/>
      <c r="G26" s="19"/>
      <c r="J26" s="24"/>
      <c r="V26" s="19">
        <v>1298.57</v>
      </c>
      <c r="W26" s="20">
        <v>2179</v>
      </c>
      <c r="X26" s="20" t="s">
        <v>163</v>
      </c>
      <c r="Y26" s="24" t="s">
        <v>119</v>
      </c>
    </row>
    <row r="27" spans="2:25" x14ac:dyDescent="0.25">
      <c r="B27" s="19">
        <v>14051.36</v>
      </c>
      <c r="C27" s="20">
        <v>23578.19</v>
      </c>
      <c r="D27" s="20" t="s">
        <v>143</v>
      </c>
      <c r="E27" s="24"/>
      <c r="G27" s="19"/>
      <c r="J27" s="24"/>
      <c r="V27" s="19"/>
      <c r="Y27" s="24"/>
    </row>
    <row r="28" spans="2:25" x14ac:dyDescent="0.25">
      <c r="B28" s="19">
        <v>15737.52</v>
      </c>
      <c r="C28" s="20">
        <v>26407.56</v>
      </c>
      <c r="D28" s="20" t="s">
        <v>144</v>
      </c>
      <c r="E28" s="24"/>
      <c r="G28" s="19"/>
      <c r="J28" s="24"/>
      <c r="V28" s="19">
        <v>89.96</v>
      </c>
      <c r="W28" s="20">
        <v>150.91999999999999</v>
      </c>
      <c r="X28" s="20" t="s">
        <v>164</v>
      </c>
      <c r="Y28" s="24" t="s">
        <v>123</v>
      </c>
    </row>
    <row r="29" spans="2:25" x14ac:dyDescent="0.25">
      <c r="B29" s="19">
        <v>17423.68</v>
      </c>
      <c r="C29" s="20">
        <v>29236.93</v>
      </c>
      <c r="D29" s="20" t="s">
        <v>145</v>
      </c>
      <c r="E29" s="24"/>
      <c r="G29" s="19"/>
      <c r="J29" s="24"/>
      <c r="V29" s="19"/>
      <c r="Y29" s="24"/>
    </row>
    <row r="30" spans="2:25" x14ac:dyDescent="0.25">
      <c r="B30" s="19">
        <v>19109.900000000001</v>
      </c>
      <c r="C30" s="20">
        <v>32066.38</v>
      </c>
      <c r="D30" s="20" t="s">
        <v>146</v>
      </c>
      <c r="E30" s="24"/>
      <c r="G30" s="19"/>
      <c r="J30" s="24"/>
      <c r="V30" s="19"/>
      <c r="Y30" s="24"/>
    </row>
    <row r="31" spans="2:25" x14ac:dyDescent="0.25">
      <c r="B31" s="19">
        <v>22482.22</v>
      </c>
      <c r="C31" s="20">
        <v>37725.15</v>
      </c>
      <c r="D31" s="20" t="s">
        <v>147</v>
      </c>
      <c r="E31" s="24"/>
      <c r="G31" s="19"/>
      <c r="J31" s="24"/>
      <c r="V31" s="19"/>
      <c r="Y31" s="24"/>
    </row>
    <row r="32" spans="2:25" x14ac:dyDescent="0.25">
      <c r="B32" s="19">
        <v>25854.52</v>
      </c>
      <c r="C32" s="20">
        <v>43383.89</v>
      </c>
      <c r="D32" s="20" t="s">
        <v>148</v>
      </c>
      <c r="E32" s="24"/>
      <c r="G32" s="19"/>
      <c r="J32" s="24"/>
      <c r="V32" s="19"/>
      <c r="Y32" s="24"/>
    </row>
    <row r="33" spans="2:25" x14ac:dyDescent="0.25">
      <c r="B33" s="19">
        <v>29226.86</v>
      </c>
      <c r="C33" s="20">
        <v>49042.65</v>
      </c>
      <c r="D33" s="20" t="s">
        <v>149</v>
      </c>
      <c r="E33" s="24"/>
      <c r="G33" s="19"/>
      <c r="J33" s="24"/>
      <c r="V33" s="19"/>
      <c r="Y33" s="24"/>
    </row>
    <row r="34" spans="2:25" x14ac:dyDescent="0.25">
      <c r="B34" s="19">
        <v>32599.16</v>
      </c>
      <c r="C34" s="20">
        <v>54701.38</v>
      </c>
      <c r="D34" s="20" t="s">
        <v>150</v>
      </c>
      <c r="E34" s="24"/>
      <c r="G34" s="19"/>
      <c r="J34" s="24"/>
      <c r="V34" s="19"/>
      <c r="Y34" s="24"/>
    </row>
    <row r="35" spans="2:25" x14ac:dyDescent="0.25">
      <c r="B35" s="19">
        <v>35971.54</v>
      </c>
      <c r="C35" s="20">
        <v>60360.24</v>
      </c>
      <c r="D35" s="20" t="s">
        <v>151</v>
      </c>
      <c r="E35" s="24"/>
      <c r="G35" s="19"/>
      <c r="J35" s="24"/>
      <c r="V35" s="19"/>
      <c r="Y35" s="24"/>
    </row>
    <row r="36" spans="2:25" x14ac:dyDescent="0.25">
      <c r="B36" s="19"/>
      <c r="E36" s="24"/>
      <c r="G36" s="19"/>
      <c r="J36" s="24"/>
      <c r="V36" s="19"/>
      <c r="Y36" s="24"/>
    </row>
    <row r="37" spans="2:25" x14ac:dyDescent="0.25">
      <c r="B37" s="19">
        <v>142.58000000000001</v>
      </c>
      <c r="C37" s="20">
        <v>239.23</v>
      </c>
      <c r="D37" s="20" t="s">
        <v>165</v>
      </c>
      <c r="E37" s="24" t="s">
        <v>89</v>
      </c>
      <c r="G37" s="19"/>
      <c r="J37" s="24"/>
      <c r="V37" s="19"/>
      <c r="Y37" s="24"/>
    </row>
    <row r="38" spans="2:25" x14ac:dyDescent="0.25">
      <c r="B38" s="19">
        <v>237.59</v>
      </c>
      <c r="C38" s="20">
        <v>398.7</v>
      </c>
      <c r="D38" s="20" t="s">
        <v>165</v>
      </c>
      <c r="E38" s="24" t="s">
        <v>88</v>
      </c>
      <c r="G38" s="19"/>
      <c r="J38" s="24"/>
      <c r="V38" s="19"/>
      <c r="Y38" s="24"/>
    </row>
    <row r="39" spans="2:25" x14ac:dyDescent="0.25">
      <c r="B39" s="19">
        <v>285.16000000000003</v>
      </c>
      <c r="C39" s="20">
        <v>478.49</v>
      </c>
      <c r="D39" s="20" t="s">
        <v>165</v>
      </c>
      <c r="E39" s="24" t="s">
        <v>87</v>
      </c>
      <c r="G39" s="19"/>
      <c r="J39" s="24"/>
      <c r="V39" s="19"/>
      <c r="Y39" s="24"/>
    </row>
    <row r="40" spans="2:25" x14ac:dyDescent="0.25">
      <c r="B40" s="19"/>
      <c r="E40" s="24"/>
      <c r="G40" s="19"/>
      <c r="J40" s="24"/>
      <c r="V40" s="19"/>
      <c r="Y40" s="24"/>
    </row>
    <row r="41" spans="2:25" x14ac:dyDescent="0.25">
      <c r="B41" s="19">
        <v>189.51</v>
      </c>
      <c r="C41" s="20">
        <v>318</v>
      </c>
      <c r="D41" s="20" t="s">
        <v>233</v>
      </c>
      <c r="E41" s="24"/>
      <c r="G41" s="19"/>
      <c r="J41" s="24"/>
      <c r="V41" s="19"/>
      <c r="Y41" s="24"/>
    </row>
    <row r="42" spans="2:25" x14ac:dyDescent="0.25">
      <c r="B42" s="19">
        <v>189.51</v>
      </c>
      <c r="C42" s="20">
        <v>318</v>
      </c>
      <c r="D42" s="20" t="s">
        <v>234</v>
      </c>
      <c r="E42" s="24"/>
      <c r="G42" s="21"/>
      <c r="H42" s="22"/>
      <c r="I42" s="22"/>
      <c r="J42" s="25"/>
      <c r="V42" s="19"/>
      <c r="Y42" s="24"/>
    </row>
    <row r="43" spans="2:25" x14ac:dyDescent="0.25">
      <c r="B43" s="19">
        <v>265.31</v>
      </c>
      <c r="C43" s="20">
        <v>445.19</v>
      </c>
      <c r="D43" s="20" t="s">
        <v>235</v>
      </c>
      <c r="E43" s="24"/>
      <c r="V43" s="19"/>
      <c r="Y43" s="24"/>
    </row>
    <row r="44" spans="2:25" x14ac:dyDescent="0.25">
      <c r="B44" s="19">
        <v>379.02</v>
      </c>
      <c r="C44" s="20">
        <v>635.99</v>
      </c>
      <c r="D44" s="20" t="s">
        <v>236</v>
      </c>
      <c r="E44" s="24"/>
      <c r="V44" s="19"/>
      <c r="Y44" s="24"/>
    </row>
    <row r="45" spans="2:25" x14ac:dyDescent="0.25">
      <c r="B45" s="19">
        <v>512.33000000000004</v>
      </c>
      <c r="C45" s="20">
        <v>859.66</v>
      </c>
      <c r="D45" s="20" t="s">
        <v>242</v>
      </c>
      <c r="E45" s="24"/>
      <c r="V45" s="19"/>
      <c r="Y45" s="24"/>
    </row>
    <row r="46" spans="2:25" x14ac:dyDescent="0.25">
      <c r="B46" s="19">
        <v>607.73</v>
      </c>
      <c r="C46" s="20">
        <v>1019.78</v>
      </c>
      <c r="D46" s="20" t="s">
        <v>237</v>
      </c>
      <c r="E46" s="24"/>
      <c r="V46" s="19"/>
      <c r="Y46" s="24"/>
    </row>
    <row r="47" spans="2:25" x14ac:dyDescent="0.25">
      <c r="B47" s="19"/>
      <c r="E47" s="24"/>
      <c r="V47" s="19"/>
      <c r="Y47" s="24"/>
    </row>
    <row r="48" spans="2:25" x14ac:dyDescent="0.25">
      <c r="B48" s="19"/>
      <c r="E48" s="24"/>
      <c r="V48" s="19"/>
      <c r="Y48" s="24"/>
    </row>
    <row r="49" spans="2:25" x14ac:dyDescent="0.25">
      <c r="B49" s="19"/>
      <c r="E49" s="24"/>
      <c r="V49" s="19"/>
      <c r="Y49" s="24"/>
    </row>
    <row r="50" spans="2:25" x14ac:dyDescent="0.25">
      <c r="B50" s="19"/>
      <c r="E50" s="24"/>
      <c r="V50" s="19"/>
      <c r="Y50" s="24"/>
    </row>
    <row r="51" spans="2:25" x14ac:dyDescent="0.25">
      <c r="B51" s="19"/>
      <c r="E51" s="24"/>
      <c r="V51" s="19"/>
      <c r="Y51" s="24"/>
    </row>
    <row r="52" spans="2:25" x14ac:dyDescent="0.25">
      <c r="B52" s="19"/>
      <c r="E52" s="24"/>
      <c r="V52" s="19"/>
      <c r="Y52" s="24"/>
    </row>
    <row r="53" spans="2:25" x14ac:dyDescent="0.25">
      <c r="B53" s="19"/>
      <c r="E53" s="24"/>
      <c r="V53" s="19"/>
      <c r="Y53" s="24"/>
    </row>
    <row r="54" spans="2:25" x14ac:dyDescent="0.25">
      <c r="B54" s="19"/>
      <c r="E54" s="24"/>
      <c r="V54" s="19"/>
      <c r="Y54" s="24"/>
    </row>
    <row r="55" spans="2:25" x14ac:dyDescent="0.25">
      <c r="B55" s="19"/>
      <c r="E55" s="24"/>
      <c r="V55" s="19"/>
      <c r="Y55" s="24"/>
    </row>
    <row r="56" spans="2:25" x14ac:dyDescent="0.25">
      <c r="B56" s="19"/>
      <c r="E56" s="24"/>
      <c r="V56" s="19"/>
      <c r="Y56" s="24"/>
    </row>
    <row r="57" spans="2:25" x14ac:dyDescent="0.25">
      <c r="B57" s="19"/>
      <c r="E57" s="24"/>
      <c r="V57" s="19"/>
      <c r="Y57" s="24"/>
    </row>
    <row r="58" spans="2:25" x14ac:dyDescent="0.25">
      <c r="B58" s="19"/>
      <c r="E58" s="24"/>
      <c r="V58" s="19"/>
      <c r="Y58" s="24"/>
    </row>
    <row r="59" spans="2:25" x14ac:dyDescent="0.25">
      <c r="B59" s="19"/>
      <c r="E59" s="24"/>
      <c r="V59" s="19"/>
      <c r="Y59" s="24"/>
    </row>
    <row r="60" spans="2:25" x14ac:dyDescent="0.25">
      <c r="B60" s="19"/>
      <c r="E60" s="24"/>
      <c r="V60" s="19"/>
      <c r="Y60" s="24"/>
    </row>
    <row r="61" spans="2:25" x14ac:dyDescent="0.25">
      <c r="B61" s="19"/>
      <c r="E61" s="24"/>
      <c r="V61" s="19"/>
      <c r="Y61" s="24"/>
    </row>
    <row r="62" spans="2:25" x14ac:dyDescent="0.25">
      <c r="B62" s="19"/>
      <c r="E62" s="24"/>
      <c r="V62" s="21"/>
      <c r="W62" s="22"/>
      <c r="X62" s="22"/>
      <c r="Y62" s="25"/>
    </row>
    <row r="63" spans="2:25" x14ac:dyDescent="0.25">
      <c r="B63" s="19"/>
      <c r="E63" s="24"/>
    </row>
    <row r="64" spans="2:25" x14ac:dyDescent="0.25">
      <c r="B64" s="19"/>
      <c r="E64" s="24"/>
    </row>
    <row r="65" spans="2:5" x14ac:dyDescent="0.25">
      <c r="B65" s="19"/>
      <c r="E65" s="24"/>
    </row>
    <row r="66" spans="2:5" x14ac:dyDescent="0.25">
      <c r="B66" s="19"/>
      <c r="E66" s="24"/>
    </row>
    <row r="67" spans="2:5" x14ac:dyDescent="0.25">
      <c r="B67" s="19"/>
      <c r="E67" s="24"/>
    </row>
    <row r="68" spans="2:5" x14ac:dyDescent="0.25">
      <c r="B68" s="19"/>
      <c r="E68" s="24"/>
    </row>
    <row r="69" spans="2:5" x14ac:dyDescent="0.25">
      <c r="B69" s="19"/>
      <c r="E69" s="24"/>
    </row>
    <row r="70" spans="2:5" x14ac:dyDescent="0.25">
      <c r="B70" s="19"/>
      <c r="E70" s="24"/>
    </row>
    <row r="71" spans="2:5" x14ac:dyDescent="0.25">
      <c r="B71" s="19"/>
      <c r="E71" s="24"/>
    </row>
    <row r="72" spans="2:5" x14ac:dyDescent="0.25">
      <c r="B72" s="19"/>
      <c r="E72" s="24"/>
    </row>
    <row r="73" spans="2:5" x14ac:dyDescent="0.25">
      <c r="B73" s="19"/>
      <c r="E73" s="24"/>
    </row>
    <row r="74" spans="2:5" x14ac:dyDescent="0.25">
      <c r="B74" s="19"/>
      <c r="E74" s="24"/>
    </row>
    <row r="75" spans="2:5" x14ac:dyDescent="0.25">
      <c r="B75" s="19"/>
      <c r="E75" s="24"/>
    </row>
    <row r="76" spans="2:5" x14ac:dyDescent="0.25">
      <c r="B76" s="19"/>
      <c r="E76" s="24"/>
    </row>
    <row r="77" spans="2:5" x14ac:dyDescent="0.25">
      <c r="B77" s="19"/>
      <c r="E77" s="24"/>
    </row>
    <row r="78" spans="2:5" x14ac:dyDescent="0.25">
      <c r="B78" s="19"/>
      <c r="E78" s="24"/>
    </row>
    <row r="79" spans="2:5" x14ac:dyDescent="0.25">
      <c r="B79" s="19"/>
      <c r="E79" s="24"/>
    </row>
    <row r="80" spans="2:5" x14ac:dyDescent="0.25">
      <c r="B80" s="19"/>
      <c r="E80" s="24"/>
    </row>
    <row r="81" spans="2:5" x14ac:dyDescent="0.25">
      <c r="B81" s="19"/>
      <c r="E81" s="24"/>
    </row>
    <row r="82" spans="2:5" x14ac:dyDescent="0.25">
      <c r="B82" s="19"/>
      <c r="E82" s="24"/>
    </row>
    <row r="83" spans="2:5" x14ac:dyDescent="0.25">
      <c r="B83" s="19"/>
      <c r="E83" s="24"/>
    </row>
    <row r="84" spans="2:5" x14ac:dyDescent="0.25">
      <c r="B84" s="19"/>
      <c r="E84" s="24"/>
    </row>
    <row r="85" spans="2:5" x14ac:dyDescent="0.25">
      <c r="B85" s="19"/>
      <c r="E85" s="24"/>
    </row>
    <row r="86" spans="2:5" x14ac:dyDescent="0.25">
      <c r="B86" s="19"/>
      <c r="E86" s="24"/>
    </row>
    <row r="87" spans="2:5" x14ac:dyDescent="0.25">
      <c r="B87" s="19"/>
      <c r="E87" s="24"/>
    </row>
    <row r="88" spans="2:5" x14ac:dyDescent="0.25">
      <c r="B88" s="19"/>
      <c r="E88" s="24"/>
    </row>
    <row r="89" spans="2:5" x14ac:dyDescent="0.25">
      <c r="B89" s="19"/>
      <c r="E89" s="24"/>
    </row>
    <row r="90" spans="2:5" x14ac:dyDescent="0.25">
      <c r="B90" s="19"/>
      <c r="E90" s="24"/>
    </row>
    <row r="91" spans="2:5" x14ac:dyDescent="0.25">
      <c r="B91" s="19"/>
      <c r="E91" s="24"/>
    </row>
    <row r="92" spans="2:5" x14ac:dyDescent="0.25">
      <c r="B92" s="19"/>
      <c r="E92" s="24"/>
    </row>
    <row r="93" spans="2:5" x14ac:dyDescent="0.25">
      <c r="B93" s="19"/>
      <c r="E93" s="24"/>
    </row>
    <row r="94" spans="2:5" x14ac:dyDescent="0.25">
      <c r="B94" s="19"/>
      <c r="E94" s="24"/>
    </row>
    <row r="95" spans="2:5" x14ac:dyDescent="0.25">
      <c r="B95" s="19"/>
      <c r="E95" s="24"/>
    </row>
    <row r="96" spans="2:5" x14ac:dyDescent="0.25">
      <c r="B96" s="19"/>
      <c r="E96" s="24"/>
    </row>
    <row r="97" spans="2:5" x14ac:dyDescent="0.25">
      <c r="B97" s="19"/>
      <c r="E97" s="24"/>
    </row>
    <row r="98" spans="2:5" x14ac:dyDescent="0.25">
      <c r="B98" s="19"/>
      <c r="E98" s="24"/>
    </row>
    <row r="99" spans="2:5" x14ac:dyDescent="0.25">
      <c r="B99" s="19"/>
      <c r="E99" s="24"/>
    </row>
    <row r="100" spans="2:5" x14ac:dyDescent="0.25">
      <c r="B100" s="19"/>
      <c r="E100" s="24"/>
    </row>
    <row r="101" spans="2:5" x14ac:dyDescent="0.25">
      <c r="B101" s="19"/>
      <c r="E101" s="24"/>
    </row>
    <row r="102" spans="2:5" x14ac:dyDescent="0.25">
      <c r="B102" s="19"/>
      <c r="E102" s="24"/>
    </row>
    <row r="103" spans="2:5" x14ac:dyDescent="0.25">
      <c r="B103" s="19"/>
      <c r="E103" s="24"/>
    </row>
    <row r="104" spans="2:5" x14ac:dyDescent="0.25">
      <c r="B104" s="19"/>
      <c r="E104" s="24"/>
    </row>
    <row r="105" spans="2:5" x14ac:dyDescent="0.25">
      <c r="B105" s="19"/>
      <c r="E105" s="24"/>
    </row>
    <row r="106" spans="2:5" x14ac:dyDescent="0.25">
      <c r="B106" s="19"/>
      <c r="E106" s="24"/>
    </row>
    <row r="107" spans="2:5" x14ac:dyDescent="0.25">
      <c r="B107" s="19"/>
      <c r="E107" s="24"/>
    </row>
    <row r="108" spans="2:5" x14ac:dyDescent="0.25">
      <c r="B108" s="19"/>
      <c r="E108" s="24"/>
    </row>
    <row r="109" spans="2:5" x14ac:dyDescent="0.25">
      <c r="B109" s="19"/>
      <c r="E109" s="24"/>
    </row>
    <row r="110" spans="2:5" x14ac:dyDescent="0.25">
      <c r="B110" s="19"/>
      <c r="E110" s="24"/>
    </row>
    <row r="111" spans="2:5" x14ac:dyDescent="0.25">
      <c r="B111" s="19"/>
      <c r="E111" s="24"/>
    </row>
    <row r="112" spans="2:5" x14ac:dyDescent="0.25">
      <c r="B112" s="19"/>
      <c r="E112" s="24"/>
    </row>
    <row r="113" spans="2:5" x14ac:dyDescent="0.25">
      <c r="B113" s="19"/>
      <c r="E113" s="24"/>
    </row>
    <row r="114" spans="2:5" x14ac:dyDescent="0.25">
      <c r="B114" s="19"/>
      <c r="E114" s="24"/>
    </row>
    <row r="115" spans="2:5" x14ac:dyDescent="0.25">
      <c r="B115" s="19"/>
      <c r="E115" s="24"/>
    </row>
    <row r="116" spans="2:5" x14ac:dyDescent="0.25">
      <c r="B116" s="19"/>
      <c r="E116" s="24"/>
    </row>
    <row r="117" spans="2:5" x14ac:dyDescent="0.25">
      <c r="B117" s="19"/>
      <c r="E117" s="24"/>
    </row>
    <row r="118" spans="2:5" x14ac:dyDescent="0.25">
      <c r="B118" s="19"/>
      <c r="E118" s="24"/>
    </row>
    <row r="119" spans="2:5" x14ac:dyDescent="0.25">
      <c r="B119" s="19"/>
      <c r="E119" s="24"/>
    </row>
    <row r="120" spans="2:5" x14ac:dyDescent="0.25">
      <c r="B120" s="19"/>
      <c r="E120" s="24"/>
    </row>
    <row r="121" spans="2:5" x14ac:dyDescent="0.25">
      <c r="B121" s="21"/>
      <c r="C121" s="22"/>
      <c r="D121" s="22"/>
      <c r="E121" s="25"/>
    </row>
  </sheetData>
  <phoneticPr fontId="41" type="noConversion"/>
  <pageMargins left="0.511811024" right="0.511811024" top="0.78740157499999996" bottom="0.78740157499999996" header="0.31496062000000002" footer="0.31496062000000002"/>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3349F-9B90-4F8D-B4C9-76628E1F937D}">
  <sheetPr codeName="Planilha1">
    <pageSetUpPr fitToPage="1"/>
  </sheetPr>
  <dimension ref="A1:HL31"/>
  <sheetViews>
    <sheetView tabSelected="1" zoomScaleNormal="100" workbookViewId="0">
      <selection activeCell="AD17" sqref="AD17"/>
    </sheetView>
  </sheetViews>
  <sheetFormatPr defaultColWidth="9.140625" defaultRowHeight="14.45" customHeight="1" x14ac:dyDescent="0.25"/>
  <cols>
    <col min="1" max="1" width="2" style="293" customWidth="1"/>
    <col min="2" max="2" width="8" style="294" bestFit="1" customWidth="1"/>
    <col min="3" max="3" width="2.28515625" style="294" hidden="1" customWidth="1"/>
    <col min="4" max="4" width="10" style="294" hidden="1" customWidth="1"/>
    <col min="5" max="5" width="2.28515625" style="294" hidden="1" customWidth="1"/>
    <col min="6" max="6" width="10" style="294" customWidth="1"/>
    <col min="7" max="7" width="1.7109375" style="294" hidden="1" customWidth="1"/>
    <col min="8" max="8" width="10" style="294" hidden="1" customWidth="1"/>
    <col min="9" max="9" width="2.5703125" style="294" hidden="1" customWidth="1"/>
    <col min="10" max="10" width="10" style="106" customWidth="1"/>
    <col min="11" max="11" width="1.28515625" style="106" customWidth="1"/>
    <col min="12" max="12" width="10" style="106" customWidth="1"/>
    <col min="13" max="13" width="6" style="106" customWidth="1"/>
    <col min="14" max="15" width="1" style="106" customWidth="1"/>
    <col min="16" max="16" width="8" style="295" bestFit="1" customWidth="1"/>
    <col min="17" max="26" width="10" style="106" customWidth="1"/>
    <col min="27" max="28" width="1" style="106" customWidth="1"/>
    <col min="29" max="29" width="3.42578125" style="296" customWidth="1"/>
    <col min="30" max="30" width="10" style="106" customWidth="1"/>
    <col min="31" max="31" width="9.85546875" style="106" customWidth="1"/>
    <col min="32" max="32" width="0.140625" style="106" customWidth="1"/>
    <col min="33" max="35" width="10" style="106" customWidth="1"/>
    <col min="36" max="36" width="1" style="106" customWidth="1"/>
    <col min="37" max="37" width="10" style="106" customWidth="1"/>
    <col min="38" max="38" width="0.140625" style="106" customWidth="1"/>
    <col min="39" max="39" width="2.85546875" style="106" customWidth="1"/>
    <col min="40" max="40" width="1" style="106" customWidth="1"/>
    <col min="41" max="41" width="10" style="106" customWidth="1"/>
    <col min="42" max="42" width="7.28515625" style="106" customWidth="1"/>
    <col min="43" max="44" width="1" style="106" customWidth="1"/>
    <col min="45" max="45" width="3.42578125" style="296" customWidth="1"/>
    <col min="46" max="47" width="10" style="106" customWidth="1"/>
    <col min="48" max="48" width="0.140625" style="106" customWidth="1"/>
    <col min="49" max="51" width="10" style="106" customWidth="1"/>
    <col min="52" max="52" width="1" style="106" customWidth="1"/>
    <col min="53" max="53" width="10" style="106" customWidth="1"/>
    <col min="54" max="54" width="0.140625" style="106" customWidth="1"/>
    <col min="55" max="55" width="2.85546875" style="106" customWidth="1"/>
    <col min="56" max="56" width="1" style="106" customWidth="1"/>
    <col min="57" max="57" width="10" style="106" customWidth="1"/>
    <col min="58" max="58" width="7.28515625" style="106" customWidth="1"/>
    <col min="59" max="60" width="1" style="106" customWidth="1"/>
    <col min="61" max="61" width="3.42578125" style="296" customWidth="1"/>
    <col min="62" max="63" width="10" style="106" customWidth="1"/>
    <col min="64" max="64" width="0.140625" style="106" customWidth="1"/>
    <col min="65" max="67" width="10" style="106" customWidth="1"/>
    <col min="68" max="68" width="1" style="106" customWidth="1"/>
    <col min="69" max="69" width="10" style="106" customWidth="1"/>
    <col min="70" max="70" width="0.140625" style="106" customWidth="1"/>
    <col min="71" max="71" width="2.85546875" style="106" customWidth="1"/>
    <col min="72" max="72" width="1" style="106" customWidth="1"/>
    <col min="73" max="73" width="10" style="106" customWidth="1"/>
    <col min="74" max="74" width="7.28515625" style="106" customWidth="1"/>
    <col min="75" max="76" width="1" style="106" customWidth="1"/>
    <col min="77" max="77" width="3.42578125" style="296" customWidth="1"/>
    <col min="78" max="79" width="10" style="106" customWidth="1"/>
    <col min="80" max="80" width="0.140625" style="106" customWidth="1"/>
    <col min="81" max="83" width="10" style="106" customWidth="1"/>
    <col min="84" max="84" width="1" style="106" customWidth="1"/>
    <col min="85" max="85" width="10" style="106" customWidth="1"/>
    <col min="86" max="86" width="0.140625" style="106" customWidth="1"/>
    <col min="87" max="87" width="2.85546875" style="106" customWidth="1"/>
    <col min="88" max="88" width="1" style="106" customWidth="1"/>
    <col min="89" max="89" width="10" style="106" customWidth="1"/>
    <col min="90" max="90" width="7.28515625" style="106" customWidth="1"/>
    <col min="91" max="92" width="1" style="106" customWidth="1"/>
    <col min="93" max="93" width="3.42578125" style="296" customWidth="1"/>
    <col min="94" max="95" width="10" style="106" customWidth="1"/>
    <col min="96" max="96" width="0.140625" style="106" customWidth="1"/>
    <col min="97" max="99" width="10" style="106" customWidth="1"/>
    <col min="100" max="100" width="1" style="106" customWidth="1"/>
    <col min="101" max="101" width="10" style="106" customWidth="1"/>
    <col min="102" max="102" width="0.140625" style="106" customWidth="1"/>
    <col min="103" max="103" width="2.85546875" style="106" customWidth="1"/>
    <col min="104" max="104" width="1" style="106" customWidth="1"/>
    <col min="105" max="105" width="10" style="106" customWidth="1"/>
    <col min="106" max="106" width="7.28515625" style="106" customWidth="1"/>
    <col min="107" max="108" width="1" style="106" customWidth="1"/>
    <col min="109" max="109" width="3.42578125" style="296" customWidth="1"/>
    <col min="110" max="111" width="10" style="106" customWidth="1"/>
    <col min="112" max="112" width="0.140625" style="106" customWidth="1"/>
    <col min="113" max="115" width="10" style="106" customWidth="1"/>
    <col min="116" max="116" width="1" style="106" customWidth="1"/>
    <col min="117" max="117" width="10" style="106" customWidth="1"/>
    <col min="118" max="118" width="0.140625" style="106" customWidth="1"/>
    <col min="119" max="119" width="2.85546875" style="106" customWidth="1"/>
    <col min="120" max="120" width="1" style="106" customWidth="1"/>
    <col min="121" max="121" width="10" style="106" customWidth="1"/>
    <col min="122" max="122" width="7.28515625" style="106" customWidth="1"/>
    <col min="123" max="124" width="1" style="106" customWidth="1"/>
    <col min="125" max="125" width="3.42578125" style="296" customWidth="1"/>
    <col min="126" max="127" width="10" style="106" customWidth="1"/>
    <col min="128" max="128" width="0.140625" style="106" customWidth="1"/>
    <col min="129" max="131" width="10" style="106" customWidth="1"/>
    <col min="132" max="132" width="1" style="106" customWidth="1"/>
    <col min="133" max="133" width="10" style="106" customWidth="1"/>
    <col min="134" max="134" width="0.140625" style="106" customWidth="1"/>
    <col min="135" max="135" width="2.85546875" style="106" customWidth="1"/>
    <col min="136" max="136" width="1" style="106" customWidth="1"/>
    <col min="137" max="137" width="10" style="106" customWidth="1"/>
    <col min="138" max="138" width="7.28515625" style="106" customWidth="1"/>
    <col min="139" max="140" width="1" style="106" customWidth="1"/>
    <col min="141" max="141" width="3.42578125" style="296" customWidth="1"/>
    <col min="142" max="143" width="10" style="106" customWidth="1"/>
    <col min="144" max="144" width="0.140625" style="106" customWidth="1"/>
    <col min="145" max="147" width="10" style="106" customWidth="1"/>
    <col min="148" max="148" width="1" style="106" customWidth="1"/>
    <col min="149" max="149" width="10" style="106" customWidth="1"/>
    <col min="150" max="150" width="0.140625" style="106" customWidth="1"/>
    <col min="151" max="151" width="2.85546875" style="106" customWidth="1"/>
    <col min="152" max="152" width="1" style="106" customWidth="1"/>
    <col min="153" max="153" width="10" style="106" customWidth="1"/>
    <col min="154" max="154" width="7.28515625" style="106" customWidth="1"/>
    <col min="155" max="156" width="1" style="106" customWidth="1"/>
    <col min="157" max="157" width="3.42578125" style="296" customWidth="1"/>
    <col min="158" max="159" width="10" style="106" customWidth="1"/>
    <col min="160" max="160" width="0.140625" style="106" customWidth="1"/>
    <col min="161" max="163" width="10" style="106" customWidth="1"/>
    <col min="164" max="164" width="1" style="106" customWidth="1"/>
    <col min="165" max="165" width="10" style="106" customWidth="1"/>
    <col min="166" max="166" width="0.140625" style="106" customWidth="1"/>
    <col min="167" max="167" width="2.85546875" style="106" customWidth="1"/>
    <col min="168" max="168" width="1" style="106" customWidth="1"/>
    <col min="169" max="169" width="10" style="106" customWidth="1"/>
    <col min="170" max="170" width="7.28515625" style="106" customWidth="1"/>
    <col min="171" max="172" width="1" style="106" customWidth="1"/>
    <col min="173" max="173" width="3.42578125" style="296" customWidth="1"/>
    <col min="174" max="175" width="10" style="106" customWidth="1"/>
    <col min="176" max="176" width="0.140625" style="106" customWidth="1"/>
    <col min="177" max="179" width="10" style="106" customWidth="1"/>
    <col min="180" max="180" width="1" style="106" customWidth="1"/>
    <col min="181" max="181" width="10" style="106" customWidth="1"/>
    <col min="182" max="182" width="0.140625" style="106" customWidth="1"/>
    <col min="183" max="183" width="2.85546875" style="106" customWidth="1"/>
    <col min="184" max="184" width="1" style="106" customWidth="1"/>
    <col min="185" max="185" width="10" style="106" customWidth="1"/>
    <col min="186" max="186" width="7.28515625" style="106" customWidth="1"/>
    <col min="187" max="188" width="1" style="106" customWidth="1"/>
    <col min="189" max="189" width="3.42578125" style="296" customWidth="1"/>
    <col min="190" max="191" width="10" style="106" customWidth="1"/>
    <col min="192" max="192" width="0.140625" style="106" customWidth="1"/>
    <col min="193" max="195" width="10" style="106" customWidth="1"/>
    <col min="196" max="196" width="1" style="106" customWidth="1"/>
    <col min="197" max="197" width="10" style="106" customWidth="1"/>
    <col min="198" max="198" width="0.140625" style="106" customWidth="1"/>
    <col min="199" max="199" width="2.85546875" style="106" customWidth="1"/>
    <col min="200" max="200" width="1" style="106" customWidth="1"/>
    <col min="201" max="201" width="10" style="106" customWidth="1"/>
    <col min="202" max="202" width="7.28515625" style="106" customWidth="1"/>
    <col min="203" max="204" width="1" style="106" customWidth="1"/>
    <col min="205" max="205" width="3.42578125" style="296" customWidth="1"/>
    <col min="206" max="207" width="10" style="106" customWidth="1"/>
    <col min="208" max="208" width="0.140625" style="106" customWidth="1"/>
    <col min="209" max="211" width="10" style="106" customWidth="1"/>
    <col min="212" max="212" width="1" style="106" customWidth="1"/>
    <col min="213" max="213" width="10" style="106" customWidth="1"/>
    <col min="214" max="214" width="0.140625" style="106" customWidth="1"/>
    <col min="215" max="215" width="2.85546875" style="106" customWidth="1"/>
    <col min="216" max="216" width="1" style="106" customWidth="1"/>
    <col min="217" max="217" width="10" style="106" customWidth="1"/>
    <col min="218" max="218" width="7.28515625" style="106" customWidth="1"/>
    <col min="219" max="219" width="1" style="106" customWidth="1"/>
    <col min="220" max="220" width="2.7109375" style="106" customWidth="1"/>
    <col min="221" max="16384" width="9.140625" style="106"/>
  </cols>
  <sheetData>
    <row r="1" spans="1:220" s="72" customFormat="1" ht="14.45" customHeight="1" thickTop="1" x14ac:dyDescent="0.25">
      <c r="A1" s="579"/>
      <c r="B1" s="516"/>
      <c r="C1" s="516" t="s">
        <v>254</v>
      </c>
      <c r="D1" s="516" t="s">
        <v>246</v>
      </c>
      <c r="E1" s="517" t="s">
        <v>245</v>
      </c>
      <c r="F1" s="516" t="s">
        <v>1</v>
      </c>
      <c r="G1" s="516" t="s">
        <v>244</v>
      </c>
      <c r="H1" s="516" t="s">
        <v>247</v>
      </c>
      <c r="I1" s="517" t="s">
        <v>248</v>
      </c>
      <c r="J1" s="578" t="s">
        <v>269</v>
      </c>
      <c r="K1" s="578"/>
      <c r="L1" s="578"/>
      <c r="M1" s="578"/>
      <c r="N1" s="518"/>
      <c r="O1" s="534"/>
      <c r="P1" s="49"/>
      <c r="Q1" s="50" t="str">
        <f>Meta!$V$3</f>
        <v>Crédito</v>
      </c>
      <c r="R1" s="50" t="str">
        <f>Meta!$V$4</f>
        <v>Dinheiro</v>
      </c>
      <c r="S1" s="50" t="str">
        <f>Meta!$V$5</f>
        <v>Cheque</v>
      </c>
      <c r="T1" s="50" t="str">
        <f>Meta!$V$6</f>
        <v>C. Déb.</v>
      </c>
      <c r="U1" s="50" t="str">
        <f>Meta!$V$7</f>
        <v>C. Créd.</v>
      </c>
      <c r="V1" s="50" t="str">
        <f>Meta!$V$8</f>
        <v>Depós.</v>
      </c>
      <c r="W1" s="50" t="str">
        <f>Meta!$V$9</f>
        <v>Fatur.</v>
      </c>
      <c r="X1" s="50" t="str">
        <f>Meta!$V$10</f>
        <v>Pg. Tard.</v>
      </c>
      <c r="Y1" s="50" t="s">
        <v>14</v>
      </c>
      <c r="Z1" s="51" t="s">
        <v>2</v>
      </c>
      <c r="AA1" s="52"/>
      <c r="AB1" s="48"/>
      <c r="AC1" s="53"/>
      <c r="AD1" s="36" t="s">
        <v>3</v>
      </c>
      <c r="AE1" s="36" t="s">
        <v>20</v>
      </c>
      <c r="AF1" s="37" t="s">
        <v>240</v>
      </c>
      <c r="AG1" s="36" t="s">
        <v>9</v>
      </c>
      <c r="AH1" s="36" t="s">
        <v>1</v>
      </c>
      <c r="AI1" s="36" t="s">
        <v>16</v>
      </c>
      <c r="AJ1" s="37" t="s">
        <v>10</v>
      </c>
      <c r="AK1" s="36" t="s">
        <v>11</v>
      </c>
      <c r="AL1" s="37" t="s">
        <v>241</v>
      </c>
      <c r="AM1" s="36" t="s">
        <v>13</v>
      </c>
      <c r="AN1" s="37" t="s">
        <v>12</v>
      </c>
      <c r="AO1" s="36" t="s">
        <v>7</v>
      </c>
      <c r="AP1" s="36" t="s">
        <v>4</v>
      </c>
      <c r="AQ1" s="54"/>
      <c r="AR1" s="48"/>
      <c r="AS1" s="55"/>
      <c r="AT1" s="38" t="s">
        <v>3</v>
      </c>
      <c r="AU1" s="38" t="s">
        <v>20</v>
      </c>
      <c r="AV1" s="39" t="s">
        <v>240</v>
      </c>
      <c r="AW1" s="38" t="s">
        <v>9</v>
      </c>
      <c r="AX1" s="38" t="s">
        <v>1</v>
      </c>
      <c r="AY1" s="38" t="s">
        <v>16</v>
      </c>
      <c r="AZ1" s="39" t="s">
        <v>10</v>
      </c>
      <c r="BA1" s="38" t="s">
        <v>11</v>
      </c>
      <c r="BB1" s="39" t="s">
        <v>241</v>
      </c>
      <c r="BC1" s="38" t="s">
        <v>13</v>
      </c>
      <c r="BD1" s="39" t="s">
        <v>12</v>
      </c>
      <c r="BE1" s="38" t="s">
        <v>7</v>
      </c>
      <c r="BF1" s="38" t="s">
        <v>4</v>
      </c>
      <c r="BG1" s="56"/>
      <c r="BH1" s="48"/>
      <c r="BI1" s="57"/>
      <c r="BJ1" s="45" t="s">
        <v>3</v>
      </c>
      <c r="BK1" s="45" t="s">
        <v>20</v>
      </c>
      <c r="BL1" s="46" t="s">
        <v>240</v>
      </c>
      <c r="BM1" s="45" t="s">
        <v>9</v>
      </c>
      <c r="BN1" s="45" t="s">
        <v>1</v>
      </c>
      <c r="BO1" s="45" t="s">
        <v>16</v>
      </c>
      <c r="BP1" s="46" t="s">
        <v>10</v>
      </c>
      <c r="BQ1" s="45" t="s">
        <v>11</v>
      </c>
      <c r="BR1" s="46" t="s">
        <v>241</v>
      </c>
      <c r="BS1" s="45" t="s">
        <v>13</v>
      </c>
      <c r="BT1" s="46" t="s">
        <v>12</v>
      </c>
      <c r="BU1" s="45" t="s">
        <v>7</v>
      </c>
      <c r="BV1" s="45" t="s">
        <v>4</v>
      </c>
      <c r="BW1" s="58"/>
      <c r="BX1" s="48"/>
      <c r="BY1" s="59"/>
      <c r="BZ1" s="60" t="s">
        <v>3</v>
      </c>
      <c r="CA1" s="60" t="s">
        <v>20</v>
      </c>
      <c r="CB1" s="61" t="s">
        <v>240</v>
      </c>
      <c r="CC1" s="60" t="s">
        <v>9</v>
      </c>
      <c r="CD1" s="60" t="s">
        <v>1</v>
      </c>
      <c r="CE1" s="60" t="s">
        <v>16</v>
      </c>
      <c r="CF1" s="61" t="s">
        <v>10</v>
      </c>
      <c r="CG1" s="60" t="s">
        <v>11</v>
      </c>
      <c r="CH1" s="61" t="s">
        <v>241</v>
      </c>
      <c r="CI1" s="60" t="s">
        <v>13</v>
      </c>
      <c r="CJ1" s="61" t="s">
        <v>12</v>
      </c>
      <c r="CK1" s="60" t="s">
        <v>7</v>
      </c>
      <c r="CL1" s="60" t="s">
        <v>4</v>
      </c>
      <c r="CM1" s="62"/>
      <c r="CN1" s="48"/>
      <c r="CO1" s="63"/>
      <c r="CP1" s="64" t="s">
        <v>3</v>
      </c>
      <c r="CQ1" s="64" t="s">
        <v>20</v>
      </c>
      <c r="CR1" s="65" t="s">
        <v>240</v>
      </c>
      <c r="CS1" s="64" t="s">
        <v>9</v>
      </c>
      <c r="CT1" s="64" t="s">
        <v>1</v>
      </c>
      <c r="CU1" s="64" t="s">
        <v>16</v>
      </c>
      <c r="CV1" s="65" t="s">
        <v>10</v>
      </c>
      <c r="CW1" s="64" t="s">
        <v>11</v>
      </c>
      <c r="CX1" s="65" t="s">
        <v>241</v>
      </c>
      <c r="CY1" s="64" t="s">
        <v>13</v>
      </c>
      <c r="CZ1" s="65" t="s">
        <v>12</v>
      </c>
      <c r="DA1" s="64" t="s">
        <v>7</v>
      </c>
      <c r="DB1" s="64" t="s">
        <v>4</v>
      </c>
      <c r="DC1" s="66"/>
      <c r="DD1" s="48"/>
      <c r="DE1" s="55"/>
      <c r="DF1" s="38" t="s">
        <v>3</v>
      </c>
      <c r="DG1" s="38" t="s">
        <v>20</v>
      </c>
      <c r="DH1" s="39" t="s">
        <v>240</v>
      </c>
      <c r="DI1" s="38" t="s">
        <v>9</v>
      </c>
      <c r="DJ1" s="38" t="s">
        <v>1</v>
      </c>
      <c r="DK1" s="38" t="s">
        <v>16</v>
      </c>
      <c r="DL1" s="39" t="s">
        <v>10</v>
      </c>
      <c r="DM1" s="38" t="s">
        <v>11</v>
      </c>
      <c r="DN1" s="39" t="s">
        <v>241</v>
      </c>
      <c r="DO1" s="38" t="s">
        <v>13</v>
      </c>
      <c r="DP1" s="39" t="s">
        <v>12</v>
      </c>
      <c r="DQ1" s="38" t="s">
        <v>7</v>
      </c>
      <c r="DR1" s="38" t="s">
        <v>4</v>
      </c>
      <c r="DS1" s="56"/>
      <c r="DT1" s="48"/>
      <c r="DU1" s="67"/>
      <c r="DV1" s="68" t="s">
        <v>3</v>
      </c>
      <c r="DW1" s="68" t="s">
        <v>20</v>
      </c>
      <c r="DX1" s="69" t="s">
        <v>240</v>
      </c>
      <c r="DY1" s="68" t="s">
        <v>9</v>
      </c>
      <c r="DZ1" s="68" t="s">
        <v>1</v>
      </c>
      <c r="EA1" s="68" t="s">
        <v>16</v>
      </c>
      <c r="EB1" s="69" t="s">
        <v>10</v>
      </c>
      <c r="EC1" s="68" t="s">
        <v>11</v>
      </c>
      <c r="ED1" s="69" t="s">
        <v>241</v>
      </c>
      <c r="EE1" s="68" t="s">
        <v>13</v>
      </c>
      <c r="EF1" s="69" t="s">
        <v>12</v>
      </c>
      <c r="EG1" s="68" t="s">
        <v>7</v>
      </c>
      <c r="EH1" s="68" t="s">
        <v>4</v>
      </c>
      <c r="EI1" s="70"/>
      <c r="EJ1" s="48"/>
      <c r="EK1" s="67"/>
      <c r="EL1" s="68" t="s">
        <v>3</v>
      </c>
      <c r="EM1" s="68" t="s">
        <v>20</v>
      </c>
      <c r="EN1" s="69" t="s">
        <v>240</v>
      </c>
      <c r="EO1" s="68" t="s">
        <v>9</v>
      </c>
      <c r="EP1" s="68" t="s">
        <v>1</v>
      </c>
      <c r="EQ1" s="68" t="s">
        <v>16</v>
      </c>
      <c r="ER1" s="69" t="s">
        <v>10</v>
      </c>
      <c r="ES1" s="68" t="s">
        <v>11</v>
      </c>
      <c r="ET1" s="69" t="s">
        <v>241</v>
      </c>
      <c r="EU1" s="68" t="s">
        <v>13</v>
      </c>
      <c r="EV1" s="69" t="s">
        <v>12</v>
      </c>
      <c r="EW1" s="68" t="s">
        <v>7</v>
      </c>
      <c r="EX1" s="68" t="s">
        <v>4</v>
      </c>
      <c r="EY1" s="70"/>
      <c r="EZ1" s="48"/>
      <c r="FA1" s="67"/>
      <c r="FB1" s="68" t="s">
        <v>3</v>
      </c>
      <c r="FC1" s="68" t="s">
        <v>20</v>
      </c>
      <c r="FD1" s="69" t="s">
        <v>240</v>
      </c>
      <c r="FE1" s="68" t="s">
        <v>9</v>
      </c>
      <c r="FF1" s="68" t="s">
        <v>1</v>
      </c>
      <c r="FG1" s="68" t="s">
        <v>16</v>
      </c>
      <c r="FH1" s="69" t="s">
        <v>10</v>
      </c>
      <c r="FI1" s="68" t="s">
        <v>11</v>
      </c>
      <c r="FJ1" s="69" t="s">
        <v>241</v>
      </c>
      <c r="FK1" s="68" t="s">
        <v>13</v>
      </c>
      <c r="FL1" s="69" t="s">
        <v>12</v>
      </c>
      <c r="FM1" s="68" t="s">
        <v>7</v>
      </c>
      <c r="FN1" s="68" t="s">
        <v>4</v>
      </c>
      <c r="FO1" s="70"/>
      <c r="FP1" s="48"/>
      <c r="FQ1" s="67"/>
      <c r="FR1" s="68" t="s">
        <v>3</v>
      </c>
      <c r="FS1" s="68" t="s">
        <v>20</v>
      </c>
      <c r="FT1" s="69" t="s">
        <v>240</v>
      </c>
      <c r="FU1" s="68" t="s">
        <v>9</v>
      </c>
      <c r="FV1" s="68" t="s">
        <v>1</v>
      </c>
      <c r="FW1" s="68" t="s">
        <v>16</v>
      </c>
      <c r="FX1" s="69" t="s">
        <v>10</v>
      </c>
      <c r="FY1" s="68" t="s">
        <v>11</v>
      </c>
      <c r="FZ1" s="69" t="s">
        <v>241</v>
      </c>
      <c r="GA1" s="68" t="s">
        <v>13</v>
      </c>
      <c r="GB1" s="69" t="s">
        <v>12</v>
      </c>
      <c r="GC1" s="68" t="s">
        <v>7</v>
      </c>
      <c r="GD1" s="68" t="s">
        <v>4</v>
      </c>
      <c r="GE1" s="70"/>
      <c r="GF1" s="48"/>
      <c r="GG1" s="67"/>
      <c r="GH1" s="68" t="s">
        <v>3</v>
      </c>
      <c r="GI1" s="68" t="s">
        <v>20</v>
      </c>
      <c r="GJ1" s="69" t="s">
        <v>240</v>
      </c>
      <c r="GK1" s="68" t="s">
        <v>9</v>
      </c>
      <c r="GL1" s="68" t="s">
        <v>1</v>
      </c>
      <c r="GM1" s="68" t="s">
        <v>16</v>
      </c>
      <c r="GN1" s="69" t="s">
        <v>10</v>
      </c>
      <c r="GO1" s="68" t="s">
        <v>11</v>
      </c>
      <c r="GP1" s="69" t="s">
        <v>241</v>
      </c>
      <c r="GQ1" s="68" t="s">
        <v>13</v>
      </c>
      <c r="GR1" s="69" t="s">
        <v>12</v>
      </c>
      <c r="GS1" s="68" t="s">
        <v>7</v>
      </c>
      <c r="GT1" s="68" t="s">
        <v>4</v>
      </c>
      <c r="GU1" s="70"/>
      <c r="GV1" s="48"/>
      <c r="GW1" s="67"/>
      <c r="GX1" s="68" t="s">
        <v>3</v>
      </c>
      <c r="GY1" s="68" t="s">
        <v>20</v>
      </c>
      <c r="GZ1" s="69" t="s">
        <v>240</v>
      </c>
      <c r="HA1" s="68" t="s">
        <v>9</v>
      </c>
      <c r="HB1" s="68" t="s">
        <v>1</v>
      </c>
      <c r="HC1" s="68" t="s">
        <v>16</v>
      </c>
      <c r="HD1" s="69" t="s">
        <v>10</v>
      </c>
      <c r="HE1" s="68" t="s">
        <v>11</v>
      </c>
      <c r="HF1" s="69" t="s">
        <v>241</v>
      </c>
      <c r="HG1" s="68" t="s">
        <v>13</v>
      </c>
      <c r="HH1" s="69" t="s">
        <v>12</v>
      </c>
      <c r="HI1" s="68" t="s">
        <v>7</v>
      </c>
      <c r="HJ1" s="68" t="s">
        <v>4</v>
      </c>
      <c r="HK1" s="70"/>
      <c r="HL1" s="71"/>
    </row>
    <row r="2" spans="1:220" ht="14.45" customHeight="1" x14ac:dyDescent="0.25">
      <c r="A2" s="580"/>
      <c r="B2" s="561" t="str">
        <f>IF(AG29=Meta!$D$3,Meta!$Q$3,"")</f>
        <v>Alice</v>
      </c>
      <c r="C2" s="573" t="s">
        <v>252</v>
      </c>
      <c r="D2" s="563">
        <f>IF(AND(C2="S",B2&lt;&gt;""),AA_Jan1[[#Totals],[Total Nota]],"")</f>
        <v>0</v>
      </c>
      <c r="E2" s="564" t="s">
        <v>250</v>
      </c>
      <c r="F2" s="565">
        <f>IF(AND(C2="S",B2&lt;&gt;""),AA_Jan1[[#Totals],[Comissão]],"")</f>
        <v>0</v>
      </c>
      <c r="G2" s="564" t="s">
        <v>244</v>
      </c>
      <c r="H2" s="565">
        <f t="shared" ref="H2:H13" si="0">IF(AND(C2="S",B2&lt;&gt;""),R17,"")</f>
        <v>0</v>
      </c>
      <c r="I2" s="566" t="s">
        <v>248</v>
      </c>
      <c r="J2" s="552" t="str">
        <f t="shared" ref="J2:J13" si="1">IF(Q17=0,"",IF(Q17&gt;0,Q17,""))</f>
        <v/>
      </c>
      <c r="K2" s="584" t="str">
        <f>IF(J2&lt;&gt;"",Meta!$X$3,IF(Q17&lt;0,Q17,""))</f>
        <v/>
      </c>
      <c r="L2" s="585"/>
      <c r="M2" s="519" t="str">
        <f>IF(K2&lt;&gt;"",IF(K2&lt;0,Meta!$X$4,""),"")</f>
        <v/>
      </c>
      <c r="N2" s="543"/>
      <c r="O2" s="535"/>
      <c r="P2" s="74" t="str">
        <f>IF(AG29=Meta!$D$3,Meta!$Q$3,"")</f>
        <v>Alice</v>
      </c>
      <c r="Q2" s="75">
        <f>IF(AG29=Meta!$D$3,SUMIF(AA_Jan1[Tipo],Q$1,AA_Jan1[Entregue]),"")</f>
        <v>0</v>
      </c>
      <c r="R2" s="76">
        <f>IF(AG29=Meta!$D$3,SUMIF(AA_Jan1[Tipo],R$1,AA_Jan1[Entregue]),"")</f>
        <v>0</v>
      </c>
      <c r="S2" s="76">
        <f>IF(AG29=Meta!$D$3,SUMIF(AA_Jan1[Tipo],S$1,AA_Jan1[Entregue]),"")</f>
        <v>0</v>
      </c>
      <c r="T2" s="76">
        <f>IF(AG29=Meta!$D$3,SUMIF(AA_Jan1[Tipo],T$1,AA_Jan1[Entregue]),"")</f>
        <v>0</v>
      </c>
      <c r="U2" s="76">
        <f>IF(AG29=Meta!$D$3,SUMIF(AA_Jan1[Tipo],U$1,AA_Jan1[Entregue]),"")</f>
        <v>0</v>
      </c>
      <c r="V2" s="76">
        <f>IF(AG29=Meta!$D$3,SUMIF(AA_Jan1[Tipo],V$1,AA_Jan1[Entregue]),"")</f>
        <v>0</v>
      </c>
      <c r="W2" s="76">
        <f>IF(AG29=Meta!$D$3,SUMIF(AA_Jan1[Tipo],W$1,AA_Jan1[Entregue]),"")</f>
        <v>0</v>
      </c>
      <c r="X2" s="77">
        <f>IF(AG29=Meta!$D$3,SUMIF(AA_Jan1[Tipo],X$1,AA_Jan1[Entregue]),"")</f>
        <v>0</v>
      </c>
      <c r="Y2" s="78">
        <f>IF(AG29=Meta!$D$3,SUMIF(AA_Jan1[Tipo],"",AA_Jan1[Entregue]),"")</f>
        <v>0</v>
      </c>
      <c r="Z2" s="79">
        <f>IF(AG29=Meta!$D$3,ROUND(SUM(Q2:Y2),2),"")</f>
        <v>0</v>
      </c>
      <c r="AA2" s="80"/>
      <c r="AB2" s="73"/>
      <c r="AC2" s="81" t="str">
        <f>IFERROR(VLOOKUP(AA_Jan1[[#This Row],[Emols.]],Meta!$AK$3:$AN$256,3,FALSE),"")</f>
        <v/>
      </c>
      <c r="AD2" s="324"/>
      <c r="AE2" s="324"/>
      <c r="AF2" s="493" t="str">
        <f>IF(AA_Jan1[[#This Row],[Total Nota]]="",TEXT(IFERROR(VLOOKUP(AA_Jan1[[#This Row],[Emols.]],Meta!$AK$3:$AN$256,2,FALSE)+AA_Jan1[[#This Row],[ITBI/ITCMD]],""),"#.##0,00"),"")</f>
        <v/>
      </c>
      <c r="AG2" s="482">
        <f>AA_Jan1[[#This Row],[Emols.]]-AA_Jan1[[#This Row],[Comissão]]</f>
        <v>0</v>
      </c>
      <c r="AH2" s="83">
        <f>VLOOKUP($AE$29,Meta!$Q$3:$R$16,2,FALSE)*AD2</f>
        <v>0</v>
      </c>
      <c r="AI2" s="83">
        <f>AA_Jan1[[#This Row],[Total Nota]]-AA_Jan1[[#This Row],[Comissão]]</f>
        <v>0</v>
      </c>
      <c r="AJ2" s="40"/>
      <c r="AK2" s="489"/>
      <c r="AL2" s="494" t="str">
        <f>IF(AND(AA_Jan1[[#This Row],[Total Nota]]&lt;&gt;"",AA_Jan1[[#This Row],[ITBI/ITCMD]]="",AA_Jan1[[#This Row],[Total Nota]]-IFERROR(VLOOKUP(AA_Jan1[[#This Row],[Emols.]],Meta!$AK$3:$AN$256,2,FALSE),0)&lt;&gt;0),TEXT(IFERROR(AA_Jan1[[#This Row],[Total Nota]]-VLOOKUP(AA_Jan1[[#This Row],[Emols.]],Meta!$AK$3:$AN$256,2,FALSE),""),"#.##0,00"),"")</f>
        <v/>
      </c>
      <c r="AM2" s="484"/>
      <c r="AN2" s="84"/>
      <c r="AO2" s="325"/>
      <c r="AP2" s="326"/>
      <c r="AQ2" s="85"/>
      <c r="AR2" s="86"/>
      <c r="AS2" s="87" t="str">
        <f>IFERROR(VLOOKUP(BB_Jan1[[#This Row],[Emols.]],Meta!$AK$3:$AN$256,3,FALSE),"")</f>
        <v/>
      </c>
      <c r="AT2" s="325"/>
      <c r="AU2" s="324"/>
      <c r="AV2" s="493" t="str">
        <f>IF(BB_Jan1[[#This Row],[Total Nota]]="",TEXT(IFERROR(VLOOKUP(BB_Jan1[[#This Row],[Emols.]],Meta!$AK$3:$AN$256,2,FALSE)+BB_Jan1[[#This Row],[ITBI/ITCMD]],""),"#.##0,00"),"")</f>
        <v/>
      </c>
      <c r="AW2" s="482">
        <f>BB_Jan1[[#This Row],[Emols.]]-BB_Jan1[[#This Row],[Comissão]]</f>
        <v>0</v>
      </c>
      <c r="AX2" s="83">
        <f>VLOOKUP($AU$29,Meta!$Q$3:$R$16,2,FALSE)*AT2</f>
        <v>0</v>
      </c>
      <c r="AY2" s="83">
        <f>BB_Jan1[[#This Row],[Total Nota]]-BB_Jan1[[#This Row],[Comissão]]</f>
        <v>0</v>
      </c>
      <c r="AZ2" s="41"/>
      <c r="BA2" s="324"/>
      <c r="BB2" s="493" t="str">
        <f>IF(AND(BB_Jan1[[#This Row],[Total Nota]]&lt;&gt;"",BB_Jan1[[#This Row],[ITBI/ITCMD]]="",BB_Jan1[[#This Row],[Total Nota]]-IFERROR(VLOOKUP(BB_Jan1[[#This Row],[Emols.]],Meta!$AK$3:$AN$256,2,FALSE),0)&lt;&gt;0),TEXT(IFERROR(BB_Jan1[[#This Row],[Total Nota]]-VLOOKUP(BB_Jan1[[#This Row],[Emols.]],Meta!$AK$3:$AN$256,2,FALSE),""),"#.##0,00"),"")</f>
        <v/>
      </c>
      <c r="BC2" s="484"/>
      <c r="BD2" s="41"/>
      <c r="BE2" s="325"/>
      <c r="BF2" s="326"/>
      <c r="BG2" s="89"/>
      <c r="BH2" s="86"/>
      <c r="BI2" s="90" t="str">
        <f>IFERROR(VLOOKUP(CC_Jan1[[#This Row],[Emols.]],Meta!$AK$3:$AN$256,3,FALSE),"")</f>
        <v/>
      </c>
      <c r="BJ2" s="325"/>
      <c r="BK2" s="489"/>
      <c r="BL2" s="494" t="str">
        <f>IF(CC_Jan1[[#This Row],[Total Nota]]="",TEXT(IFERROR(VLOOKUP(CC_Jan1[[#This Row],[Emols.]],Meta!$AK$3:$AN$256,2,FALSE)+CC_Jan1[[#This Row],[ITBI/ITCMD]],""),"#.##0,00"),"")</f>
        <v/>
      </c>
      <c r="BM2" s="482">
        <f>CC_Jan1[[#This Row],[Emols.]]-CC_Jan1[[#This Row],[Comissão]]</f>
        <v>0</v>
      </c>
      <c r="BN2" s="83">
        <f>VLOOKUP($BK$29,Meta!$Q$3:$R$16,2,FALSE)*BJ2</f>
        <v>0</v>
      </c>
      <c r="BO2" s="83">
        <f>CC_Jan1[[#This Row],[Total Nota]]-CC_Jan1[[#This Row],[Comissão]]</f>
        <v>0</v>
      </c>
      <c r="BP2" s="47"/>
      <c r="BQ2" s="489"/>
      <c r="BR2" s="494" t="str">
        <f>IF(AND(CC_Jan1[[#This Row],[Total Nota]]&lt;&gt;"",CC_Jan1[[#This Row],[ITBI/ITCMD]]="",CC_Jan1[[#This Row],[Total Nota]]-IFERROR(VLOOKUP(CC_Jan1[[#This Row],[Emols.]],Meta!$AK$3:$AN$256,2,FALSE),0)&lt;&gt;0),TEXT(IFERROR(CC_Jan1[[#This Row],[Total Nota]]-VLOOKUP(CC_Jan1[[#This Row],[Emols.]],Meta!$AK$3:$AN$256,2,FALSE),""),"#.##0,00"),"")</f>
        <v/>
      </c>
      <c r="BS2" s="484"/>
      <c r="BT2" s="47"/>
      <c r="BU2" s="325"/>
      <c r="BV2" s="326"/>
      <c r="BW2" s="91"/>
      <c r="BX2" s="86"/>
      <c r="BY2" s="92" t="str">
        <f>IFERROR(VLOOKUP(DD_Jan1[[#This Row],[Emols.]],Meta!$AK$3:$AN$256,3,FALSE),"")</f>
        <v/>
      </c>
      <c r="BZ2" s="325"/>
      <c r="CA2" s="324"/>
      <c r="CB2" s="493" t="str">
        <f>IF(DD_Jan1[[#This Row],[Total Nota]]="",TEXT(IFERROR(VLOOKUP(DD_Jan1[[#This Row],[Emols.]],Meta!$AK$3:$AN$256,2,FALSE)+DD_Jan1[[#This Row],[ITBI/ITCMD]],""),"#.##0,00"),"")</f>
        <v/>
      </c>
      <c r="CC2" s="482">
        <f>DD_Jan1[[#This Row],[Emols.]]-DD_Jan1[[#This Row],[Comissão]]</f>
        <v>0</v>
      </c>
      <c r="CD2" s="83">
        <f>VLOOKUP($CA$29,Meta!$Q$3:$R$16,2,FALSE)*BZ2</f>
        <v>0</v>
      </c>
      <c r="CE2" s="83">
        <f>DD_Jan1[[#This Row],[Total Nota]]-DD_Jan1[[#This Row],[Comissão]]</f>
        <v>0</v>
      </c>
      <c r="CF2" s="93"/>
      <c r="CG2" s="489"/>
      <c r="CH2" s="494" t="str">
        <f>IF(AND(DD_Jan1[[#This Row],[Total Nota]]&lt;&gt;"",DD_Jan1[[#This Row],[ITBI/ITCMD]]="",DD_Jan1[[#This Row],[Total Nota]]-IFERROR(VLOOKUP(DD_Jan1[[#This Row],[Emols.]],Meta!$AK$3:$AN$256,2,FALSE),0)&lt;&gt;0),TEXT(IFERROR(DD_Jan1[[#This Row],[Total Nota]]-VLOOKUP(DD_Jan1[[#This Row],[Emols.]],Meta!$AK$3:$AN$256,2,FALSE),""),"#.##0,00"),"")</f>
        <v/>
      </c>
      <c r="CI2" s="484"/>
      <c r="CJ2" s="93"/>
      <c r="CK2" s="325"/>
      <c r="CL2" s="326"/>
      <c r="CM2" s="94"/>
      <c r="CN2" s="86"/>
      <c r="CO2" s="95" t="str">
        <f>IFERROR(VLOOKUP(EE_Jan1[[#This Row],[Emols.]],Meta!$AK$3:$AN$256,3,FALSE),"")</f>
        <v/>
      </c>
      <c r="CP2" s="325"/>
      <c r="CQ2" s="324"/>
      <c r="CR2" s="493" t="str">
        <f>IF(EE_Jan1[[#This Row],[Total Nota]]="",TEXT(IFERROR(VLOOKUP(EE_Jan1[[#This Row],[Emols.]],Meta!$AK$3:$AN$256,2,FALSE)+EE_Jan1[[#This Row],[ITBI/ITCMD]],""),"#.##0,00"),"")</f>
        <v/>
      </c>
      <c r="CS2" s="482">
        <f>EE_Jan1[[#This Row],[Emols.]]-EE_Jan1[[#This Row],[Comissão]]</f>
        <v>0</v>
      </c>
      <c r="CT2" s="83">
        <f>VLOOKUP($CQ$29,Meta!$Q$3:$R$16,2,FALSE)*CP2</f>
        <v>0</v>
      </c>
      <c r="CU2" s="83">
        <f>EE_Jan1[[#This Row],[Total Nota]]-EE_Jan1[[#This Row],[Comissão]]</f>
        <v>0</v>
      </c>
      <c r="CV2" s="96"/>
      <c r="CW2" s="489"/>
      <c r="CX2" s="494" t="str">
        <f>IF(AND(EE_Jan1[[#This Row],[Total Nota]]&lt;&gt;"",EE_Jan1[[#This Row],[ITBI/ITCMD]]="",EE_Jan1[[#This Row],[Total Nota]]-IFERROR(VLOOKUP(EE_Jan1[[#This Row],[Emols.]],Meta!$AK$3:$AN$256,2,FALSE),0)&lt;&gt;0),TEXT(IFERROR(EE_Jan1[[#This Row],[Total Nota]]-VLOOKUP(EE_Jan1[[#This Row],[Emols.]],Meta!$AK$3:$AN$256,2,FALSE),""),"#.##0,00"),"")</f>
        <v/>
      </c>
      <c r="CY2" s="484"/>
      <c r="CZ2" s="96"/>
      <c r="DA2" s="325"/>
      <c r="DB2" s="326"/>
      <c r="DC2" s="97"/>
      <c r="DD2" s="86"/>
      <c r="DE2" s="87" t="str">
        <f>IFERROR(VLOOKUP(FF_Jan1[[#This Row],[Emols.]],Meta!$AK$3:$AN$256,3,FALSE),"")</f>
        <v/>
      </c>
      <c r="DF2" s="325"/>
      <c r="DG2" s="489"/>
      <c r="DH2" s="494" t="str">
        <f>IF(FF_Jan1[[#This Row],[Total Nota]]="",TEXT(IFERROR(VLOOKUP(FF_Jan1[[#This Row],[Emols.]],Meta!$AK$3:$AN$256,2,FALSE)+FF_Jan1[[#This Row],[ITBI/ITCMD]],""),"#.##0,00"),"")</f>
        <v/>
      </c>
      <c r="DI2" s="482">
        <f>FF_Jan1[[#This Row],[Emols.]]-FF_Jan1[[#This Row],[Comissão]]</f>
        <v>0</v>
      </c>
      <c r="DJ2" s="83">
        <f>VLOOKUP($DG$29,Meta!$Q$3:$R$16,2,FALSE)*DF2</f>
        <v>0</v>
      </c>
      <c r="DK2" s="83">
        <f>FF_Jan1[[#This Row],[Total Nota]]-FF_Jan1[[#This Row],[Comissão]]</f>
        <v>0</v>
      </c>
      <c r="DL2" s="41"/>
      <c r="DM2" s="489"/>
      <c r="DN2" s="494" t="str">
        <f>IF(AND(FF_Jan1[[#This Row],[Total Nota]]&lt;&gt;"",FF_Jan1[[#This Row],[ITBI/ITCMD]]="",FF_Jan1[[#This Row],[Total Nota]]-IFERROR(VLOOKUP(FF_Jan1[[#This Row],[Emols.]],Meta!$AK$3:$AN$256,2,FALSE),0)&lt;&gt;0),TEXT(IFERROR(FF_Jan1[[#This Row],[Total Nota]]-VLOOKUP(FF_Jan1[[#This Row],[Emols.]],Meta!$AK$3:$AN$256,2,FALSE),""),"#.##0,00"),"")</f>
        <v/>
      </c>
      <c r="DO2" s="484"/>
      <c r="DP2" s="41"/>
      <c r="DQ2" s="325"/>
      <c r="DR2" s="326"/>
      <c r="DS2" s="98"/>
      <c r="DT2" s="73"/>
      <c r="DU2" s="99" t="str">
        <f>IFERROR(VLOOKUP(GG_Jan1[[#This Row],[Emols.]],Meta!$AK$3:$AN$256,3,FALSE),"")</f>
        <v/>
      </c>
      <c r="DV2" s="330"/>
      <c r="DW2" s="332"/>
      <c r="DX2" s="493" t="str">
        <f>IF(GG_Jan1[[#This Row],[Total Nota]]="",TEXT(IFERROR(VLOOKUP(GG_Jan1[[#This Row],[Emols.]],Meta!$AK$3:$AN$256,2,FALSE)+GG_Jan1[[#This Row],[ITBI/ITCMD]],""),"#.##0,00"),"")</f>
        <v/>
      </c>
      <c r="DY2" s="485">
        <f>GG_Jan1[[#This Row],[Emols.]]-GG_Jan1[[#This Row],[Comissão]]</f>
        <v>0</v>
      </c>
      <c r="DZ2" s="101">
        <f>VLOOKUP($DW$29,Meta!$Q$3:$R$16,2,FALSE)*DV2</f>
        <v>0</v>
      </c>
      <c r="EA2" s="101">
        <f>GG_Jan1[[#This Row],[Total Nota]]-GG_Jan1[[#This Row],[Comissão]]</f>
        <v>0</v>
      </c>
      <c r="EB2" s="102"/>
      <c r="EC2" s="492"/>
      <c r="ED2" s="494" t="str">
        <f>IF(AND(GG_Jan1[[#This Row],[Total Nota]]&lt;&gt;"",GG_Jan1[[#This Row],[ITBI/ITCMD]]="",GG_Jan1[[#This Row],[Total Nota]]-IFERROR(VLOOKUP(GG_Jan1[[#This Row],[Emols.]],Meta!$AK$3:$AN$256,2,FALSE),0)&lt;&gt;0),TEXT(IFERROR(GG_Jan1[[#This Row],[Total Nota]]-VLOOKUP(GG_Jan1[[#This Row],[Emols.]],Meta!$AK$3:$AN$256,2,FALSE),""),"#.##0,00"),"")</f>
        <v/>
      </c>
      <c r="EE2" s="487"/>
      <c r="EF2" s="102"/>
      <c r="EG2" s="330"/>
      <c r="EH2" s="326"/>
      <c r="EI2" s="104"/>
      <c r="EJ2" s="73"/>
      <c r="EK2" s="99" t="str">
        <f>IFERROR(VLOOKUP(HH_Jan1[[#This Row],[Emols.]],Meta!$AK$3:$AN$256,3,FALSE),"")</f>
        <v/>
      </c>
      <c r="EL2" s="330"/>
      <c r="EM2" s="492"/>
      <c r="EN2" s="494" t="str">
        <f>IF(HH_Jan1[[#This Row],[Total Nota]]="",TEXT(IFERROR(VLOOKUP(HH_Jan1[[#This Row],[Emols.]],Meta!$AK$3:$AN$256,2,FALSE)+HH_Jan1[[#This Row],[ITBI/ITCMD]],""),"#.##0,00"),"")</f>
        <v/>
      </c>
      <c r="EO2" s="485">
        <f>HH_Jan1[[#This Row],[Emols.]]-HH_Jan1[[#This Row],[Comissão]]</f>
        <v>0</v>
      </c>
      <c r="EP2" s="101">
        <f>VLOOKUP($EM$29,Meta!$Q$3:$R$16,2,FALSE)*EL2</f>
        <v>0</v>
      </c>
      <c r="EQ2" s="101">
        <f>HH_Jan1[[#This Row],[Total Nota]]-HH_Jan1[[#This Row],[Comissão]]</f>
        <v>0</v>
      </c>
      <c r="ER2" s="102"/>
      <c r="ES2" s="492"/>
      <c r="ET2" s="494" t="str">
        <f>IF(AND(HH_Jan1[[#This Row],[Total Nota]]&lt;&gt;"",HH_Jan1[[#This Row],[ITBI/ITCMD]]="",HH_Jan1[[#This Row],[Total Nota]]-IFERROR(VLOOKUP(HH_Jan1[[#This Row],[Emols.]],Meta!$AK$3:$AN$256,2,FALSE),0)&lt;&gt;0),TEXT(IFERROR(HH_Jan1[[#This Row],[Total Nota]]-VLOOKUP(HH_Jan1[[#This Row],[Emols.]],Meta!$AK$3:$AN$256,2,FALSE),""),"#.##0,00"),"")</f>
        <v/>
      </c>
      <c r="EU2" s="487"/>
      <c r="EV2" s="102"/>
      <c r="EW2" s="330"/>
      <c r="EX2" s="326"/>
      <c r="EY2" s="104"/>
      <c r="EZ2" s="73"/>
      <c r="FA2" s="99" t="str">
        <f>IFERROR(VLOOKUP(II_Jan1[[#This Row],[Emols.]],Meta!$AK$3:$AN$256,3,FALSE),"")</f>
        <v/>
      </c>
      <c r="FB2" s="330"/>
      <c r="FC2" s="492"/>
      <c r="FD2" s="494" t="str">
        <f>IF(II_Jan1[[#This Row],[Total Nota]]="",TEXT(IFERROR(VLOOKUP(II_Jan1[[#This Row],[Emols.]],Meta!$AK$3:$AN$256,2,FALSE)+II_Jan1[[#This Row],[ITBI/ITCMD]],""),"#.##0,00"),"")</f>
        <v/>
      </c>
      <c r="FE2" s="485">
        <f>II_Jan1[[#This Row],[Emols.]]-II_Jan1[[#This Row],[Comissão]]</f>
        <v>0</v>
      </c>
      <c r="FF2" s="101">
        <f>VLOOKUP($FC$29,Meta!$Q$3:$R$16,2,FALSE)*FB2</f>
        <v>0</v>
      </c>
      <c r="FG2" s="101">
        <f>II_Jan1[[#This Row],[Total Nota]]-II_Jan1[[#This Row],[Comissão]]</f>
        <v>0</v>
      </c>
      <c r="FH2" s="102"/>
      <c r="FI2" s="332"/>
      <c r="FJ2" s="493" t="str">
        <f>IF(AND(II_Jan1[[#This Row],[Total Nota]]&lt;&gt;"",II_Jan1[[#This Row],[ITBI/ITCMD]]="",II_Jan1[[#This Row],[Total Nota]]-IFERROR(VLOOKUP(II_Jan1[[#This Row],[Emols.]],Meta!$AK$3:$AN$256,2,FALSE),0)&lt;&gt;0),TEXT(IFERROR(II_Jan1[[#This Row],[Total Nota]]-VLOOKUP(II_Jan1[[#This Row],[Emols.]],Meta!$AK$3:$AN$256,2,FALSE),""),"#.##0,00"),"")</f>
        <v/>
      </c>
      <c r="FK2" s="487"/>
      <c r="FL2" s="102"/>
      <c r="FM2" s="330"/>
      <c r="FN2" s="326"/>
      <c r="FO2" s="104"/>
      <c r="FP2" s="73"/>
      <c r="FQ2" s="99" t="str">
        <f>IFERROR(VLOOKUP(JJ_Jan1[[#This Row],[Emols.]],Meta!$AK$3:$AN$256,3,FALSE),"")</f>
        <v/>
      </c>
      <c r="FR2" s="330"/>
      <c r="FS2" s="492"/>
      <c r="FT2" s="494" t="str">
        <f>IF(JJ_Jan1[[#This Row],[Total Nota]]="",TEXT(IFERROR(VLOOKUP(JJ_Jan1[[#This Row],[Emols.]],Meta!$AK$3:$AN$256,2,FALSE)+JJ_Jan1[[#This Row],[ITBI/ITCMD]],""),"#.##0,00"),"")</f>
        <v/>
      </c>
      <c r="FU2" s="485">
        <f>JJ_Jan1[[#This Row],[Emols.]]-JJ_Jan1[[#This Row],[Comissão]]</f>
        <v>0</v>
      </c>
      <c r="FV2" s="101">
        <f>VLOOKUP($FS$29,Meta!$Q$3:$R$16,2,FALSE)*FR2</f>
        <v>0</v>
      </c>
      <c r="FW2" s="101">
        <f>JJ_Jan1[[#This Row],[Total Nota]]-JJ_Jan1[[#This Row],[Comissão]]</f>
        <v>0</v>
      </c>
      <c r="FX2" s="102"/>
      <c r="FY2" s="332"/>
      <c r="FZ2" s="493" t="str">
        <f>IF(AND(JJ_Jan1[[#This Row],[Total Nota]]&lt;&gt;"",JJ_Jan1[[#This Row],[ITBI/ITCMD]]="",JJ_Jan1[[#This Row],[Total Nota]]-IFERROR(VLOOKUP(JJ_Jan1[[#This Row],[Emols.]],Meta!$AK$3:$AN$256,2,FALSE),0)&lt;&gt;0),TEXT(IFERROR(JJ_Jan1[[#This Row],[Total Nota]]-VLOOKUP(JJ_Jan1[[#This Row],[Emols.]],Meta!$AK$3:$AN$256,2,FALSE),""),"#.##0,00"),"")</f>
        <v/>
      </c>
      <c r="GA2" s="487"/>
      <c r="GB2" s="102"/>
      <c r="GC2" s="330"/>
      <c r="GD2" s="326"/>
      <c r="GE2" s="104"/>
      <c r="GF2" s="73"/>
      <c r="GG2" s="99" t="str">
        <f>IFERROR(VLOOKUP(KK_Jan1[[#This Row],[Emols.]],Meta!$AK$3:$AN$256,3,FALSE),"")</f>
        <v/>
      </c>
      <c r="GH2" s="330"/>
      <c r="GI2" s="492"/>
      <c r="GJ2" s="494" t="str">
        <f>IF(KK_Jan1[[#This Row],[Total Nota]]="",TEXT(IFERROR(VLOOKUP(KK_Jan1[[#This Row],[Emols.]],Meta!$AK$3:$AN$256,2,FALSE)+KK_Jan1[[#This Row],[ITBI/ITCMD]],""),"#.##0,00"),"")</f>
        <v/>
      </c>
      <c r="GK2" s="485">
        <f>KK_Jan1[[#This Row],[Emols.]]-KK_Jan1[[#This Row],[Comissão]]</f>
        <v>0</v>
      </c>
      <c r="GL2" s="101">
        <f>VLOOKUP($GI$29,Meta!$Q$3:$R$16,2,FALSE)*GH2</f>
        <v>0</v>
      </c>
      <c r="GM2" s="101">
        <f>KK_Jan1[[#This Row],[Total Nota]]-KK_Jan1[[#This Row],[Comissão]]</f>
        <v>0</v>
      </c>
      <c r="GN2" s="102"/>
      <c r="GO2" s="492"/>
      <c r="GP2" s="494" t="str">
        <f>IF(AND(KK_Jan1[[#This Row],[Total Nota]]&lt;&gt;"",KK_Jan1[[#This Row],[ITBI/ITCMD]]="",KK_Jan1[[#This Row],[Total Nota]]-IFERROR(VLOOKUP(KK_Jan1[[#This Row],[Emols.]],Meta!$AK$3:$AN$256,2,FALSE),0)&lt;&gt;0),TEXT(IFERROR(KK_Jan1[[#This Row],[Total Nota]]-VLOOKUP(KK_Jan1[[#This Row],[Emols.]],Meta!$AK$3:$AN$256,2,FALSE),""),"#.##0,00"),"")</f>
        <v/>
      </c>
      <c r="GQ2" s="487"/>
      <c r="GR2" s="102"/>
      <c r="GS2" s="330"/>
      <c r="GT2" s="326"/>
      <c r="GU2" s="104"/>
      <c r="GV2" s="73"/>
      <c r="GW2" s="99" t="str">
        <f>IFERROR(VLOOKUP(LL_Jan1[[#This Row],[Emols.]],Meta!$AK$3:$AN$256,3,FALSE),"")</f>
        <v/>
      </c>
      <c r="GX2" s="330"/>
      <c r="GY2" s="332"/>
      <c r="GZ2" s="493" t="str">
        <f>IF(LL_Jan1[[#This Row],[Total Nota]]="",TEXT(IFERROR(VLOOKUP(LL_Jan1[[#This Row],[Emols.]],Meta!$AK$3:$AN$256,2,FALSE)+LL_Jan1[[#This Row],[ITBI/ITCMD]],""),"#.##0,00"),"")</f>
        <v/>
      </c>
      <c r="HA2" s="485">
        <f>LL_Jan1[[#This Row],[Emols.]]-LL_Jan1[[#This Row],[Comissão]]</f>
        <v>0</v>
      </c>
      <c r="HB2" s="101">
        <f>VLOOKUP($GY$29,Meta!$Q$3:$R$16,2,FALSE)*GX2</f>
        <v>0</v>
      </c>
      <c r="HC2" s="101">
        <f>LL_Jan1[[#This Row],[Total Nota]]-LL_Jan1[[#This Row],[Comissão]]</f>
        <v>0</v>
      </c>
      <c r="HD2" s="102"/>
      <c r="HE2" s="332"/>
      <c r="HF2" s="493" t="str">
        <f>IF(AND(LL_Jan1[[#This Row],[Total Nota]]&lt;&gt;"",LL_Jan1[[#This Row],[ITBI/ITCMD]]="",LL_Jan1[[#This Row],[Total Nota]]-IFERROR(VLOOKUP(LL_Jan1[[#This Row],[Emols.]],Meta!$AK$3:$AN$256,2,FALSE),0)&lt;&gt;0),TEXT(IFERROR(LL_Jan1[[#This Row],[Total Nota]]-VLOOKUP(LL_Jan1[[#This Row],[Emols.]],Meta!$AK$3:$AN$256,2,FALSE),""),"#.##0,00"),"")</f>
        <v/>
      </c>
      <c r="HG2" s="487"/>
      <c r="HH2" s="102"/>
      <c r="HI2" s="330"/>
      <c r="HJ2" s="326"/>
      <c r="HK2" s="104"/>
      <c r="HL2" s="105"/>
    </row>
    <row r="3" spans="1:220" ht="14.45" customHeight="1" x14ac:dyDescent="0.25">
      <c r="A3" s="580"/>
      <c r="B3" s="558" t="str">
        <f>IF(AW29=Meta!$D$3,Meta!$Q$4,"")</f>
        <v>Beto</v>
      </c>
      <c r="C3" s="574" t="s">
        <v>252</v>
      </c>
      <c r="D3" s="567">
        <f>IF(AND(C3="S",B3&lt;&gt;""),BB_Jan1[[#Totals],[Total Nota]],"")</f>
        <v>0</v>
      </c>
      <c r="E3" s="568" t="s">
        <v>250</v>
      </c>
      <c r="F3" s="567">
        <f>IF(AND(C3="S",B3&lt;&gt;""),BB_Jan1[[#Totals],[Comissão]],"")</f>
        <v>0</v>
      </c>
      <c r="G3" s="568" t="s">
        <v>244</v>
      </c>
      <c r="H3" s="567">
        <f t="shared" si="0"/>
        <v>0</v>
      </c>
      <c r="I3" s="569" t="s">
        <v>248</v>
      </c>
      <c r="J3" s="553" t="str">
        <f t="shared" si="1"/>
        <v/>
      </c>
      <c r="K3" s="586" t="str">
        <f>IF(J3&lt;&gt;"",Meta!$X$3,IF(Q18&lt;0,Q18,""))</f>
        <v/>
      </c>
      <c r="L3" s="586"/>
      <c r="M3" s="498" t="str">
        <f>IF(K3&lt;&gt;"",IF(K3&lt;0,Meta!$X$4,""),"")</f>
        <v/>
      </c>
      <c r="N3" s="544"/>
      <c r="O3" s="535"/>
      <c r="P3" s="107" t="str">
        <f>IF(AW29=Meta!$D$3,Meta!$Q$4,"")</f>
        <v>Beto</v>
      </c>
      <c r="Q3" s="108">
        <f>IF(AW29=Meta!$D$3,SUMIF(BB_Jan1[Tipo],Q$1,BB_Jan1[Entregue]),"")</f>
        <v>0</v>
      </c>
      <c r="R3" s="109">
        <f>IF(AW29=Meta!$D$3,SUMIF(BB_Jan1[Tipo],R$1,BB_Jan1[Entregue]),"")</f>
        <v>0</v>
      </c>
      <c r="S3" s="109">
        <f>IF(AW29=Meta!$D$3,SUMIF(BB_Jan1[Tipo],S$1,BB_Jan1[Entregue]),"")</f>
        <v>0</v>
      </c>
      <c r="T3" s="109">
        <f>IF(AW29=Meta!$D$3,SUMIF(BB_Jan1[Tipo],T$1,BB_Jan1[Entregue]),"")</f>
        <v>0</v>
      </c>
      <c r="U3" s="109">
        <f>IF(AW29=Meta!$D$3,SUMIF(BB_Jan1[Tipo],U$1,BB_Jan1[Entregue]),"")</f>
        <v>0</v>
      </c>
      <c r="V3" s="109">
        <f>IF(AW29=Meta!$D$3,SUMIF(BB_Jan1[Tipo],V$1,BB_Jan1[Entregue]),"")</f>
        <v>0</v>
      </c>
      <c r="W3" s="109">
        <f>IF(AW29=Meta!$D$3,SUMIF(BB_Jan1[Tipo],W$1,BB_Jan1[Entregue]),"")</f>
        <v>0</v>
      </c>
      <c r="X3" s="110">
        <f>IF(AW29=Meta!$D$3,SUMIF(BB_Jan1[Tipo],X$1,BB_Jan1[Entregue]),"")</f>
        <v>0</v>
      </c>
      <c r="Y3" s="111">
        <f>IF(AW29=Meta!$D$3,SUMIF(BB_Jan1[Tipo],"",BB_Jan1[Entregue]),"")</f>
        <v>0</v>
      </c>
      <c r="Z3" s="112">
        <f>IF(AW29=Meta!$D$3,ROUND(SUM(Q3:Y3),2),"")</f>
        <v>0</v>
      </c>
      <c r="AA3" s="80"/>
      <c r="AB3" s="73"/>
      <c r="AC3" s="81" t="str">
        <f>IFERROR(VLOOKUP(AA_Jan1[[#This Row],[Emols.]],Meta!$AK$3:$AN$256,3,FALSE),"")</f>
        <v/>
      </c>
      <c r="AD3" s="325"/>
      <c r="AE3" s="324"/>
      <c r="AF3" s="494" t="str">
        <f>IF(AA_Jan1[[#This Row],[Total Nota]]="",TEXT(IFERROR(VLOOKUP(AA_Jan1[[#This Row],[Emols.]],Meta!$AK$3:$AN$256,2,FALSE)+AA_Jan1[[#This Row],[ITBI/ITCMD]],""),"#.##0,00"),"")</f>
        <v/>
      </c>
      <c r="AG3" s="482">
        <f>AA_Jan1[[#This Row],[Emols.]]-AA_Jan1[[#This Row],[Comissão]]</f>
        <v>0</v>
      </c>
      <c r="AH3" s="83">
        <f>VLOOKUP($AE$29,Meta!$Q$3:$R$16,2,FALSE)*AD3</f>
        <v>0</v>
      </c>
      <c r="AI3" s="83">
        <f>AA_Jan1[[#This Row],[Total Nota]]-AA_Jan1[[#This Row],[Comissão]]</f>
        <v>0</v>
      </c>
      <c r="AJ3" s="40"/>
      <c r="AK3" s="324"/>
      <c r="AL3" s="494" t="str">
        <f>IF(AND(AA_Jan1[[#This Row],[Total Nota]]&lt;&gt;"",AA_Jan1[[#This Row],[ITBI/ITCMD]]="",AA_Jan1[[#This Row],[Total Nota]]-IFERROR(VLOOKUP(AA_Jan1[[#This Row],[Emols.]],Meta!$AK$3:$AN$256,2,FALSE),0)&lt;&gt;0),TEXT(IFERROR(AA_Jan1[[#This Row],[Total Nota]]-VLOOKUP(AA_Jan1[[#This Row],[Emols.]],Meta!$AK$3:$AN$256,2,FALSE),""),"#.##0,00"),"")</f>
        <v/>
      </c>
      <c r="AM3" s="484"/>
      <c r="AN3" s="40"/>
      <c r="AO3" s="325"/>
      <c r="AP3" s="326"/>
      <c r="AQ3" s="85"/>
      <c r="AR3" s="86"/>
      <c r="AS3" s="87" t="str">
        <f>IFERROR(VLOOKUP(BB_Jan1[[#This Row],[Emols.]],Meta!$AK$3:$AN$256,3,FALSE),"")</f>
        <v/>
      </c>
      <c r="AT3" s="325"/>
      <c r="AU3" s="324"/>
      <c r="AV3" s="494" t="str">
        <f>IF(BB_Jan1[[#This Row],[Total Nota]]="",TEXT(IFERROR(VLOOKUP(BB_Jan1[[#This Row],[Emols.]],Meta!$AK$3:$AN$256,2,FALSE)+BB_Jan1[[#This Row],[ITBI/ITCMD]],""),"#.##0,00"),"")</f>
        <v/>
      </c>
      <c r="AW3" s="482">
        <f>BB_Jan1[[#This Row],[Emols.]]-BB_Jan1[[#This Row],[Comissão]]</f>
        <v>0</v>
      </c>
      <c r="AX3" s="83">
        <f>VLOOKUP($AU$29,Meta!$Q$3:$R$16,2,FALSE)*AT3</f>
        <v>0</v>
      </c>
      <c r="AY3" s="83">
        <f>BB_Jan1[[#This Row],[Total Nota]]-BB_Jan1[[#This Row],[Comissão]]</f>
        <v>0</v>
      </c>
      <c r="AZ3" s="41"/>
      <c r="BA3" s="324"/>
      <c r="BB3" s="494" t="str">
        <f>IF(AND(BB_Jan1[[#This Row],[Total Nota]]&lt;&gt;"",BB_Jan1[[#This Row],[ITBI/ITCMD]]="",BB_Jan1[[#This Row],[Total Nota]]-IFERROR(VLOOKUP(BB_Jan1[[#This Row],[Emols.]],Meta!$AK$3:$AN$256,2,FALSE),0)&lt;&gt;0),TEXT(IFERROR(BB_Jan1[[#This Row],[Total Nota]]-VLOOKUP(BB_Jan1[[#This Row],[Emols.]],Meta!$AK$3:$AN$256,2,FALSE),""),"#.##0,00"),"")</f>
        <v/>
      </c>
      <c r="BC3" s="484"/>
      <c r="BD3" s="41"/>
      <c r="BE3" s="325"/>
      <c r="BF3" s="326"/>
      <c r="BG3" s="89"/>
      <c r="BH3" s="86"/>
      <c r="BI3" s="90" t="str">
        <f>IFERROR(VLOOKUP(CC_Jan1[[#This Row],[Emols.]],Meta!$AK$3:$AN$256,3,FALSE),"")</f>
        <v/>
      </c>
      <c r="BJ3" s="325"/>
      <c r="BK3" s="324"/>
      <c r="BL3" s="494" t="str">
        <f>IF(CC_Jan1[[#This Row],[Total Nota]]="",TEXT(IFERROR(VLOOKUP(CC_Jan1[[#This Row],[Emols.]],Meta!$AK$3:$AN$256,2,FALSE)+CC_Jan1[[#This Row],[ITBI/ITCMD]],""),"#.##0,00"),"")</f>
        <v/>
      </c>
      <c r="BM3" s="482">
        <f>CC_Jan1[[#This Row],[Emols.]]-CC_Jan1[[#This Row],[Comissão]]</f>
        <v>0</v>
      </c>
      <c r="BN3" s="83">
        <f>VLOOKUP($BK$29,Meta!$Q$3:$R$16,2,FALSE)*BJ3</f>
        <v>0</v>
      </c>
      <c r="BO3" s="83">
        <f>CC_Jan1[[#This Row],[Total Nota]]-CC_Jan1[[#This Row],[Comissão]]</f>
        <v>0</v>
      </c>
      <c r="BP3" s="47"/>
      <c r="BQ3" s="324"/>
      <c r="BR3" s="494" t="str">
        <f>IF(AND(CC_Jan1[[#This Row],[Total Nota]]&lt;&gt;"",CC_Jan1[[#This Row],[ITBI/ITCMD]]="",CC_Jan1[[#This Row],[Total Nota]]-IFERROR(VLOOKUP(CC_Jan1[[#This Row],[Emols.]],Meta!$AK$3:$AN$256,2,FALSE),0)&lt;&gt;0),TEXT(IFERROR(CC_Jan1[[#This Row],[Total Nota]]-VLOOKUP(CC_Jan1[[#This Row],[Emols.]],Meta!$AK$3:$AN$256,2,FALSE),""),"#.##0,00"),"")</f>
        <v/>
      </c>
      <c r="BS3" s="484"/>
      <c r="BT3" s="47"/>
      <c r="BU3" s="325"/>
      <c r="BV3" s="326"/>
      <c r="BW3" s="91"/>
      <c r="BX3" s="86"/>
      <c r="BY3" s="92" t="str">
        <f>IFERROR(VLOOKUP(DD_Jan1[[#This Row],[Emols.]],Meta!$AK$3:$AN$256,3,FALSE),"")</f>
        <v/>
      </c>
      <c r="BZ3" s="325"/>
      <c r="CA3" s="324"/>
      <c r="CB3" s="494" t="str">
        <f>IF(DD_Jan1[[#This Row],[Total Nota]]="",TEXT(IFERROR(VLOOKUP(DD_Jan1[[#This Row],[Emols.]],Meta!$AK$3:$AN$256,2,FALSE)+DD_Jan1[[#This Row],[ITBI/ITCMD]],""),"#.##0,00"),"")</f>
        <v/>
      </c>
      <c r="CC3" s="482">
        <f>DD_Jan1[[#This Row],[Emols.]]-DD_Jan1[[#This Row],[Comissão]]</f>
        <v>0</v>
      </c>
      <c r="CD3" s="83">
        <f>VLOOKUP($CA$29,Meta!$Q$3:$R$16,2,FALSE)*BZ3</f>
        <v>0</v>
      </c>
      <c r="CE3" s="83">
        <f>DD_Jan1[[#This Row],[Total Nota]]-DD_Jan1[[#This Row],[Comissão]]</f>
        <v>0</v>
      </c>
      <c r="CF3" s="93"/>
      <c r="CG3" s="324"/>
      <c r="CH3" s="494" t="str">
        <f>IF(AND(DD_Jan1[[#This Row],[Total Nota]]&lt;&gt;"",DD_Jan1[[#This Row],[ITBI/ITCMD]]="",DD_Jan1[[#This Row],[Total Nota]]-IFERROR(VLOOKUP(DD_Jan1[[#This Row],[Emols.]],Meta!$AK$3:$AN$256,2,FALSE),0)&lt;&gt;0),TEXT(IFERROR(DD_Jan1[[#This Row],[Total Nota]]-VLOOKUP(DD_Jan1[[#This Row],[Emols.]],Meta!$AK$3:$AN$256,2,FALSE),""),"#.##0,00"),"")</f>
        <v/>
      </c>
      <c r="CI3" s="484"/>
      <c r="CJ3" s="93"/>
      <c r="CK3" s="325"/>
      <c r="CL3" s="326"/>
      <c r="CM3" s="94"/>
      <c r="CN3" s="86"/>
      <c r="CO3" s="95" t="str">
        <f>IFERROR(VLOOKUP(EE_Jan1[[#This Row],[Emols.]],Meta!$AK$3:$AN$256,3,FALSE),"")</f>
        <v/>
      </c>
      <c r="CP3" s="325"/>
      <c r="CQ3" s="324"/>
      <c r="CR3" s="494" t="str">
        <f>IF(EE_Jan1[[#This Row],[Total Nota]]="",TEXT(IFERROR(VLOOKUP(EE_Jan1[[#This Row],[Emols.]],Meta!$AK$3:$AN$256,2,FALSE)+EE_Jan1[[#This Row],[ITBI/ITCMD]],""),"#.##0,00"),"")</f>
        <v/>
      </c>
      <c r="CS3" s="482">
        <f>EE_Jan1[[#This Row],[Emols.]]-EE_Jan1[[#This Row],[Comissão]]</f>
        <v>0</v>
      </c>
      <c r="CT3" s="83">
        <f>VLOOKUP($CQ$29,Meta!$Q$3:$R$16,2,FALSE)*CP3</f>
        <v>0</v>
      </c>
      <c r="CU3" s="83">
        <f>EE_Jan1[[#This Row],[Total Nota]]-EE_Jan1[[#This Row],[Comissão]]</f>
        <v>0</v>
      </c>
      <c r="CV3" s="96"/>
      <c r="CW3" s="324"/>
      <c r="CX3" s="494" t="str">
        <f>IF(AND(EE_Jan1[[#This Row],[Total Nota]]&lt;&gt;"",EE_Jan1[[#This Row],[ITBI/ITCMD]]="",EE_Jan1[[#This Row],[Total Nota]]-IFERROR(VLOOKUP(EE_Jan1[[#This Row],[Emols.]],Meta!$AK$3:$AN$256,2,FALSE),0)&lt;&gt;0),TEXT(IFERROR(EE_Jan1[[#This Row],[Total Nota]]-VLOOKUP(EE_Jan1[[#This Row],[Emols.]],Meta!$AK$3:$AN$256,2,FALSE),""),"#.##0,00"),"")</f>
        <v/>
      </c>
      <c r="CY3" s="484"/>
      <c r="CZ3" s="96"/>
      <c r="DA3" s="325"/>
      <c r="DB3" s="326"/>
      <c r="DC3" s="97"/>
      <c r="DD3" s="86"/>
      <c r="DE3" s="87" t="str">
        <f>IFERROR(VLOOKUP(FF_Jan1[[#This Row],[Emols.]],Meta!$AK$3:$AN$256,3,FALSE),"")</f>
        <v/>
      </c>
      <c r="DF3" s="325"/>
      <c r="DG3" s="324"/>
      <c r="DH3" s="494" t="str">
        <f>IF(FF_Jan1[[#This Row],[Total Nota]]="",TEXT(IFERROR(VLOOKUP(FF_Jan1[[#This Row],[Emols.]],Meta!$AK$3:$AN$256,2,FALSE)+FF_Jan1[[#This Row],[ITBI/ITCMD]],""),"#.##0,00"),"")</f>
        <v/>
      </c>
      <c r="DI3" s="482">
        <f>FF_Jan1[[#This Row],[Emols.]]-FF_Jan1[[#This Row],[Comissão]]</f>
        <v>0</v>
      </c>
      <c r="DJ3" s="83">
        <f>VLOOKUP($DG$29,Meta!$Q$3:$R$16,2,FALSE)*DF3</f>
        <v>0</v>
      </c>
      <c r="DK3" s="83">
        <f>FF_Jan1[[#This Row],[Total Nota]]-FF_Jan1[[#This Row],[Comissão]]</f>
        <v>0</v>
      </c>
      <c r="DL3" s="41"/>
      <c r="DM3" s="324"/>
      <c r="DN3" s="494" t="str">
        <f>IF(AND(FF_Jan1[[#This Row],[Total Nota]]&lt;&gt;"",FF_Jan1[[#This Row],[ITBI/ITCMD]]="",FF_Jan1[[#This Row],[Total Nota]]-IFERROR(VLOOKUP(FF_Jan1[[#This Row],[Emols.]],Meta!$AK$3:$AN$256,2,FALSE),0)&lt;&gt;0),TEXT(IFERROR(FF_Jan1[[#This Row],[Total Nota]]-VLOOKUP(FF_Jan1[[#This Row],[Emols.]],Meta!$AK$3:$AN$256,2,FALSE),""),"#.##0,00"),"")</f>
        <v/>
      </c>
      <c r="DO3" s="484"/>
      <c r="DP3" s="41"/>
      <c r="DQ3" s="325"/>
      <c r="DR3" s="326"/>
      <c r="DS3" s="98"/>
      <c r="DT3" s="73"/>
      <c r="DU3" s="99" t="str">
        <f>IFERROR(VLOOKUP(GG_Jan1[[#This Row],[Emols.]],Meta!$AK$3:$AN$256,3,FALSE),"")</f>
        <v/>
      </c>
      <c r="DV3" s="330"/>
      <c r="DW3" s="332"/>
      <c r="DX3" s="494" t="str">
        <f>IF(GG_Jan1[[#This Row],[Total Nota]]="",TEXT(IFERROR(VLOOKUP(GG_Jan1[[#This Row],[Emols.]],Meta!$AK$3:$AN$256,2,FALSE)+GG_Jan1[[#This Row],[ITBI/ITCMD]],""),"#.##0,00"),"")</f>
        <v/>
      </c>
      <c r="DY3" s="485">
        <f>GG_Jan1[[#This Row],[Emols.]]-GG_Jan1[[#This Row],[Comissão]]</f>
        <v>0</v>
      </c>
      <c r="DZ3" s="101">
        <f>VLOOKUP($DW$29,Meta!$Q$3:$R$16,2,FALSE)*DV3</f>
        <v>0</v>
      </c>
      <c r="EA3" s="101">
        <f>GG_Jan1[[#This Row],[Total Nota]]-GG_Jan1[[#This Row],[Comissão]]</f>
        <v>0</v>
      </c>
      <c r="EB3" s="102"/>
      <c r="EC3" s="332"/>
      <c r="ED3" s="494" t="str">
        <f>IF(AND(GG_Jan1[[#This Row],[Total Nota]]&lt;&gt;"",GG_Jan1[[#This Row],[ITBI/ITCMD]]="",GG_Jan1[[#This Row],[Total Nota]]-IFERROR(VLOOKUP(GG_Jan1[[#This Row],[Emols.]],Meta!$AK$3:$AN$256,2,FALSE),0)&lt;&gt;0),TEXT(IFERROR(GG_Jan1[[#This Row],[Total Nota]]-VLOOKUP(GG_Jan1[[#This Row],[Emols.]],Meta!$AK$3:$AN$256,2,FALSE),""),"#.##0,00"),"")</f>
        <v/>
      </c>
      <c r="EE3" s="487"/>
      <c r="EF3" s="102"/>
      <c r="EG3" s="330"/>
      <c r="EH3" s="326"/>
      <c r="EI3" s="104"/>
      <c r="EJ3" s="73"/>
      <c r="EK3" s="99" t="str">
        <f>IFERROR(VLOOKUP(HH_Jan1[[#This Row],[Emols.]],Meta!$AK$3:$AN$256,3,FALSE),"")</f>
        <v/>
      </c>
      <c r="EL3" s="330"/>
      <c r="EM3" s="332"/>
      <c r="EN3" s="494" t="str">
        <f>IF(HH_Jan1[[#This Row],[Total Nota]]="",TEXT(IFERROR(VLOOKUP(HH_Jan1[[#This Row],[Emols.]],Meta!$AK$3:$AN$256,2,FALSE)+HH_Jan1[[#This Row],[ITBI/ITCMD]],""),"#.##0,00"),"")</f>
        <v/>
      </c>
      <c r="EO3" s="485">
        <f>HH_Jan1[[#This Row],[Emols.]]-HH_Jan1[[#This Row],[Comissão]]</f>
        <v>0</v>
      </c>
      <c r="EP3" s="101">
        <f>VLOOKUP($EM$29,Meta!$Q$3:$R$16,2,FALSE)*EL3</f>
        <v>0</v>
      </c>
      <c r="EQ3" s="101">
        <f>HH_Jan1[[#This Row],[Total Nota]]-HH_Jan1[[#This Row],[Comissão]]</f>
        <v>0</v>
      </c>
      <c r="ER3" s="102"/>
      <c r="ES3" s="332"/>
      <c r="ET3" s="494" t="str">
        <f>IF(AND(HH_Jan1[[#This Row],[Total Nota]]&lt;&gt;"",HH_Jan1[[#This Row],[ITBI/ITCMD]]="",HH_Jan1[[#This Row],[Total Nota]]-IFERROR(VLOOKUP(HH_Jan1[[#This Row],[Emols.]],Meta!$AK$3:$AN$256,2,FALSE),0)&lt;&gt;0),TEXT(IFERROR(HH_Jan1[[#This Row],[Total Nota]]-VLOOKUP(HH_Jan1[[#This Row],[Emols.]],Meta!$AK$3:$AN$256,2,FALSE),""),"#.##0,00"),"")</f>
        <v/>
      </c>
      <c r="EU3" s="487"/>
      <c r="EV3" s="102"/>
      <c r="EW3" s="330"/>
      <c r="EX3" s="326"/>
      <c r="EY3" s="104"/>
      <c r="EZ3" s="73"/>
      <c r="FA3" s="99" t="str">
        <f>IFERROR(VLOOKUP(II_Jan1[[#This Row],[Emols.]],Meta!$AK$3:$AN$256,3,FALSE),"")</f>
        <v/>
      </c>
      <c r="FB3" s="330"/>
      <c r="FC3" s="332"/>
      <c r="FD3" s="494" t="str">
        <f>IF(II_Jan1[[#This Row],[Total Nota]]="",TEXT(IFERROR(VLOOKUP(II_Jan1[[#This Row],[Emols.]],Meta!$AK$3:$AN$256,2,FALSE)+II_Jan1[[#This Row],[ITBI/ITCMD]],""),"#.##0,00"),"")</f>
        <v/>
      </c>
      <c r="FE3" s="485">
        <f>II_Jan1[[#This Row],[Emols.]]-II_Jan1[[#This Row],[Comissão]]</f>
        <v>0</v>
      </c>
      <c r="FF3" s="101">
        <f>VLOOKUP($FC$29,Meta!$Q$3:$R$16,2,FALSE)*FB3</f>
        <v>0</v>
      </c>
      <c r="FG3" s="101">
        <f>II_Jan1[[#This Row],[Total Nota]]-II_Jan1[[#This Row],[Comissão]]</f>
        <v>0</v>
      </c>
      <c r="FH3" s="102"/>
      <c r="FI3" s="332"/>
      <c r="FJ3" s="494" t="str">
        <f>IF(AND(II_Jan1[[#This Row],[Total Nota]]&lt;&gt;"",II_Jan1[[#This Row],[ITBI/ITCMD]]="",II_Jan1[[#This Row],[Total Nota]]-IFERROR(VLOOKUP(II_Jan1[[#This Row],[Emols.]],Meta!$AK$3:$AN$256,2,FALSE),0)&lt;&gt;0),TEXT(IFERROR(II_Jan1[[#This Row],[Total Nota]]-VLOOKUP(II_Jan1[[#This Row],[Emols.]],Meta!$AK$3:$AN$256,2,FALSE),""),"#.##0,00"),"")</f>
        <v/>
      </c>
      <c r="FK3" s="487"/>
      <c r="FL3" s="102"/>
      <c r="FM3" s="330"/>
      <c r="FN3" s="326"/>
      <c r="FO3" s="104"/>
      <c r="FP3" s="73"/>
      <c r="FQ3" s="99" t="str">
        <f>IFERROR(VLOOKUP(JJ_Jan1[[#This Row],[Emols.]],Meta!$AK$3:$AN$256,3,FALSE),"")</f>
        <v/>
      </c>
      <c r="FR3" s="330"/>
      <c r="FS3" s="332"/>
      <c r="FT3" s="494" t="str">
        <f>IF(JJ_Jan1[[#This Row],[Total Nota]]="",TEXT(IFERROR(VLOOKUP(JJ_Jan1[[#This Row],[Emols.]],Meta!$AK$3:$AN$256,2,FALSE)+JJ_Jan1[[#This Row],[ITBI/ITCMD]],""),"#.##0,00"),"")</f>
        <v/>
      </c>
      <c r="FU3" s="485">
        <f>JJ_Jan1[[#This Row],[Emols.]]-JJ_Jan1[[#This Row],[Comissão]]</f>
        <v>0</v>
      </c>
      <c r="FV3" s="101">
        <f>VLOOKUP($FS$29,Meta!$Q$3:$R$16,2,FALSE)*FR3</f>
        <v>0</v>
      </c>
      <c r="FW3" s="101">
        <f>JJ_Jan1[[#This Row],[Total Nota]]-JJ_Jan1[[#This Row],[Comissão]]</f>
        <v>0</v>
      </c>
      <c r="FX3" s="102"/>
      <c r="FY3" s="332"/>
      <c r="FZ3" s="494" t="str">
        <f>IF(AND(JJ_Jan1[[#This Row],[Total Nota]]&lt;&gt;"",JJ_Jan1[[#This Row],[ITBI/ITCMD]]="",JJ_Jan1[[#This Row],[Total Nota]]-IFERROR(VLOOKUP(JJ_Jan1[[#This Row],[Emols.]],Meta!$AK$3:$AN$256,2,FALSE),0)&lt;&gt;0),TEXT(IFERROR(JJ_Jan1[[#This Row],[Total Nota]]-VLOOKUP(JJ_Jan1[[#This Row],[Emols.]],Meta!$AK$3:$AN$256,2,FALSE),""),"#.##0,00"),"")</f>
        <v/>
      </c>
      <c r="GA3" s="487"/>
      <c r="GB3" s="102"/>
      <c r="GC3" s="330"/>
      <c r="GD3" s="326"/>
      <c r="GE3" s="104"/>
      <c r="GF3" s="73"/>
      <c r="GG3" s="99" t="str">
        <f>IFERROR(VLOOKUP(KK_Jan1[[#This Row],[Emols.]],Meta!$AK$3:$AN$256,3,FALSE),"")</f>
        <v/>
      </c>
      <c r="GH3" s="330"/>
      <c r="GI3" s="332"/>
      <c r="GJ3" s="494" t="str">
        <f>IF(KK_Jan1[[#This Row],[Total Nota]]="",TEXT(IFERROR(VLOOKUP(KK_Jan1[[#This Row],[Emols.]],Meta!$AK$3:$AN$256,2,FALSE)+KK_Jan1[[#This Row],[ITBI/ITCMD]],""),"#.##0,00"),"")</f>
        <v/>
      </c>
      <c r="GK3" s="485">
        <f>KK_Jan1[[#This Row],[Emols.]]-KK_Jan1[[#This Row],[Comissão]]</f>
        <v>0</v>
      </c>
      <c r="GL3" s="101">
        <f>VLOOKUP($GI$29,Meta!$Q$3:$R$16,2,FALSE)*GH3</f>
        <v>0</v>
      </c>
      <c r="GM3" s="101">
        <f>KK_Jan1[[#This Row],[Total Nota]]-KK_Jan1[[#This Row],[Comissão]]</f>
        <v>0</v>
      </c>
      <c r="GN3" s="102"/>
      <c r="GO3" s="332"/>
      <c r="GP3" s="494" t="str">
        <f>IF(AND(KK_Jan1[[#This Row],[Total Nota]]&lt;&gt;"",KK_Jan1[[#This Row],[ITBI/ITCMD]]="",KK_Jan1[[#This Row],[Total Nota]]-IFERROR(VLOOKUP(KK_Jan1[[#This Row],[Emols.]],Meta!$AK$3:$AN$256,2,FALSE),0)&lt;&gt;0),TEXT(IFERROR(KK_Jan1[[#This Row],[Total Nota]]-VLOOKUP(KK_Jan1[[#This Row],[Emols.]],Meta!$AK$3:$AN$256,2,FALSE),""),"#.##0,00"),"")</f>
        <v/>
      </c>
      <c r="GQ3" s="487"/>
      <c r="GR3" s="102"/>
      <c r="GS3" s="330"/>
      <c r="GT3" s="326"/>
      <c r="GU3" s="104"/>
      <c r="GV3" s="73"/>
      <c r="GW3" s="99" t="str">
        <f>IFERROR(VLOOKUP(LL_Jan1[[#This Row],[Emols.]],Meta!$AK$3:$AN$256,3,FALSE),"")</f>
        <v/>
      </c>
      <c r="GX3" s="330"/>
      <c r="GY3" s="332"/>
      <c r="GZ3" s="494" t="str">
        <f>IF(LL_Jan1[[#This Row],[Total Nota]]="",TEXT(IFERROR(VLOOKUP(LL_Jan1[[#This Row],[Emols.]],Meta!$AK$3:$AN$256,2,FALSE)+LL_Jan1[[#This Row],[ITBI/ITCMD]],""),"#.##0,00"),"")</f>
        <v/>
      </c>
      <c r="HA3" s="485">
        <f>LL_Jan1[[#This Row],[Emols.]]-LL_Jan1[[#This Row],[Comissão]]</f>
        <v>0</v>
      </c>
      <c r="HB3" s="101">
        <f>VLOOKUP($GY$29,Meta!$Q$3:$R$16,2,FALSE)*GX3</f>
        <v>0</v>
      </c>
      <c r="HC3" s="101">
        <f>LL_Jan1[[#This Row],[Total Nota]]-LL_Jan1[[#This Row],[Comissão]]</f>
        <v>0</v>
      </c>
      <c r="HD3" s="102"/>
      <c r="HE3" s="332"/>
      <c r="HF3" s="494" t="str">
        <f>IF(AND(LL_Jan1[[#This Row],[Total Nota]]&lt;&gt;"",LL_Jan1[[#This Row],[ITBI/ITCMD]]="",LL_Jan1[[#This Row],[Total Nota]]-IFERROR(VLOOKUP(LL_Jan1[[#This Row],[Emols.]],Meta!$AK$3:$AN$256,2,FALSE),0)&lt;&gt;0),TEXT(IFERROR(LL_Jan1[[#This Row],[Total Nota]]-VLOOKUP(LL_Jan1[[#This Row],[Emols.]],Meta!$AK$3:$AN$256,2,FALSE),""),"#.##0,00"),"")</f>
        <v/>
      </c>
      <c r="HG3" s="487"/>
      <c r="HH3" s="102"/>
      <c r="HI3" s="330"/>
      <c r="HJ3" s="326"/>
      <c r="HK3" s="104"/>
      <c r="HL3" s="105"/>
    </row>
    <row r="4" spans="1:220" ht="14.45" customHeight="1" x14ac:dyDescent="0.25">
      <c r="A4" s="580"/>
      <c r="B4" s="539" t="str">
        <f>IF(BM29=Meta!$D$3,Meta!$Q$5,"")</f>
        <v>Carlos</v>
      </c>
      <c r="C4" s="575" t="s">
        <v>252</v>
      </c>
      <c r="D4" s="570">
        <f>IF(AND(C4="S",B4&lt;&gt;""),CC_Jan1[[#Totals],[Total Nota]],"")</f>
        <v>0</v>
      </c>
      <c r="E4" s="571" t="s">
        <v>250</v>
      </c>
      <c r="F4" s="570">
        <f>IF(AND(C4="S",B4&lt;&gt;""),CC_Jan1[[#Totals],[Comissão]],"")</f>
        <v>0</v>
      </c>
      <c r="G4" s="571" t="s">
        <v>244</v>
      </c>
      <c r="H4" s="570">
        <f t="shared" si="0"/>
        <v>0</v>
      </c>
      <c r="I4" s="572" t="s">
        <v>248</v>
      </c>
      <c r="J4" s="554" t="str">
        <f t="shared" si="1"/>
        <v/>
      </c>
      <c r="K4" s="587" t="str">
        <f>IF(J4&lt;&gt;"",Meta!$X$3,IF(Q19&lt;0,Q19,""))</f>
        <v/>
      </c>
      <c r="L4" s="588"/>
      <c r="M4" s="499" t="str">
        <f>IF(K4&lt;&gt;"",IF(K4&lt;0,Meta!$X$4,""),"")</f>
        <v/>
      </c>
      <c r="N4" s="544"/>
      <c r="O4" s="535"/>
      <c r="P4" s="113" t="str">
        <f>IF(BM29=Meta!$D$3,Meta!$Q$5,"")</f>
        <v>Carlos</v>
      </c>
      <c r="Q4" s="114">
        <f>IF(BM29=Meta!$D$3,SUMIF(CC_Jan1[Tipo],Q$1,CC_Jan1[Entregue]),"")</f>
        <v>0</v>
      </c>
      <c r="R4" s="115">
        <f>IF(BM29=Meta!$D$3,SUMIF(CC_Jan1[Tipo],R$1,CC_Jan1[Entregue]),"")</f>
        <v>0</v>
      </c>
      <c r="S4" s="115">
        <f>IF(BM29=Meta!$D$3,SUMIF(CC_Jan1[Tipo],S$1,CC_Jan1[Entregue]),"")</f>
        <v>0</v>
      </c>
      <c r="T4" s="115">
        <f>IF(BM29=Meta!$D$3,SUMIF(CC_Jan1[Tipo],T$1,CC_Jan1[Entregue]),"")</f>
        <v>0</v>
      </c>
      <c r="U4" s="115">
        <f>IF(BM29=Meta!$D$3,SUMIF(CC_Jan1[Tipo],U$1,CC_Jan1[Entregue]),"")</f>
        <v>0</v>
      </c>
      <c r="V4" s="115">
        <f>IF(BM29=Meta!$D$3,SUMIF(CC_Jan1[Tipo],V$1,CC_Jan1[Entregue]),"")</f>
        <v>0</v>
      </c>
      <c r="W4" s="115">
        <f>IF(BM29=Meta!$D$3,SUMIF(CC_Jan1[Tipo],W$1,CC_Jan1[Entregue]),"")</f>
        <v>0</v>
      </c>
      <c r="X4" s="116">
        <f>IF(BM29=Meta!$D$3,SUMIF(CC_Jan1[Tipo],X$1,CC_Jan1[Entregue]),"")</f>
        <v>0</v>
      </c>
      <c r="Y4" s="117">
        <f>IF(BM29=Meta!$D$3,SUMIF(CC_Jan1[Tipo],"",CC_Jan1[Entregue]),"")</f>
        <v>0</v>
      </c>
      <c r="Z4" s="118">
        <f>IF(BM29=Meta!$D$3,ROUND(SUM(Q4:Y4),2),"")</f>
        <v>0</v>
      </c>
      <c r="AA4" s="80"/>
      <c r="AB4" s="73"/>
      <c r="AC4" s="81" t="str">
        <f>IFERROR(VLOOKUP(AA_Jan1[[#This Row],[Emols.]],Meta!$AK$3:$AN$256,3,FALSE),"")</f>
        <v/>
      </c>
      <c r="AD4" s="325"/>
      <c r="AE4" s="324"/>
      <c r="AF4" s="493" t="str">
        <f>IF(AA_Jan1[[#This Row],[Total Nota]]="",TEXT(IFERROR(VLOOKUP(AA_Jan1[[#This Row],[Emols.]],Meta!$AK$3:$AN$256,2,FALSE)+AA_Jan1[[#This Row],[ITBI/ITCMD]],""),"#.##0,00"),"")</f>
        <v/>
      </c>
      <c r="AG4" s="482">
        <f>AA_Jan1[[#This Row],[Emols.]]-AA_Jan1[[#This Row],[Comissão]]</f>
        <v>0</v>
      </c>
      <c r="AH4" s="83">
        <f>VLOOKUP($AE$29,Meta!$Q$3:$R$16,2,FALSE)*AD4</f>
        <v>0</v>
      </c>
      <c r="AI4" s="83">
        <f>AA_Jan1[[#This Row],[Total Nota]]-AA_Jan1[[#This Row],[Comissão]]</f>
        <v>0</v>
      </c>
      <c r="AJ4" s="40"/>
      <c r="AK4" s="324"/>
      <c r="AL4" s="493" t="str">
        <f>IF(AND(AA_Jan1[[#This Row],[Total Nota]]&lt;&gt;"",AA_Jan1[[#This Row],[ITBI/ITCMD]]="",AA_Jan1[[#This Row],[Total Nota]]-IFERROR(VLOOKUP(AA_Jan1[[#This Row],[Emols.]],Meta!$AK$3:$AN$256,2,FALSE),0)&lt;&gt;0),TEXT(IFERROR(AA_Jan1[[#This Row],[Total Nota]]-VLOOKUP(AA_Jan1[[#This Row],[Emols.]],Meta!$AK$3:$AN$256,2,FALSE),""),"#.##0,00"),"")</f>
        <v/>
      </c>
      <c r="AM4" s="484"/>
      <c r="AN4" s="40"/>
      <c r="AO4" s="325"/>
      <c r="AP4" s="326"/>
      <c r="AQ4" s="85"/>
      <c r="AR4" s="86"/>
      <c r="AS4" s="87" t="str">
        <f>IFERROR(VLOOKUP(BB_Jan1[[#This Row],[Emols.]],Meta!$AK$3:$AN$256,3,FALSE),"")</f>
        <v/>
      </c>
      <c r="AT4" s="325"/>
      <c r="AU4" s="489"/>
      <c r="AV4" s="494" t="str">
        <f>IF(BB_Jan1[[#This Row],[Total Nota]]="",TEXT(IFERROR(VLOOKUP(BB_Jan1[[#This Row],[Emols.]],Meta!$AK$3:$AN$256,2,FALSE)+BB_Jan1[[#This Row],[ITBI/ITCMD]],""),"#.##0,00"),"")</f>
        <v/>
      </c>
      <c r="AW4" s="482">
        <f>BB_Jan1[[#This Row],[Emols.]]-BB_Jan1[[#This Row],[Comissão]]</f>
        <v>0</v>
      </c>
      <c r="AX4" s="83">
        <f>VLOOKUP($AU$29,Meta!$Q$3:$R$16,2,FALSE)*AT4</f>
        <v>0</v>
      </c>
      <c r="AY4" s="83">
        <f>BB_Jan1[[#This Row],[Total Nota]]-BB_Jan1[[#This Row],[Comissão]]</f>
        <v>0</v>
      </c>
      <c r="AZ4" s="41"/>
      <c r="BA4" s="324"/>
      <c r="BB4" s="493" t="str">
        <f>IF(AND(BB_Jan1[[#This Row],[Total Nota]]&lt;&gt;"",BB_Jan1[[#This Row],[ITBI/ITCMD]]="",BB_Jan1[[#This Row],[Total Nota]]-IFERROR(VLOOKUP(BB_Jan1[[#This Row],[Emols.]],Meta!$AK$3:$AN$256,2,FALSE),0)&lt;&gt;0),TEXT(IFERROR(BB_Jan1[[#This Row],[Total Nota]]-VLOOKUP(BB_Jan1[[#This Row],[Emols.]],Meta!$AK$3:$AN$256,2,FALSE),""),"#.##0,00"),"")</f>
        <v/>
      </c>
      <c r="BC4" s="484"/>
      <c r="BD4" s="41"/>
      <c r="BE4" s="325"/>
      <c r="BF4" s="326"/>
      <c r="BG4" s="89"/>
      <c r="BH4" s="86"/>
      <c r="BI4" s="90" t="str">
        <f>IFERROR(VLOOKUP(CC_Jan1[[#This Row],[Emols.]],Meta!$AK$3:$AN$256,3,FALSE),"")</f>
        <v/>
      </c>
      <c r="BJ4" s="325"/>
      <c r="BK4" s="324"/>
      <c r="BL4" s="493" t="str">
        <f>IF(CC_Jan1[[#This Row],[Total Nota]]="",TEXT(IFERROR(VLOOKUP(CC_Jan1[[#This Row],[Emols.]],Meta!$AK$3:$AN$256,2,FALSE)+CC_Jan1[[#This Row],[ITBI/ITCMD]],""),"#.##0,00"),"")</f>
        <v/>
      </c>
      <c r="BM4" s="482">
        <f>CC_Jan1[[#This Row],[Emols.]]-CC_Jan1[[#This Row],[Comissão]]</f>
        <v>0</v>
      </c>
      <c r="BN4" s="83">
        <f>VLOOKUP($BK$29,Meta!$Q$3:$R$16,2,FALSE)*BJ4</f>
        <v>0</v>
      </c>
      <c r="BO4" s="83">
        <f>CC_Jan1[[#This Row],[Total Nota]]-CC_Jan1[[#This Row],[Comissão]]</f>
        <v>0</v>
      </c>
      <c r="BP4" s="47"/>
      <c r="BQ4" s="489"/>
      <c r="BR4" s="494" t="str">
        <f>IF(AND(CC_Jan1[[#This Row],[Total Nota]]&lt;&gt;"",CC_Jan1[[#This Row],[ITBI/ITCMD]]="",CC_Jan1[[#This Row],[Total Nota]]-IFERROR(VLOOKUP(CC_Jan1[[#This Row],[Emols.]],Meta!$AK$3:$AN$256,2,FALSE),0)&lt;&gt;0),TEXT(IFERROR(CC_Jan1[[#This Row],[Total Nota]]-VLOOKUP(CC_Jan1[[#This Row],[Emols.]],Meta!$AK$3:$AN$256,2,FALSE),""),"#.##0,00"),"")</f>
        <v/>
      </c>
      <c r="BS4" s="484"/>
      <c r="BT4" s="47"/>
      <c r="BU4" s="325"/>
      <c r="BV4" s="326"/>
      <c r="BW4" s="91"/>
      <c r="BX4" s="86"/>
      <c r="BY4" s="92" t="str">
        <f>IFERROR(VLOOKUP(DD_Jan1[[#This Row],[Emols.]],Meta!$AK$3:$AN$256,3,FALSE),"")</f>
        <v/>
      </c>
      <c r="BZ4" s="325"/>
      <c r="CA4" s="324"/>
      <c r="CB4" s="493" t="str">
        <f>IF(DD_Jan1[[#This Row],[Total Nota]]="",TEXT(IFERROR(VLOOKUP(DD_Jan1[[#This Row],[Emols.]],Meta!$AK$3:$AN$256,2,FALSE)+DD_Jan1[[#This Row],[ITBI/ITCMD]],""),"#.##0,00"),"")</f>
        <v/>
      </c>
      <c r="CC4" s="482">
        <f>DD_Jan1[[#This Row],[Emols.]]-DD_Jan1[[#This Row],[Comissão]]</f>
        <v>0</v>
      </c>
      <c r="CD4" s="83">
        <f>VLOOKUP($CA$29,Meta!$Q$3:$R$16,2,FALSE)*BZ4</f>
        <v>0</v>
      </c>
      <c r="CE4" s="83">
        <f>DD_Jan1[[#This Row],[Total Nota]]-DD_Jan1[[#This Row],[Comissão]]</f>
        <v>0</v>
      </c>
      <c r="CF4" s="93"/>
      <c r="CG4" s="489"/>
      <c r="CH4" s="494" t="str">
        <f>IF(AND(DD_Jan1[[#This Row],[Total Nota]]&lt;&gt;"",DD_Jan1[[#This Row],[ITBI/ITCMD]]="",DD_Jan1[[#This Row],[Total Nota]]-IFERROR(VLOOKUP(DD_Jan1[[#This Row],[Emols.]],Meta!$AK$3:$AN$256,2,FALSE),0)&lt;&gt;0),TEXT(IFERROR(DD_Jan1[[#This Row],[Total Nota]]-VLOOKUP(DD_Jan1[[#This Row],[Emols.]],Meta!$AK$3:$AN$256,2,FALSE),""),"#.##0,00"),"")</f>
        <v/>
      </c>
      <c r="CI4" s="484"/>
      <c r="CJ4" s="93"/>
      <c r="CK4" s="325"/>
      <c r="CL4" s="326"/>
      <c r="CM4" s="94"/>
      <c r="CN4" s="86"/>
      <c r="CO4" s="95" t="str">
        <f>IFERROR(VLOOKUP(EE_Jan1[[#This Row],[Emols.]],Meta!$AK$3:$AN$256,3,FALSE),"")</f>
        <v/>
      </c>
      <c r="CP4" s="325"/>
      <c r="CQ4" s="489"/>
      <c r="CR4" s="494" t="str">
        <f>IF(EE_Jan1[[#This Row],[Total Nota]]="",TEXT(IFERROR(VLOOKUP(EE_Jan1[[#This Row],[Emols.]],Meta!$AK$3:$AN$256,2,FALSE)+EE_Jan1[[#This Row],[ITBI/ITCMD]],""),"#.##0,00"),"")</f>
        <v/>
      </c>
      <c r="CS4" s="482">
        <f>EE_Jan1[[#This Row],[Emols.]]-EE_Jan1[[#This Row],[Comissão]]</f>
        <v>0</v>
      </c>
      <c r="CT4" s="83">
        <f>VLOOKUP($CQ$29,Meta!$Q$3:$R$16,2,FALSE)*CP4</f>
        <v>0</v>
      </c>
      <c r="CU4" s="83">
        <f>EE_Jan1[[#This Row],[Total Nota]]-EE_Jan1[[#This Row],[Comissão]]</f>
        <v>0</v>
      </c>
      <c r="CV4" s="96"/>
      <c r="CW4" s="489"/>
      <c r="CX4" s="494" t="str">
        <f>IF(AND(EE_Jan1[[#This Row],[Total Nota]]&lt;&gt;"",EE_Jan1[[#This Row],[ITBI/ITCMD]]="",EE_Jan1[[#This Row],[Total Nota]]-IFERROR(VLOOKUP(EE_Jan1[[#This Row],[Emols.]],Meta!$AK$3:$AN$256,2,FALSE),0)&lt;&gt;0),TEXT(IFERROR(EE_Jan1[[#This Row],[Total Nota]]-VLOOKUP(EE_Jan1[[#This Row],[Emols.]],Meta!$AK$3:$AN$256,2,FALSE),""),"#.##0,00"),"")</f>
        <v/>
      </c>
      <c r="CY4" s="484"/>
      <c r="CZ4" s="96"/>
      <c r="DA4" s="325"/>
      <c r="DB4" s="326"/>
      <c r="DC4" s="97"/>
      <c r="DD4" s="86"/>
      <c r="DE4" s="87" t="str">
        <f>IFERROR(VLOOKUP(FF_Jan1[[#This Row],[Emols.]],Meta!$AK$3:$AN$256,3,FALSE),"")</f>
        <v/>
      </c>
      <c r="DF4" s="325"/>
      <c r="DG4" s="489"/>
      <c r="DH4" s="494" t="str">
        <f>IF(FF_Jan1[[#This Row],[Total Nota]]="",TEXT(IFERROR(VLOOKUP(FF_Jan1[[#This Row],[Emols.]],Meta!$AK$3:$AN$256,2,FALSE)+FF_Jan1[[#This Row],[ITBI/ITCMD]],""),"#.##0,00"),"")</f>
        <v/>
      </c>
      <c r="DI4" s="482">
        <f>FF_Jan1[[#This Row],[Emols.]]-FF_Jan1[[#This Row],[Comissão]]</f>
        <v>0</v>
      </c>
      <c r="DJ4" s="83">
        <f>VLOOKUP($DG$29,Meta!$Q$3:$R$16,2,FALSE)*DF4</f>
        <v>0</v>
      </c>
      <c r="DK4" s="83">
        <f>FF_Jan1[[#This Row],[Total Nota]]-FF_Jan1[[#This Row],[Comissão]]</f>
        <v>0</v>
      </c>
      <c r="DL4" s="41"/>
      <c r="DM4" s="324"/>
      <c r="DN4" s="493" t="str">
        <f>IF(AND(FF_Jan1[[#This Row],[Total Nota]]&lt;&gt;"",FF_Jan1[[#This Row],[ITBI/ITCMD]]="",FF_Jan1[[#This Row],[Total Nota]]-IFERROR(VLOOKUP(FF_Jan1[[#This Row],[Emols.]],Meta!$AK$3:$AN$256,2,FALSE),0)&lt;&gt;0),TEXT(IFERROR(FF_Jan1[[#This Row],[Total Nota]]-VLOOKUP(FF_Jan1[[#This Row],[Emols.]],Meta!$AK$3:$AN$256,2,FALSE),""),"#.##0,00"),"")</f>
        <v/>
      </c>
      <c r="DO4" s="484"/>
      <c r="DP4" s="41"/>
      <c r="DQ4" s="325"/>
      <c r="DR4" s="326"/>
      <c r="DS4" s="98"/>
      <c r="DT4" s="73"/>
      <c r="DU4" s="99" t="str">
        <f>IFERROR(VLOOKUP(GG_Jan1[[#This Row],[Emols.]],Meta!$AK$3:$AN$256,3,FALSE),"")</f>
        <v/>
      </c>
      <c r="DV4" s="330"/>
      <c r="DW4" s="332"/>
      <c r="DX4" s="493" t="str">
        <f>IF(GG_Jan1[[#This Row],[Total Nota]]="",TEXT(IFERROR(VLOOKUP(GG_Jan1[[#This Row],[Emols.]],Meta!$AK$3:$AN$256,2,FALSE)+GG_Jan1[[#This Row],[ITBI/ITCMD]],""),"#.##0,00"),"")</f>
        <v/>
      </c>
      <c r="DY4" s="485">
        <f>GG_Jan1[[#This Row],[Emols.]]-GG_Jan1[[#This Row],[Comissão]]</f>
        <v>0</v>
      </c>
      <c r="DZ4" s="101">
        <f>VLOOKUP($DW$29,Meta!$Q$3:$R$16,2,FALSE)*DV4</f>
        <v>0</v>
      </c>
      <c r="EA4" s="101">
        <f>GG_Jan1[[#This Row],[Total Nota]]-GG_Jan1[[#This Row],[Comissão]]</f>
        <v>0</v>
      </c>
      <c r="EB4" s="102"/>
      <c r="EC4" s="332"/>
      <c r="ED4" s="493" t="str">
        <f>IF(AND(GG_Jan1[[#This Row],[Total Nota]]&lt;&gt;"",GG_Jan1[[#This Row],[ITBI/ITCMD]]="",GG_Jan1[[#This Row],[Total Nota]]-IFERROR(VLOOKUP(GG_Jan1[[#This Row],[Emols.]],Meta!$AK$3:$AN$256,2,FALSE),0)&lt;&gt;0),TEXT(IFERROR(GG_Jan1[[#This Row],[Total Nota]]-VLOOKUP(GG_Jan1[[#This Row],[Emols.]],Meta!$AK$3:$AN$256,2,FALSE),""),"#.##0,00"),"")</f>
        <v/>
      </c>
      <c r="EE4" s="487"/>
      <c r="EF4" s="102"/>
      <c r="EG4" s="330"/>
      <c r="EH4" s="326"/>
      <c r="EI4" s="104"/>
      <c r="EJ4" s="73"/>
      <c r="EK4" s="99" t="str">
        <f>IFERROR(VLOOKUP(HH_Jan1[[#This Row],[Emols.]],Meta!$AK$3:$AN$256,3,FALSE),"")</f>
        <v/>
      </c>
      <c r="EL4" s="330"/>
      <c r="EM4" s="332"/>
      <c r="EN4" s="493" t="str">
        <f>IF(HH_Jan1[[#This Row],[Total Nota]]="",TEXT(IFERROR(VLOOKUP(HH_Jan1[[#This Row],[Emols.]],Meta!$AK$3:$AN$256,2,FALSE)+HH_Jan1[[#This Row],[ITBI/ITCMD]],""),"#.##0,00"),"")</f>
        <v/>
      </c>
      <c r="EO4" s="485">
        <f>HH_Jan1[[#This Row],[Emols.]]-HH_Jan1[[#This Row],[Comissão]]</f>
        <v>0</v>
      </c>
      <c r="EP4" s="101">
        <f>VLOOKUP($EM$29,Meta!$Q$3:$R$16,2,FALSE)*EL4</f>
        <v>0</v>
      </c>
      <c r="EQ4" s="101">
        <f>HH_Jan1[[#This Row],[Total Nota]]-HH_Jan1[[#This Row],[Comissão]]</f>
        <v>0</v>
      </c>
      <c r="ER4" s="102"/>
      <c r="ES4" s="492"/>
      <c r="ET4" s="494" t="str">
        <f>IF(AND(HH_Jan1[[#This Row],[Total Nota]]&lt;&gt;"",HH_Jan1[[#This Row],[ITBI/ITCMD]]="",HH_Jan1[[#This Row],[Total Nota]]-IFERROR(VLOOKUP(HH_Jan1[[#This Row],[Emols.]],Meta!$AK$3:$AN$256,2,FALSE),0)&lt;&gt;0),TEXT(IFERROR(HH_Jan1[[#This Row],[Total Nota]]-VLOOKUP(HH_Jan1[[#This Row],[Emols.]],Meta!$AK$3:$AN$256,2,FALSE),""),"#.##0,00"),"")</f>
        <v/>
      </c>
      <c r="EU4" s="487"/>
      <c r="EV4" s="102"/>
      <c r="EW4" s="330"/>
      <c r="EX4" s="326"/>
      <c r="EY4" s="104"/>
      <c r="EZ4" s="73"/>
      <c r="FA4" s="99" t="str">
        <f>IFERROR(VLOOKUP(II_Jan1[[#This Row],[Emols.]],Meta!$AK$3:$AN$256,3,FALSE),"")</f>
        <v/>
      </c>
      <c r="FB4" s="330"/>
      <c r="FC4" s="492"/>
      <c r="FD4" s="494" t="str">
        <f>IF(II_Jan1[[#This Row],[Total Nota]]="",TEXT(IFERROR(VLOOKUP(II_Jan1[[#This Row],[Emols.]],Meta!$AK$3:$AN$256,2,FALSE)+II_Jan1[[#This Row],[ITBI/ITCMD]],""),"#.##0,00"),"")</f>
        <v/>
      </c>
      <c r="FE4" s="485">
        <f>II_Jan1[[#This Row],[Emols.]]-II_Jan1[[#This Row],[Comissão]]</f>
        <v>0</v>
      </c>
      <c r="FF4" s="101">
        <f>VLOOKUP($FC$29,Meta!$Q$3:$R$16,2,FALSE)*FB4</f>
        <v>0</v>
      </c>
      <c r="FG4" s="101">
        <f>II_Jan1[[#This Row],[Total Nota]]-II_Jan1[[#This Row],[Comissão]]</f>
        <v>0</v>
      </c>
      <c r="FH4" s="102"/>
      <c r="FI4" s="492"/>
      <c r="FJ4" s="494" t="str">
        <f>IF(AND(II_Jan1[[#This Row],[Total Nota]]&lt;&gt;"",II_Jan1[[#This Row],[ITBI/ITCMD]]="",II_Jan1[[#This Row],[Total Nota]]-IFERROR(VLOOKUP(II_Jan1[[#This Row],[Emols.]],Meta!$AK$3:$AN$256,2,FALSE),0)&lt;&gt;0),TEXT(IFERROR(II_Jan1[[#This Row],[Total Nota]]-VLOOKUP(II_Jan1[[#This Row],[Emols.]],Meta!$AK$3:$AN$256,2,FALSE),""),"#.##0,00"),"")</f>
        <v/>
      </c>
      <c r="FK4" s="487"/>
      <c r="FL4" s="102"/>
      <c r="FM4" s="330"/>
      <c r="FN4" s="326"/>
      <c r="FO4" s="104"/>
      <c r="FP4" s="73"/>
      <c r="FQ4" s="99" t="str">
        <f>IFERROR(VLOOKUP(JJ_Jan1[[#This Row],[Emols.]],Meta!$AK$3:$AN$256,3,FALSE),"")</f>
        <v/>
      </c>
      <c r="FR4" s="330"/>
      <c r="FS4" s="492"/>
      <c r="FT4" s="494" t="str">
        <f>IF(JJ_Jan1[[#This Row],[Total Nota]]="",TEXT(IFERROR(VLOOKUP(JJ_Jan1[[#This Row],[Emols.]],Meta!$AK$3:$AN$256,2,FALSE)+JJ_Jan1[[#This Row],[ITBI/ITCMD]],""),"#.##0,00"),"")</f>
        <v/>
      </c>
      <c r="FU4" s="485">
        <f>JJ_Jan1[[#This Row],[Emols.]]-JJ_Jan1[[#This Row],[Comissão]]</f>
        <v>0</v>
      </c>
      <c r="FV4" s="101">
        <f>VLOOKUP($FS$29,Meta!$Q$3:$R$16,2,FALSE)*FR4</f>
        <v>0</v>
      </c>
      <c r="FW4" s="101">
        <f>JJ_Jan1[[#This Row],[Total Nota]]-JJ_Jan1[[#This Row],[Comissão]]</f>
        <v>0</v>
      </c>
      <c r="FX4" s="102"/>
      <c r="FY4" s="492"/>
      <c r="FZ4" s="494" t="str">
        <f>IF(AND(JJ_Jan1[[#This Row],[Total Nota]]&lt;&gt;"",JJ_Jan1[[#This Row],[ITBI/ITCMD]]="",JJ_Jan1[[#This Row],[Total Nota]]-IFERROR(VLOOKUP(JJ_Jan1[[#This Row],[Emols.]],Meta!$AK$3:$AN$256,2,FALSE),0)&lt;&gt;0),TEXT(IFERROR(JJ_Jan1[[#This Row],[Total Nota]]-VLOOKUP(JJ_Jan1[[#This Row],[Emols.]],Meta!$AK$3:$AN$256,2,FALSE),""),"#.##0,00"),"")</f>
        <v/>
      </c>
      <c r="GA4" s="487"/>
      <c r="GB4" s="102"/>
      <c r="GC4" s="330"/>
      <c r="GD4" s="326"/>
      <c r="GE4" s="104"/>
      <c r="GF4" s="73"/>
      <c r="GG4" s="99" t="str">
        <f>IFERROR(VLOOKUP(KK_Jan1[[#This Row],[Emols.]],Meta!$AK$3:$AN$256,3,FALSE),"")</f>
        <v/>
      </c>
      <c r="GH4" s="330"/>
      <c r="GI4" s="332"/>
      <c r="GJ4" s="493" t="str">
        <f>IF(KK_Jan1[[#This Row],[Total Nota]]="",TEXT(IFERROR(VLOOKUP(KK_Jan1[[#This Row],[Emols.]],Meta!$AK$3:$AN$256,2,FALSE)+KK_Jan1[[#This Row],[ITBI/ITCMD]],""),"#.##0,00"),"")</f>
        <v/>
      </c>
      <c r="GK4" s="485">
        <f>KK_Jan1[[#This Row],[Emols.]]-KK_Jan1[[#This Row],[Comissão]]</f>
        <v>0</v>
      </c>
      <c r="GL4" s="101">
        <f>VLOOKUP($GI$29,Meta!$Q$3:$R$16,2,FALSE)*GH4</f>
        <v>0</v>
      </c>
      <c r="GM4" s="101">
        <f>KK_Jan1[[#This Row],[Total Nota]]-KK_Jan1[[#This Row],[Comissão]]</f>
        <v>0</v>
      </c>
      <c r="GN4" s="102"/>
      <c r="GO4" s="332"/>
      <c r="GP4" s="493" t="str">
        <f>IF(AND(KK_Jan1[[#This Row],[Total Nota]]&lt;&gt;"",KK_Jan1[[#This Row],[ITBI/ITCMD]]="",KK_Jan1[[#This Row],[Total Nota]]-IFERROR(VLOOKUP(KK_Jan1[[#This Row],[Emols.]],Meta!$AK$3:$AN$256,2,FALSE),0)&lt;&gt;0),TEXT(IFERROR(KK_Jan1[[#This Row],[Total Nota]]-VLOOKUP(KK_Jan1[[#This Row],[Emols.]],Meta!$AK$3:$AN$256,2,FALSE),""),"#.##0,00"),"")</f>
        <v/>
      </c>
      <c r="GQ4" s="487"/>
      <c r="GR4" s="102"/>
      <c r="GS4" s="330"/>
      <c r="GT4" s="326"/>
      <c r="GU4" s="104"/>
      <c r="GV4" s="73"/>
      <c r="GW4" s="99" t="str">
        <f>IFERROR(VLOOKUP(LL_Jan1[[#This Row],[Emols.]],Meta!$AK$3:$AN$256,3,FALSE),"")</f>
        <v/>
      </c>
      <c r="GX4" s="330"/>
      <c r="GY4" s="332"/>
      <c r="GZ4" s="493" t="str">
        <f>IF(LL_Jan1[[#This Row],[Total Nota]]="",TEXT(IFERROR(VLOOKUP(LL_Jan1[[#This Row],[Emols.]],Meta!$AK$3:$AN$256,2,FALSE)+LL_Jan1[[#This Row],[ITBI/ITCMD]],""),"#.##0,00"),"")</f>
        <v/>
      </c>
      <c r="HA4" s="485">
        <f>LL_Jan1[[#This Row],[Emols.]]-LL_Jan1[[#This Row],[Comissão]]</f>
        <v>0</v>
      </c>
      <c r="HB4" s="101">
        <f>VLOOKUP($GY$29,Meta!$Q$3:$R$16,2,FALSE)*GX4</f>
        <v>0</v>
      </c>
      <c r="HC4" s="101">
        <f>LL_Jan1[[#This Row],[Total Nota]]-LL_Jan1[[#This Row],[Comissão]]</f>
        <v>0</v>
      </c>
      <c r="HD4" s="102"/>
      <c r="HE4" s="492"/>
      <c r="HF4" s="494" t="str">
        <f>IF(AND(LL_Jan1[[#This Row],[Total Nota]]&lt;&gt;"",LL_Jan1[[#This Row],[ITBI/ITCMD]]="",LL_Jan1[[#This Row],[Total Nota]]-IFERROR(VLOOKUP(LL_Jan1[[#This Row],[Emols.]],Meta!$AK$3:$AN$256,2,FALSE),0)&lt;&gt;0),TEXT(IFERROR(LL_Jan1[[#This Row],[Total Nota]]-VLOOKUP(LL_Jan1[[#This Row],[Emols.]],Meta!$AK$3:$AN$256,2,FALSE),""),"#.##0,00"),"")</f>
        <v/>
      </c>
      <c r="HG4" s="487"/>
      <c r="HH4" s="102"/>
      <c r="HI4" s="330"/>
      <c r="HJ4" s="326"/>
      <c r="HK4" s="104"/>
      <c r="HL4" s="105"/>
    </row>
    <row r="5" spans="1:220" ht="14.45" customHeight="1" x14ac:dyDescent="0.25">
      <c r="A5" s="580"/>
      <c r="B5" s="558" t="str">
        <f>IF(CC29=Meta!$D$3,Meta!$Q$6,"")</f>
        <v>Daniel</v>
      </c>
      <c r="C5" s="574" t="s">
        <v>252</v>
      </c>
      <c r="D5" s="567">
        <f>IF(AND(C5="S",B5&lt;&gt;""),DD_Jan1[[#Totals],[Total Nota]],"")</f>
        <v>0</v>
      </c>
      <c r="E5" s="568" t="s">
        <v>250</v>
      </c>
      <c r="F5" s="567">
        <f>IF(AND(C5="S",B5&lt;&gt;""),DD_Jan1[[#Totals],[Comissão]],"")</f>
        <v>0</v>
      </c>
      <c r="G5" s="568" t="s">
        <v>244</v>
      </c>
      <c r="H5" s="567">
        <f t="shared" si="0"/>
        <v>0</v>
      </c>
      <c r="I5" s="569" t="s">
        <v>248</v>
      </c>
      <c r="J5" s="553" t="str">
        <f t="shared" si="1"/>
        <v/>
      </c>
      <c r="K5" s="586" t="str">
        <f>IF(J5&lt;&gt;"",Meta!$X$3,IF(Q20&lt;0,Q20,""))</f>
        <v/>
      </c>
      <c r="L5" s="586"/>
      <c r="M5" s="498" t="str">
        <f>IF(K5&lt;&gt;"",IF(K5&lt;0,Meta!$X$4,""),"")</f>
        <v/>
      </c>
      <c r="N5" s="544"/>
      <c r="O5" s="535"/>
      <c r="P5" s="119" t="str">
        <f>IF(CC29=Meta!$D$3,Meta!$Q$6,"")</f>
        <v>Daniel</v>
      </c>
      <c r="Q5" s="120">
        <f>IF(CC29=Meta!$D$3,SUMIF(DD_Jan1[Tipo],Q$1,DD_Jan1[Entregue]),"")</f>
        <v>0</v>
      </c>
      <c r="R5" s="121">
        <f>IF(CC29=Meta!$D$3,SUMIF(DD_Jan1[Tipo],R$1,DD_Jan1[Entregue]),"")</f>
        <v>0</v>
      </c>
      <c r="S5" s="121">
        <f>IF(CC29=Meta!$D$3,SUMIF(DD_Jan1[Tipo],S$1,DD_Jan1[Entregue]),"")</f>
        <v>0</v>
      </c>
      <c r="T5" s="121">
        <f>IF(CC29=Meta!$D$3,SUMIF(DD_Jan1[Tipo],T$1,DD_Jan1[Entregue]),"")</f>
        <v>0</v>
      </c>
      <c r="U5" s="121">
        <f>IF(CC29=Meta!$D$3,SUMIF(DD_Jan1[Tipo],U$1,DD_Jan1[Entregue]),"")</f>
        <v>0</v>
      </c>
      <c r="V5" s="121">
        <f>IF(CC29=Meta!$D$3,SUMIF(DD_Jan1[Tipo],V$1,DD_Jan1[Entregue]),"")</f>
        <v>0</v>
      </c>
      <c r="W5" s="121">
        <f>IF(CC29=Meta!$D$3,SUMIF(DD_Jan1[Tipo],W$1,DD_Jan1[Entregue]),"")</f>
        <v>0</v>
      </c>
      <c r="X5" s="122">
        <f>IF(CC29=Meta!$D$3,SUMIF(DD_Jan1[Tipo],X$1,DD_Jan1[Entregue]),"")</f>
        <v>0</v>
      </c>
      <c r="Y5" s="123">
        <f>IF(CC29=Meta!$D$3,SUMIF(DD_Jan1[Tipo],"",DD_Jan1[Entregue]),"")</f>
        <v>0</v>
      </c>
      <c r="Z5" s="124">
        <f>IF(CC29=Meta!$D$3,ROUND(SUM(Q5:Y5),2),"")</f>
        <v>0</v>
      </c>
      <c r="AA5" s="80"/>
      <c r="AB5" s="73"/>
      <c r="AC5" s="81" t="str">
        <f>IFERROR(VLOOKUP(AA_Jan1[[#This Row],[Emols.]],Meta!$AK$3:$AN$256,3,FALSE),"")</f>
        <v/>
      </c>
      <c r="AD5" s="325"/>
      <c r="AE5" s="324"/>
      <c r="AF5" s="494" t="str">
        <f>IF(AA_Jan1[[#This Row],[Total Nota]]="",TEXT(IFERROR(VLOOKUP(AA_Jan1[[#This Row],[Emols.]],Meta!$AK$3:$AN$256,2,FALSE)+AA_Jan1[[#This Row],[ITBI/ITCMD]],""),"#.##0,00"),"")</f>
        <v/>
      </c>
      <c r="AG5" s="482">
        <f>AA_Jan1[[#This Row],[Emols.]]-AA_Jan1[[#This Row],[Comissão]]</f>
        <v>0</v>
      </c>
      <c r="AH5" s="83">
        <f>VLOOKUP($AE$29,Meta!$Q$3:$R$16,2,FALSE)*AD5</f>
        <v>0</v>
      </c>
      <c r="AI5" s="83">
        <f>AA_Jan1[[#This Row],[Total Nota]]-AA_Jan1[[#This Row],[Comissão]]</f>
        <v>0</v>
      </c>
      <c r="AJ5" s="40"/>
      <c r="AK5" s="324"/>
      <c r="AL5" s="494" t="str">
        <f>IF(AND(AA_Jan1[[#This Row],[Total Nota]]&lt;&gt;"",AA_Jan1[[#This Row],[ITBI/ITCMD]]="",AA_Jan1[[#This Row],[Total Nota]]-IFERROR(VLOOKUP(AA_Jan1[[#This Row],[Emols.]],Meta!$AK$3:$AN$256,2,FALSE),0)&lt;&gt;0),TEXT(IFERROR(AA_Jan1[[#This Row],[Total Nota]]-VLOOKUP(AA_Jan1[[#This Row],[Emols.]],Meta!$AK$3:$AN$256,2,FALSE),""),"#.##0,00"),"")</f>
        <v/>
      </c>
      <c r="AM5" s="484"/>
      <c r="AN5" s="40"/>
      <c r="AO5" s="325"/>
      <c r="AP5" s="326"/>
      <c r="AQ5" s="85"/>
      <c r="AR5" s="86"/>
      <c r="AS5" s="87" t="str">
        <f>IFERROR(VLOOKUP(BB_Jan1[[#This Row],[Emols.]],Meta!$AK$3:$AN$256,3,FALSE),"")</f>
        <v/>
      </c>
      <c r="AT5" s="325"/>
      <c r="AU5" s="324"/>
      <c r="AV5" s="494" t="str">
        <f>IF(BB_Jan1[[#This Row],[Total Nota]]="",TEXT(IFERROR(VLOOKUP(BB_Jan1[[#This Row],[Emols.]],Meta!$AK$3:$AN$256,2,FALSE)+BB_Jan1[[#This Row],[ITBI/ITCMD]],""),"#.##0,00"),"")</f>
        <v/>
      </c>
      <c r="AW5" s="482">
        <f>BB_Jan1[[#This Row],[Emols.]]-BB_Jan1[[#This Row],[Comissão]]</f>
        <v>0</v>
      </c>
      <c r="AX5" s="83">
        <f>VLOOKUP($AU$29,Meta!$Q$3:$R$16,2,FALSE)*AT5</f>
        <v>0</v>
      </c>
      <c r="AY5" s="83">
        <f>BB_Jan1[[#This Row],[Total Nota]]-BB_Jan1[[#This Row],[Comissão]]</f>
        <v>0</v>
      </c>
      <c r="AZ5" s="41"/>
      <c r="BA5" s="324"/>
      <c r="BB5" s="494" t="str">
        <f>IF(AND(BB_Jan1[[#This Row],[Total Nota]]&lt;&gt;"",BB_Jan1[[#This Row],[ITBI/ITCMD]]="",BB_Jan1[[#This Row],[Total Nota]]-IFERROR(VLOOKUP(BB_Jan1[[#This Row],[Emols.]],Meta!$AK$3:$AN$256,2,FALSE),0)&lt;&gt;0),TEXT(IFERROR(BB_Jan1[[#This Row],[Total Nota]]-VLOOKUP(BB_Jan1[[#This Row],[Emols.]],Meta!$AK$3:$AN$256,2,FALSE),""),"#.##0,00"),"")</f>
        <v/>
      </c>
      <c r="BC5" s="484"/>
      <c r="BD5" s="41"/>
      <c r="BE5" s="325"/>
      <c r="BF5" s="326"/>
      <c r="BG5" s="89"/>
      <c r="BH5" s="86"/>
      <c r="BI5" s="90" t="str">
        <f>IFERROR(VLOOKUP(CC_Jan1[[#This Row],[Emols.]],Meta!$AK$3:$AN$256,3,FALSE),"")</f>
        <v/>
      </c>
      <c r="BJ5" s="325"/>
      <c r="BK5" s="324"/>
      <c r="BL5" s="494" t="str">
        <f>IF(CC_Jan1[[#This Row],[Total Nota]]="",TEXT(IFERROR(VLOOKUP(CC_Jan1[[#This Row],[Emols.]],Meta!$AK$3:$AN$256,2,FALSE)+CC_Jan1[[#This Row],[ITBI/ITCMD]],""),"#.##0,00"),"")</f>
        <v/>
      </c>
      <c r="BM5" s="482">
        <f>CC_Jan1[[#This Row],[Emols.]]-CC_Jan1[[#This Row],[Comissão]]</f>
        <v>0</v>
      </c>
      <c r="BN5" s="83">
        <f>VLOOKUP($BK$29,Meta!$Q$3:$R$16,2,FALSE)*BJ5</f>
        <v>0</v>
      </c>
      <c r="BO5" s="83">
        <f>CC_Jan1[[#This Row],[Total Nota]]-CC_Jan1[[#This Row],[Comissão]]</f>
        <v>0</v>
      </c>
      <c r="BP5" s="47"/>
      <c r="BQ5" s="324"/>
      <c r="BR5" s="494" t="str">
        <f>IF(AND(CC_Jan1[[#This Row],[Total Nota]]&lt;&gt;"",CC_Jan1[[#This Row],[ITBI/ITCMD]]="",CC_Jan1[[#This Row],[Total Nota]]-IFERROR(VLOOKUP(CC_Jan1[[#This Row],[Emols.]],Meta!$AK$3:$AN$256,2,FALSE),0)&lt;&gt;0),TEXT(IFERROR(CC_Jan1[[#This Row],[Total Nota]]-VLOOKUP(CC_Jan1[[#This Row],[Emols.]],Meta!$AK$3:$AN$256,2,FALSE),""),"#.##0,00"),"")</f>
        <v/>
      </c>
      <c r="BS5" s="484"/>
      <c r="BT5" s="47"/>
      <c r="BU5" s="325"/>
      <c r="BV5" s="326"/>
      <c r="BW5" s="91"/>
      <c r="BX5" s="86"/>
      <c r="BY5" s="92" t="str">
        <f>IFERROR(VLOOKUP(DD_Jan1[[#This Row],[Emols.]],Meta!$AK$3:$AN$256,3,FALSE),"")</f>
        <v/>
      </c>
      <c r="BZ5" s="325"/>
      <c r="CA5" s="324"/>
      <c r="CB5" s="494" t="str">
        <f>IF(DD_Jan1[[#This Row],[Total Nota]]="",TEXT(IFERROR(VLOOKUP(DD_Jan1[[#This Row],[Emols.]],Meta!$AK$3:$AN$256,2,FALSE)+DD_Jan1[[#This Row],[ITBI/ITCMD]],""),"#.##0,00"),"")</f>
        <v/>
      </c>
      <c r="CC5" s="482">
        <f>DD_Jan1[[#This Row],[Emols.]]-DD_Jan1[[#This Row],[Comissão]]</f>
        <v>0</v>
      </c>
      <c r="CD5" s="83">
        <f>VLOOKUP($CA$29,Meta!$Q$3:$R$16,2,FALSE)*BZ5</f>
        <v>0</v>
      </c>
      <c r="CE5" s="83">
        <f>DD_Jan1[[#This Row],[Total Nota]]-DD_Jan1[[#This Row],[Comissão]]</f>
        <v>0</v>
      </c>
      <c r="CF5" s="93"/>
      <c r="CG5" s="324"/>
      <c r="CH5" s="494" t="str">
        <f>IF(AND(DD_Jan1[[#This Row],[Total Nota]]&lt;&gt;"",DD_Jan1[[#This Row],[ITBI/ITCMD]]="",DD_Jan1[[#This Row],[Total Nota]]-IFERROR(VLOOKUP(DD_Jan1[[#This Row],[Emols.]],Meta!$AK$3:$AN$256,2,FALSE),0)&lt;&gt;0),TEXT(IFERROR(DD_Jan1[[#This Row],[Total Nota]]-VLOOKUP(DD_Jan1[[#This Row],[Emols.]],Meta!$AK$3:$AN$256,2,FALSE),""),"#.##0,00"),"")</f>
        <v/>
      </c>
      <c r="CI5" s="484"/>
      <c r="CJ5" s="93"/>
      <c r="CK5" s="325"/>
      <c r="CL5" s="326"/>
      <c r="CM5" s="94"/>
      <c r="CN5" s="86"/>
      <c r="CO5" s="95" t="str">
        <f>IFERROR(VLOOKUP(EE_Jan1[[#This Row],[Emols.]],Meta!$AK$3:$AN$256,3,FALSE),"")</f>
        <v/>
      </c>
      <c r="CP5" s="325"/>
      <c r="CQ5" s="324"/>
      <c r="CR5" s="494" t="str">
        <f>IF(EE_Jan1[[#This Row],[Total Nota]]="",TEXT(IFERROR(VLOOKUP(EE_Jan1[[#This Row],[Emols.]],Meta!$AK$3:$AN$256,2,FALSE)+EE_Jan1[[#This Row],[ITBI/ITCMD]],""),"#.##0,00"),"")</f>
        <v/>
      </c>
      <c r="CS5" s="482">
        <f>EE_Jan1[[#This Row],[Emols.]]-EE_Jan1[[#This Row],[Comissão]]</f>
        <v>0</v>
      </c>
      <c r="CT5" s="83">
        <f>VLOOKUP($CQ$29,Meta!$Q$3:$R$16,2,FALSE)*CP5</f>
        <v>0</v>
      </c>
      <c r="CU5" s="83">
        <f>EE_Jan1[[#This Row],[Total Nota]]-EE_Jan1[[#This Row],[Comissão]]</f>
        <v>0</v>
      </c>
      <c r="CV5" s="96"/>
      <c r="CW5" s="324"/>
      <c r="CX5" s="494" t="str">
        <f>IF(AND(EE_Jan1[[#This Row],[Total Nota]]&lt;&gt;"",EE_Jan1[[#This Row],[ITBI/ITCMD]]="",EE_Jan1[[#This Row],[Total Nota]]-IFERROR(VLOOKUP(EE_Jan1[[#This Row],[Emols.]],Meta!$AK$3:$AN$256,2,FALSE),0)&lt;&gt;0),TEXT(IFERROR(EE_Jan1[[#This Row],[Total Nota]]-VLOOKUP(EE_Jan1[[#This Row],[Emols.]],Meta!$AK$3:$AN$256,2,FALSE),""),"#.##0,00"),"")</f>
        <v/>
      </c>
      <c r="CY5" s="484"/>
      <c r="CZ5" s="96"/>
      <c r="DA5" s="325"/>
      <c r="DB5" s="326"/>
      <c r="DC5" s="97"/>
      <c r="DD5" s="86"/>
      <c r="DE5" s="87" t="str">
        <f>IFERROR(VLOOKUP(FF_Jan1[[#This Row],[Emols.]],Meta!$AK$3:$AN$256,3,FALSE),"")</f>
        <v/>
      </c>
      <c r="DF5" s="325"/>
      <c r="DG5" s="324"/>
      <c r="DH5" s="494" t="str">
        <f>IF(FF_Jan1[[#This Row],[Total Nota]]="",TEXT(IFERROR(VLOOKUP(FF_Jan1[[#This Row],[Emols.]],Meta!$AK$3:$AN$256,2,FALSE)+FF_Jan1[[#This Row],[ITBI/ITCMD]],""),"#.##0,00"),"")</f>
        <v/>
      </c>
      <c r="DI5" s="482">
        <f>FF_Jan1[[#This Row],[Emols.]]-FF_Jan1[[#This Row],[Comissão]]</f>
        <v>0</v>
      </c>
      <c r="DJ5" s="83">
        <f>VLOOKUP($DG$29,Meta!$Q$3:$R$16,2,FALSE)*DF5</f>
        <v>0</v>
      </c>
      <c r="DK5" s="83">
        <f>FF_Jan1[[#This Row],[Total Nota]]-FF_Jan1[[#This Row],[Comissão]]</f>
        <v>0</v>
      </c>
      <c r="DL5" s="41"/>
      <c r="DM5" s="324"/>
      <c r="DN5" s="494" t="str">
        <f>IF(AND(FF_Jan1[[#This Row],[Total Nota]]&lt;&gt;"",FF_Jan1[[#This Row],[ITBI/ITCMD]]="",FF_Jan1[[#This Row],[Total Nota]]-IFERROR(VLOOKUP(FF_Jan1[[#This Row],[Emols.]],Meta!$AK$3:$AN$256,2,FALSE),0)&lt;&gt;0),TEXT(IFERROR(FF_Jan1[[#This Row],[Total Nota]]-VLOOKUP(FF_Jan1[[#This Row],[Emols.]],Meta!$AK$3:$AN$256,2,FALSE),""),"#.##0,00"),"")</f>
        <v/>
      </c>
      <c r="DO5" s="484"/>
      <c r="DP5" s="41"/>
      <c r="DQ5" s="325"/>
      <c r="DR5" s="326"/>
      <c r="DS5" s="98"/>
      <c r="DT5" s="73"/>
      <c r="DU5" s="99" t="str">
        <f>IFERROR(VLOOKUP(GG_Jan1[[#This Row],[Emols.]],Meta!$AK$3:$AN$256,3,FALSE),"")</f>
        <v/>
      </c>
      <c r="DV5" s="330"/>
      <c r="DW5" s="332"/>
      <c r="DX5" s="494" t="str">
        <f>IF(GG_Jan1[[#This Row],[Total Nota]]="",TEXT(IFERROR(VLOOKUP(GG_Jan1[[#This Row],[Emols.]],Meta!$AK$3:$AN$256,2,FALSE)+GG_Jan1[[#This Row],[ITBI/ITCMD]],""),"#.##0,00"),"")</f>
        <v/>
      </c>
      <c r="DY5" s="485">
        <f>GG_Jan1[[#This Row],[Emols.]]-GG_Jan1[[#This Row],[Comissão]]</f>
        <v>0</v>
      </c>
      <c r="DZ5" s="101">
        <f>VLOOKUP($DW$29,Meta!$Q$3:$R$16,2,FALSE)*DV5</f>
        <v>0</v>
      </c>
      <c r="EA5" s="101">
        <f>GG_Jan1[[#This Row],[Total Nota]]-GG_Jan1[[#This Row],[Comissão]]</f>
        <v>0</v>
      </c>
      <c r="EB5" s="102"/>
      <c r="EC5" s="332"/>
      <c r="ED5" s="494" t="str">
        <f>IF(AND(GG_Jan1[[#This Row],[Total Nota]]&lt;&gt;"",GG_Jan1[[#This Row],[ITBI/ITCMD]]="",GG_Jan1[[#This Row],[Total Nota]]-IFERROR(VLOOKUP(GG_Jan1[[#This Row],[Emols.]],Meta!$AK$3:$AN$256,2,FALSE),0)&lt;&gt;0),TEXT(IFERROR(GG_Jan1[[#This Row],[Total Nota]]-VLOOKUP(GG_Jan1[[#This Row],[Emols.]],Meta!$AK$3:$AN$256,2,FALSE),""),"#.##0,00"),"")</f>
        <v/>
      </c>
      <c r="EE5" s="487"/>
      <c r="EF5" s="102"/>
      <c r="EG5" s="330"/>
      <c r="EH5" s="326"/>
      <c r="EI5" s="104"/>
      <c r="EJ5" s="73"/>
      <c r="EK5" s="99" t="str">
        <f>IFERROR(VLOOKUP(HH_Jan1[[#This Row],[Emols.]],Meta!$AK$3:$AN$256,3,FALSE),"")</f>
        <v/>
      </c>
      <c r="EL5" s="330"/>
      <c r="EM5" s="332"/>
      <c r="EN5" s="494" t="str">
        <f>IF(HH_Jan1[[#This Row],[Total Nota]]="",TEXT(IFERROR(VLOOKUP(HH_Jan1[[#This Row],[Emols.]],Meta!$AK$3:$AN$256,2,FALSE)+HH_Jan1[[#This Row],[ITBI/ITCMD]],""),"#.##0,00"),"")</f>
        <v/>
      </c>
      <c r="EO5" s="485">
        <f>HH_Jan1[[#This Row],[Emols.]]-HH_Jan1[[#This Row],[Comissão]]</f>
        <v>0</v>
      </c>
      <c r="EP5" s="101">
        <f>VLOOKUP($EM$29,Meta!$Q$3:$R$16,2,FALSE)*EL5</f>
        <v>0</v>
      </c>
      <c r="EQ5" s="101">
        <f>HH_Jan1[[#This Row],[Total Nota]]-HH_Jan1[[#This Row],[Comissão]]</f>
        <v>0</v>
      </c>
      <c r="ER5" s="102"/>
      <c r="ES5" s="332"/>
      <c r="ET5" s="494" t="str">
        <f>IF(AND(HH_Jan1[[#This Row],[Total Nota]]&lt;&gt;"",HH_Jan1[[#This Row],[ITBI/ITCMD]]="",HH_Jan1[[#This Row],[Total Nota]]-IFERROR(VLOOKUP(HH_Jan1[[#This Row],[Emols.]],Meta!$AK$3:$AN$256,2,FALSE),0)&lt;&gt;0),TEXT(IFERROR(HH_Jan1[[#This Row],[Total Nota]]-VLOOKUP(HH_Jan1[[#This Row],[Emols.]],Meta!$AK$3:$AN$256,2,FALSE),""),"#.##0,00"),"")</f>
        <v/>
      </c>
      <c r="EU5" s="487"/>
      <c r="EV5" s="102"/>
      <c r="EW5" s="330"/>
      <c r="EX5" s="326"/>
      <c r="EY5" s="104"/>
      <c r="EZ5" s="73"/>
      <c r="FA5" s="99" t="str">
        <f>IFERROR(VLOOKUP(II_Jan1[[#This Row],[Emols.]],Meta!$AK$3:$AN$256,3,FALSE),"")</f>
        <v/>
      </c>
      <c r="FB5" s="330"/>
      <c r="FC5" s="332"/>
      <c r="FD5" s="494" t="str">
        <f>IF(II_Jan1[[#This Row],[Total Nota]]="",TEXT(IFERROR(VLOOKUP(II_Jan1[[#This Row],[Emols.]],Meta!$AK$3:$AN$256,2,FALSE)+II_Jan1[[#This Row],[ITBI/ITCMD]],""),"#.##0,00"),"")</f>
        <v/>
      </c>
      <c r="FE5" s="485">
        <f>II_Jan1[[#This Row],[Emols.]]-II_Jan1[[#This Row],[Comissão]]</f>
        <v>0</v>
      </c>
      <c r="FF5" s="101">
        <f>VLOOKUP($FC$29,Meta!$Q$3:$R$16,2,FALSE)*FB5</f>
        <v>0</v>
      </c>
      <c r="FG5" s="101">
        <f>II_Jan1[[#This Row],[Total Nota]]-II_Jan1[[#This Row],[Comissão]]</f>
        <v>0</v>
      </c>
      <c r="FH5" s="102"/>
      <c r="FI5" s="332"/>
      <c r="FJ5" s="494" t="str">
        <f>IF(AND(II_Jan1[[#This Row],[Total Nota]]&lt;&gt;"",II_Jan1[[#This Row],[ITBI/ITCMD]]="",II_Jan1[[#This Row],[Total Nota]]-IFERROR(VLOOKUP(II_Jan1[[#This Row],[Emols.]],Meta!$AK$3:$AN$256,2,FALSE),0)&lt;&gt;0),TEXT(IFERROR(II_Jan1[[#This Row],[Total Nota]]-VLOOKUP(II_Jan1[[#This Row],[Emols.]],Meta!$AK$3:$AN$256,2,FALSE),""),"#.##0,00"),"")</f>
        <v/>
      </c>
      <c r="FK5" s="487"/>
      <c r="FL5" s="102"/>
      <c r="FM5" s="330"/>
      <c r="FN5" s="326"/>
      <c r="FO5" s="104"/>
      <c r="FP5" s="73"/>
      <c r="FQ5" s="99" t="str">
        <f>IFERROR(VLOOKUP(JJ_Jan1[[#This Row],[Emols.]],Meta!$AK$3:$AN$256,3,FALSE),"")</f>
        <v/>
      </c>
      <c r="FR5" s="330"/>
      <c r="FS5" s="332"/>
      <c r="FT5" s="494" t="str">
        <f>IF(JJ_Jan1[[#This Row],[Total Nota]]="",TEXT(IFERROR(VLOOKUP(JJ_Jan1[[#This Row],[Emols.]],Meta!$AK$3:$AN$256,2,FALSE)+JJ_Jan1[[#This Row],[ITBI/ITCMD]],""),"#.##0,00"),"")</f>
        <v/>
      </c>
      <c r="FU5" s="485">
        <f>JJ_Jan1[[#This Row],[Emols.]]-JJ_Jan1[[#This Row],[Comissão]]</f>
        <v>0</v>
      </c>
      <c r="FV5" s="101">
        <f>VLOOKUP($FS$29,Meta!$Q$3:$R$16,2,FALSE)*FR5</f>
        <v>0</v>
      </c>
      <c r="FW5" s="101">
        <f>JJ_Jan1[[#This Row],[Total Nota]]-JJ_Jan1[[#This Row],[Comissão]]</f>
        <v>0</v>
      </c>
      <c r="FX5" s="102"/>
      <c r="FY5" s="332"/>
      <c r="FZ5" s="494" t="str">
        <f>IF(AND(JJ_Jan1[[#This Row],[Total Nota]]&lt;&gt;"",JJ_Jan1[[#This Row],[ITBI/ITCMD]]="",JJ_Jan1[[#This Row],[Total Nota]]-IFERROR(VLOOKUP(JJ_Jan1[[#This Row],[Emols.]],Meta!$AK$3:$AN$256,2,FALSE),0)&lt;&gt;0),TEXT(IFERROR(JJ_Jan1[[#This Row],[Total Nota]]-VLOOKUP(JJ_Jan1[[#This Row],[Emols.]],Meta!$AK$3:$AN$256,2,FALSE),""),"#.##0,00"),"")</f>
        <v/>
      </c>
      <c r="GA5" s="487"/>
      <c r="GB5" s="102"/>
      <c r="GC5" s="330"/>
      <c r="GD5" s="326"/>
      <c r="GE5" s="104"/>
      <c r="GF5" s="73"/>
      <c r="GG5" s="99" t="str">
        <f>IFERROR(VLOOKUP(KK_Jan1[[#This Row],[Emols.]],Meta!$AK$3:$AN$256,3,FALSE),"")</f>
        <v/>
      </c>
      <c r="GH5" s="330"/>
      <c r="GI5" s="332"/>
      <c r="GJ5" s="494" t="str">
        <f>IF(KK_Jan1[[#This Row],[Total Nota]]="",TEXT(IFERROR(VLOOKUP(KK_Jan1[[#This Row],[Emols.]],Meta!$AK$3:$AN$256,2,FALSE)+KK_Jan1[[#This Row],[ITBI/ITCMD]],""),"#.##0,00"),"")</f>
        <v/>
      </c>
      <c r="GK5" s="485">
        <f>KK_Jan1[[#This Row],[Emols.]]-KK_Jan1[[#This Row],[Comissão]]</f>
        <v>0</v>
      </c>
      <c r="GL5" s="101">
        <f>VLOOKUP($GI$29,Meta!$Q$3:$R$16,2,FALSE)*GH5</f>
        <v>0</v>
      </c>
      <c r="GM5" s="101">
        <f>KK_Jan1[[#This Row],[Total Nota]]-KK_Jan1[[#This Row],[Comissão]]</f>
        <v>0</v>
      </c>
      <c r="GN5" s="102"/>
      <c r="GO5" s="332"/>
      <c r="GP5" s="494" t="str">
        <f>IF(AND(KK_Jan1[[#This Row],[Total Nota]]&lt;&gt;"",KK_Jan1[[#This Row],[ITBI/ITCMD]]="",KK_Jan1[[#This Row],[Total Nota]]-IFERROR(VLOOKUP(KK_Jan1[[#This Row],[Emols.]],Meta!$AK$3:$AN$256,2,FALSE),0)&lt;&gt;0),TEXT(IFERROR(KK_Jan1[[#This Row],[Total Nota]]-VLOOKUP(KK_Jan1[[#This Row],[Emols.]],Meta!$AK$3:$AN$256,2,FALSE),""),"#.##0,00"),"")</f>
        <v/>
      </c>
      <c r="GQ5" s="487"/>
      <c r="GR5" s="102"/>
      <c r="GS5" s="330"/>
      <c r="GT5" s="326"/>
      <c r="GU5" s="104"/>
      <c r="GV5" s="73"/>
      <c r="GW5" s="99" t="str">
        <f>IFERROR(VLOOKUP(LL_Jan1[[#This Row],[Emols.]],Meta!$AK$3:$AN$256,3,FALSE),"")</f>
        <v/>
      </c>
      <c r="GX5" s="330"/>
      <c r="GY5" s="332"/>
      <c r="GZ5" s="494" t="str">
        <f>IF(LL_Jan1[[#This Row],[Total Nota]]="",TEXT(IFERROR(VLOOKUP(LL_Jan1[[#This Row],[Emols.]],Meta!$AK$3:$AN$256,2,FALSE)+LL_Jan1[[#This Row],[ITBI/ITCMD]],""),"#.##0,00"),"")</f>
        <v/>
      </c>
      <c r="HA5" s="485">
        <f>LL_Jan1[[#This Row],[Emols.]]-LL_Jan1[[#This Row],[Comissão]]</f>
        <v>0</v>
      </c>
      <c r="HB5" s="101">
        <f>VLOOKUP($GY$29,Meta!$Q$3:$R$16,2,FALSE)*GX5</f>
        <v>0</v>
      </c>
      <c r="HC5" s="101">
        <f>LL_Jan1[[#This Row],[Total Nota]]-LL_Jan1[[#This Row],[Comissão]]</f>
        <v>0</v>
      </c>
      <c r="HD5" s="102"/>
      <c r="HE5" s="332"/>
      <c r="HF5" s="494" t="str">
        <f>IF(AND(LL_Jan1[[#This Row],[Total Nota]]&lt;&gt;"",LL_Jan1[[#This Row],[ITBI/ITCMD]]="",LL_Jan1[[#This Row],[Total Nota]]-IFERROR(VLOOKUP(LL_Jan1[[#This Row],[Emols.]],Meta!$AK$3:$AN$256,2,FALSE),0)&lt;&gt;0),TEXT(IFERROR(LL_Jan1[[#This Row],[Total Nota]]-VLOOKUP(LL_Jan1[[#This Row],[Emols.]],Meta!$AK$3:$AN$256,2,FALSE),""),"#.##0,00"),"")</f>
        <v/>
      </c>
      <c r="HG5" s="487"/>
      <c r="HH5" s="102"/>
      <c r="HI5" s="330"/>
      <c r="HJ5" s="326"/>
      <c r="HK5" s="104"/>
      <c r="HL5" s="105"/>
    </row>
    <row r="6" spans="1:220" ht="14.45" customHeight="1" x14ac:dyDescent="0.25">
      <c r="A6" s="580"/>
      <c r="B6" s="539" t="str">
        <f>IF(CS29=Meta!$D$3,Meta!$Q$7,"")</f>
        <v>Eliana</v>
      </c>
      <c r="C6" s="575" t="s">
        <v>252</v>
      </c>
      <c r="D6" s="570">
        <f>IF(AND(C6="S",B6&lt;&gt;""),EE_Jan1[[#Totals],[Total Nota]],"")</f>
        <v>0</v>
      </c>
      <c r="E6" s="571" t="s">
        <v>250</v>
      </c>
      <c r="F6" s="570">
        <f>IF(AND(C6="S",B6&lt;&gt;""),EE_Jan1[[#Totals],[Comissão]],"")</f>
        <v>0</v>
      </c>
      <c r="G6" s="571" t="s">
        <v>244</v>
      </c>
      <c r="H6" s="570">
        <f t="shared" si="0"/>
        <v>0</v>
      </c>
      <c r="I6" s="572" t="s">
        <v>248</v>
      </c>
      <c r="J6" s="554" t="str">
        <f t="shared" si="1"/>
        <v/>
      </c>
      <c r="K6" s="587" t="str">
        <f>IF(J6&lt;&gt;"",Meta!$X$3,IF(Q21&lt;0,Q21,""))</f>
        <v/>
      </c>
      <c r="L6" s="588"/>
      <c r="M6" s="499" t="str">
        <f>IF(K6&lt;&gt;"",IF(K6&lt;0,Meta!$X$4,""),"")</f>
        <v/>
      </c>
      <c r="N6" s="544"/>
      <c r="O6" s="535"/>
      <c r="P6" s="125" t="str">
        <f>IF(CS29=Meta!$D$3,Meta!$Q$7,"")</f>
        <v>Eliana</v>
      </c>
      <c r="Q6" s="126">
        <f>IF(CS29=Meta!$D$3,SUMIF(EE_Jan1[Tipo],Q$1,EE_Jan1[Entregue]),"")</f>
        <v>0</v>
      </c>
      <c r="R6" s="127">
        <f>IF(CS29=Meta!$D$3,SUMIF(EE_Jan1[Tipo],R$1,EE_Jan1[Entregue]),"")</f>
        <v>0</v>
      </c>
      <c r="S6" s="127">
        <f>IF(CS29=Meta!$D$3,SUMIF(EE_Jan1[Tipo],S$1,EE_Jan1[Entregue]),"")</f>
        <v>0</v>
      </c>
      <c r="T6" s="127">
        <f>IF(CS29=Meta!$D$3,SUMIF(EE_Jan1[Tipo],T$1,EE_Jan1[Entregue]),"")</f>
        <v>0</v>
      </c>
      <c r="U6" s="127">
        <f>IF(CS29=Meta!$D$3,SUMIF(EE_Jan1[Tipo],U$1,EE_Jan1[Entregue]),"")</f>
        <v>0</v>
      </c>
      <c r="V6" s="127">
        <f>IF(CS29=Meta!$D$3,SUMIF(EE_Jan1[Tipo],V$1,EE_Jan1[Entregue]),"")</f>
        <v>0</v>
      </c>
      <c r="W6" s="127">
        <f>IF(CS29=Meta!$D$3,SUMIF(EE_Jan1[Tipo],W$1,EE_Jan1[Entregue]),"")</f>
        <v>0</v>
      </c>
      <c r="X6" s="128">
        <f>IF(CS29=Meta!$D$3,SUMIF(EE_Jan1[Tipo],X$1,EE_Jan1[Entregue]),"")</f>
        <v>0</v>
      </c>
      <c r="Y6" s="129">
        <f>IF(CS29=Meta!$D$3,SUMIF(EE_Jan1[Tipo],"",EE_Jan1[Entregue]),"")</f>
        <v>0</v>
      </c>
      <c r="Z6" s="130">
        <f>IF(CS29=Meta!$D$3,ROUND(SUM(Q6:Y6),2),"")</f>
        <v>0</v>
      </c>
      <c r="AA6" s="80"/>
      <c r="AB6" s="73"/>
      <c r="AC6" s="81" t="str">
        <f>IFERROR(VLOOKUP(AA_Jan1[[#This Row],[Emols.]],Meta!$AK$3:$AN$256,3,FALSE),"")</f>
        <v/>
      </c>
      <c r="AD6" s="325"/>
      <c r="AE6" s="324"/>
      <c r="AF6" s="493" t="str">
        <f>IF(AA_Jan1[[#This Row],[Total Nota]]="",TEXT(IFERROR(VLOOKUP(AA_Jan1[[#This Row],[Emols.]],Meta!$AK$3:$AN$256,2,FALSE)+AA_Jan1[[#This Row],[ITBI/ITCMD]],""),"#.##0,00"),"")</f>
        <v/>
      </c>
      <c r="AG6" s="482">
        <f>AA_Jan1[[#This Row],[Emols.]]-AA_Jan1[[#This Row],[Comissão]]</f>
        <v>0</v>
      </c>
      <c r="AH6" s="83">
        <f>VLOOKUP($AE$29,Meta!$Q$3:$R$16,2,FALSE)*AD6</f>
        <v>0</v>
      </c>
      <c r="AI6" s="83">
        <f>AA_Jan1[[#This Row],[Total Nota]]-AA_Jan1[[#This Row],[Comissão]]</f>
        <v>0</v>
      </c>
      <c r="AJ6" s="40"/>
      <c r="AK6" s="324"/>
      <c r="AL6" s="493" t="str">
        <f>IF(AND(AA_Jan1[[#This Row],[Total Nota]]&lt;&gt;"",AA_Jan1[[#This Row],[ITBI/ITCMD]]="",AA_Jan1[[#This Row],[Total Nota]]-IFERROR(VLOOKUP(AA_Jan1[[#This Row],[Emols.]],Meta!$AK$3:$AN$256,2,FALSE),0)&lt;&gt;0),TEXT(IFERROR(AA_Jan1[[#This Row],[Total Nota]]-VLOOKUP(AA_Jan1[[#This Row],[Emols.]],Meta!$AK$3:$AN$256,2,FALSE),""),"#.##0,00"),"")</f>
        <v/>
      </c>
      <c r="AM6" s="484"/>
      <c r="AN6" s="40"/>
      <c r="AO6" s="325"/>
      <c r="AP6" s="326"/>
      <c r="AQ6" s="85"/>
      <c r="AR6" s="86"/>
      <c r="AS6" s="87" t="str">
        <f>IFERROR(VLOOKUP(BB_Jan1[[#This Row],[Emols.]],Meta!$AK$3:$AN$256,3,FALSE),"")</f>
        <v/>
      </c>
      <c r="AT6" s="325"/>
      <c r="AU6" s="324"/>
      <c r="AV6" s="493" t="str">
        <f>IF(BB_Jan1[[#This Row],[Total Nota]]="",TEXT(IFERROR(VLOOKUP(BB_Jan1[[#This Row],[Emols.]],Meta!$AK$3:$AN$256,2,FALSE)+BB_Jan1[[#This Row],[ITBI/ITCMD]],""),"#.##0,00"),"")</f>
        <v/>
      </c>
      <c r="AW6" s="482">
        <f>BB_Jan1[[#This Row],[Emols.]]-BB_Jan1[[#This Row],[Comissão]]</f>
        <v>0</v>
      </c>
      <c r="AX6" s="83">
        <f>VLOOKUP($AU$29,Meta!$Q$3:$R$16,2,FALSE)*AT6</f>
        <v>0</v>
      </c>
      <c r="AY6" s="83">
        <f>BB_Jan1[[#This Row],[Total Nota]]-BB_Jan1[[#This Row],[Comissão]]</f>
        <v>0</v>
      </c>
      <c r="AZ6" s="41"/>
      <c r="BA6" s="324"/>
      <c r="BB6" s="493" t="str">
        <f>IF(AND(BB_Jan1[[#This Row],[Total Nota]]&lt;&gt;"",BB_Jan1[[#This Row],[ITBI/ITCMD]]="",BB_Jan1[[#This Row],[Total Nota]]-IFERROR(VLOOKUP(BB_Jan1[[#This Row],[Emols.]],Meta!$AK$3:$AN$256,2,FALSE),0)&lt;&gt;0),TEXT(IFERROR(BB_Jan1[[#This Row],[Total Nota]]-VLOOKUP(BB_Jan1[[#This Row],[Emols.]],Meta!$AK$3:$AN$256,2,FALSE),""),"#.##0,00"),"")</f>
        <v/>
      </c>
      <c r="BC6" s="484"/>
      <c r="BD6" s="41"/>
      <c r="BE6" s="325"/>
      <c r="BF6" s="326"/>
      <c r="BG6" s="89"/>
      <c r="BH6" s="86"/>
      <c r="BI6" s="90" t="str">
        <f>IFERROR(VLOOKUP(CC_Jan1[[#This Row],[Emols.]],Meta!$AK$3:$AN$256,3,FALSE),"")</f>
        <v/>
      </c>
      <c r="BJ6" s="325"/>
      <c r="BK6" s="489"/>
      <c r="BL6" s="494" t="str">
        <f>IF(CC_Jan1[[#This Row],[Total Nota]]="",TEXT(IFERROR(VLOOKUP(CC_Jan1[[#This Row],[Emols.]],Meta!$AK$3:$AN$256,2,FALSE)+CC_Jan1[[#This Row],[ITBI/ITCMD]],""),"#.##0,00"),"")</f>
        <v/>
      </c>
      <c r="BM6" s="482">
        <f>CC_Jan1[[#This Row],[Emols.]]-CC_Jan1[[#This Row],[Comissão]]</f>
        <v>0</v>
      </c>
      <c r="BN6" s="83">
        <f>VLOOKUP($BK$29,Meta!$Q$3:$R$16,2,FALSE)*BJ6</f>
        <v>0</v>
      </c>
      <c r="BO6" s="83">
        <f>CC_Jan1[[#This Row],[Total Nota]]-CC_Jan1[[#This Row],[Comissão]]</f>
        <v>0</v>
      </c>
      <c r="BP6" s="47"/>
      <c r="BQ6" s="489"/>
      <c r="BR6" s="494" t="str">
        <f>IF(AND(CC_Jan1[[#This Row],[Total Nota]]&lt;&gt;"",CC_Jan1[[#This Row],[ITBI/ITCMD]]="",CC_Jan1[[#This Row],[Total Nota]]-IFERROR(VLOOKUP(CC_Jan1[[#This Row],[Emols.]],Meta!$AK$3:$AN$256,2,FALSE),0)&lt;&gt;0),TEXT(IFERROR(CC_Jan1[[#This Row],[Total Nota]]-VLOOKUP(CC_Jan1[[#This Row],[Emols.]],Meta!$AK$3:$AN$256,2,FALSE),""),"#.##0,00"),"")</f>
        <v/>
      </c>
      <c r="BS6" s="484"/>
      <c r="BT6" s="47"/>
      <c r="BU6" s="325"/>
      <c r="BV6" s="326"/>
      <c r="BW6" s="91"/>
      <c r="BX6" s="86"/>
      <c r="BY6" s="92" t="str">
        <f>IFERROR(VLOOKUP(DD_Jan1[[#This Row],[Emols.]],Meta!$AK$3:$AN$256,3,FALSE),"")</f>
        <v/>
      </c>
      <c r="BZ6" s="325"/>
      <c r="CA6" s="324"/>
      <c r="CB6" s="493" t="str">
        <f>IF(DD_Jan1[[#This Row],[Total Nota]]="",TEXT(IFERROR(VLOOKUP(DD_Jan1[[#This Row],[Emols.]],Meta!$AK$3:$AN$256,2,FALSE)+DD_Jan1[[#This Row],[ITBI/ITCMD]],""),"#.##0,00"),"")</f>
        <v/>
      </c>
      <c r="CC6" s="482">
        <f>DD_Jan1[[#This Row],[Emols.]]-DD_Jan1[[#This Row],[Comissão]]</f>
        <v>0</v>
      </c>
      <c r="CD6" s="83">
        <f>VLOOKUP($CA$29,Meta!$Q$3:$R$16,2,FALSE)*BZ6</f>
        <v>0</v>
      </c>
      <c r="CE6" s="83">
        <f>DD_Jan1[[#This Row],[Total Nota]]-DD_Jan1[[#This Row],[Comissão]]</f>
        <v>0</v>
      </c>
      <c r="CF6" s="93"/>
      <c r="CG6" s="489"/>
      <c r="CH6" s="494" t="str">
        <f>IF(AND(DD_Jan1[[#This Row],[Total Nota]]&lt;&gt;"",DD_Jan1[[#This Row],[ITBI/ITCMD]]="",DD_Jan1[[#This Row],[Total Nota]]-IFERROR(VLOOKUP(DD_Jan1[[#This Row],[Emols.]],Meta!$AK$3:$AN$256,2,FALSE),0)&lt;&gt;0),TEXT(IFERROR(DD_Jan1[[#This Row],[Total Nota]]-VLOOKUP(DD_Jan1[[#This Row],[Emols.]],Meta!$AK$3:$AN$256,2,FALSE),""),"#.##0,00"),"")</f>
        <v/>
      </c>
      <c r="CI6" s="484"/>
      <c r="CJ6" s="93"/>
      <c r="CK6" s="325"/>
      <c r="CL6" s="326"/>
      <c r="CM6" s="94"/>
      <c r="CN6" s="86"/>
      <c r="CO6" s="95" t="str">
        <f>IFERROR(VLOOKUP(EE_Jan1[[#This Row],[Emols.]],Meta!$AK$3:$AN$256,3,FALSE),"")</f>
        <v/>
      </c>
      <c r="CP6" s="325"/>
      <c r="CQ6" s="324"/>
      <c r="CR6" s="493" t="str">
        <f>IF(EE_Jan1[[#This Row],[Total Nota]]="",TEXT(IFERROR(VLOOKUP(EE_Jan1[[#This Row],[Emols.]],Meta!$AK$3:$AN$256,2,FALSE)+EE_Jan1[[#This Row],[ITBI/ITCMD]],""),"#.##0,00"),"")</f>
        <v/>
      </c>
      <c r="CS6" s="482">
        <f>EE_Jan1[[#This Row],[Emols.]]-EE_Jan1[[#This Row],[Comissão]]</f>
        <v>0</v>
      </c>
      <c r="CT6" s="83">
        <f>VLOOKUP($CQ$29,Meta!$Q$3:$R$16,2,FALSE)*CP6</f>
        <v>0</v>
      </c>
      <c r="CU6" s="83">
        <f>EE_Jan1[[#This Row],[Total Nota]]-EE_Jan1[[#This Row],[Comissão]]</f>
        <v>0</v>
      </c>
      <c r="CV6" s="96"/>
      <c r="CW6" s="324"/>
      <c r="CX6" s="493" t="str">
        <f>IF(AND(EE_Jan1[[#This Row],[Total Nota]]&lt;&gt;"",EE_Jan1[[#This Row],[ITBI/ITCMD]]="",EE_Jan1[[#This Row],[Total Nota]]-IFERROR(VLOOKUP(EE_Jan1[[#This Row],[Emols.]],Meta!$AK$3:$AN$256,2,FALSE),0)&lt;&gt;0),TEXT(IFERROR(EE_Jan1[[#This Row],[Total Nota]]-VLOOKUP(EE_Jan1[[#This Row],[Emols.]],Meta!$AK$3:$AN$256,2,FALSE),""),"#.##0,00"),"")</f>
        <v/>
      </c>
      <c r="CY6" s="484"/>
      <c r="CZ6" s="96"/>
      <c r="DA6" s="325"/>
      <c r="DB6" s="326"/>
      <c r="DC6" s="97"/>
      <c r="DD6" s="86"/>
      <c r="DE6" s="87" t="str">
        <f>IFERROR(VLOOKUP(FF_Jan1[[#This Row],[Emols.]],Meta!$AK$3:$AN$256,3,FALSE),"")</f>
        <v/>
      </c>
      <c r="DF6" s="325"/>
      <c r="DG6" s="324"/>
      <c r="DH6" s="493" t="str">
        <f>IF(FF_Jan1[[#This Row],[Total Nota]]="",TEXT(IFERROR(VLOOKUP(FF_Jan1[[#This Row],[Emols.]],Meta!$AK$3:$AN$256,2,FALSE)+FF_Jan1[[#This Row],[ITBI/ITCMD]],""),"#.##0,00"),"")</f>
        <v/>
      </c>
      <c r="DI6" s="482">
        <f>FF_Jan1[[#This Row],[Emols.]]-FF_Jan1[[#This Row],[Comissão]]</f>
        <v>0</v>
      </c>
      <c r="DJ6" s="83">
        <f>VLOOKUP($DG$29,Meta!$Q$3:$R$16,2,FALSE)*DF6</f>
        <v>0</v>
      </c>
      <c r="DK6" s="83">
        <f>FF_Jan1[[#This Row],[Total Nota]]-FF_Jan1[[#This Row],[Comissão]]</f>
        <v>0</v>
      </c>
      <c r="DL6" s="41"/>
      <c r="DM6" s="324"/>
      <c r="DN6" s="493" t="str">
        <f>IF(AND(FF_Jan1[[#This Row],[Total Nota]]&lt;&gt;"",FF_Jan1[[#This Row],[ITBI/ITCMD]]="",FF_Jan1[[#This Row],[Total Nota]]-IFERROR(VLOOKUP(FF_Jan1[[#This Row],[Emols.]],Meta!$AK$3:$AN$256,2,FALSE),0)&lt;&gt;0),TEXT(IFERROR(FF_Jan1[[#This Row],[Total Nota]]-VLOOKUP(FF_Jan1[[#This Row],[Emols.]],Meta!$AK$3:$AN$256,2,FALSE),""),"#.##0,00"),"")</f>
        <v/>
      </c>
      <c r="DO6" s="484"/>
      <c r="DP6" s="41"/>
      <c r="DQ6" s="325"/>
      <c r="DR6" s="326"/>
      <c r="DS6" s="98"/>
      <c r="DT6" s="73"/>
      <c r="DU6" s="99" t="str">
        <f>IFERROR(VLOOKUP(GG_Jan1[[#This Row],[Emols.]],Meta!$AK$3:$AN$256,3,FALSE),"")</f>
        <v/>
      </c>
      <c r="DV6" s="330"/>
      <c r="DW6" s="332"/>
      <c r="DX6" s="493" t="str">
        <f>IF(GG_Jan1[[#This Row],[Total Nota]]="",TEXT(IFERROR(VLOOKUP(GG_Jan1[[#This Row],[Emols.]],Meta!$AK$3:$AN$256,2,FALSE)+GG_Jan1[[#This Row],[ITBI/ITCMD]],""),"#.##0,00"),"")</f>
        <v/>
      </c>
      <c r="DY6" s="485">
        <f>GG_Jan1[[#This Row],[Emols.]]-GG_Jan1[[#This Row],[Comissão]]</f>
        <v>0</v>
      </c>
      <c r="DZ6" s="101">
        <f>VLOOKUP($DW$29,Meta!$Q$3:$R$16,2,FALSE)*DV6</f>
        <v>0</v>
      </c>
      <c r="EA6" s="101">
        <f>GG_Jan1[[#This Row],[Total Nota]]-GG_Jan1[[#This Row],[Comissão]]</f>
        <v>0</v>
      </c>
      <c r="EB6" s="102"/>
      <c r="EC6" s="492"/>
      <c r="ED6" s="494" t="str">
        <f>IF(AND(GG_Jan1[[#This Row],[Total Nota]]&lt;&gt;"",GG_Jan1[[#This Row],[ITBI/ITCMD]]="",GG_Jan1[[#This Row],[Total Nota]]-IFERROR(VLOOKUP(GG_Jan1[[#This Row],[Emols.]],Meta!$AK$3:$AN$256,2,FALSE),0)&lt;&gt;0),TEXT(IFERROR(GG_Jan1[[#This Row],[Total Nota]]-VLOOKUP(GG_Jan1[[#This Row],[Emols.]],Meta!$AK$3:$AN$256,2,FALSE),""),"#.##0,00"),"")</f>
        <v/>
      </c>
      <c r="EE6" s="487"/>
      <c r="EF6" s="102"/>
      <c r="EG6" s="330"/>
      <c r="EH6" s="326"/>
      <c r="EI6" s="104"/>
      <c r="EJ6" s="73"/>
      <c r="EK6" s="99" t="str">
        <f>IFERROR(VLOOKUP(HH_Jan1[[#This Row],[Emols.]],Meta!$AK$3:$AN$256,3,FALSE),"")</f>
        <v/>
      </c>
      <c r="EL6" s="330"/>
      <c r="EM6" s="332"/>
      <c r="EN6" s="493" t="str">
        <f>IF(HH_Jan1[[#This Row],[Total Nota]]="",TEXT(IFERROR(VLOOKUP(HH_Jan1[[#This Row],[Emols.]],Meta!$AK$3:$AN$256,2,FALSE)+HH_Jan1[[#This Row],[ITBI/ITCMD]],""),"#.##0,00"),"")</f>
        <v/>
      </c>
      <c r="EO6" s="485">
        <f>HH_Jan1[[#This Row],[Emols.]]-HH_Jan1[[#This Row],[Comissão]]</f>
        <v>0</v>
      </c>
      <c r="EP6" s="101">
        <f>VLOOKUP($EM$29,Meta!$Q$3:$R$16,2,FALSE)*EL6</f>
        <v>0</v>
      </c>
      <c r="EQ6" s="101">
        <f>HH_Jan1[[#This Row],[Total Nota]]-HH_Jan1[[#This Row],[Comissão]]</f>
        <v>0</v>
      </c>
      <c r="ER6" s="102"/>
      <c r="ES6" s="332"/>
      <c r="ET6" s="493" t="str">
        <f>IF(AND(HH_Jan1[[#This Row],[Total Nota]]&lt;&gt;"",HH_Jan1[[#This Row],[ITBI/ITCMD]]="",HH_Jan1[[#This Row],[Total Nota]]-IFERROR(VLOOKUP(HH_Jan1[[#This Row],[Emols.]],Meta!$AK$3:$AN$256,2,FALSE),0)&lt;&gt;0),TEXT(IFERROR(HH_Jan1[[#This Row],[Total Nota]]-VLOOKUP(HH_Jan1[[#This Row],[Emols.]],Meta!$AK$3:$AN$256,2,FALSE),""),"#.##0,00"),"")</f>
        <v/>
      </c>
      <c r="EU6" s="487"/>
      <c r="EV6" s="102"/>
      <c r="EW6" s="330"/>
      <c r="EX6" s="326"/>
      <c r="EY6" s="104"/>
      <c r="EZ6" s="73"/>
      <c r="FA6" s="99" t="str">
        <f>IFERROR(VLOOKUP(II_Jan1[[#This Row],[Emols.]],Meta!$AK$3:$AN$256,3,FALSE),"")</f>
        <v/>
      </c>
      <c r="FB6" s="330"/>
      <c r="FC6" s="332"/>
      <c r="FD6" s="493" t="str">
        <f>IF(II_Jan1[[#This Row],[Total Nota]]="",TEXT(IFERROR(VLOOKUP(II_Jan1[[#This Row],[Emols.]],Meta!$AK$3:$AN$256,2,FALSE)+II_Jan1[[#This Row],[ITBI/ITCMD]],""),"#.##0,00"),"")</f>
        <v/>
      </c>
      <c r="FE6" s="485">
        <f>II_Jan1[[#This Row],[Emols.]]-II_Jan1[[#This Row],[Comissão]]</f>
        <v>0</v>
      </c>
      <c r="FF6" s="101">
        <f>VLOOKUP($FC$29,Meta!$Q$3:$R$16,2,FALSE)*FB6</f>
        <v>0</v>
      </c>
      <c r="FG6" s="101">
        <f>II_Jan1[[#This Row],[Total Nota]]-II_Jan1[[#This Row],[Comissão]]</f>
        <v>0</v>
      </c>
      <c r="FH6" s="102"/>
      <c r="FI6" s="332"/>
      <c r="FJ6" s="493" t="str">
        <f>IF(AND(II_Jan1[[#This Row],[Total Nota]]&lt;&gt;"",II_Jan1[[#This Row],[ITBI/ITCMD]]="",II_Jan1[[#This Row],[Total Nota]]-IFERROR(VLOOKUP(II_Jan1[[#This Row],[Emols.]],Meta!$AK$3:$AN$256,2,FALSE),0)&lt;&gt;0),TEXT(IFERROR(II_Jan1[[#This Row],[Total Nota]]-VLOOKUP(II_Jan1[[#This Row],[Emols.]],Meta!$AK$3:$AN$256,2,FALSE),""),"#.##0,00"),"")</f>
        <v/>
      </c>
      <c r="FK6" s="487"/>
      <c r="FL6" s="102"/>
      <c r="FM6" s="330"/>
      <c r="FN6" s="326"/>
      <c r="FO6" s="104"/>
      <c r="FP6" s="73"/>
      <c r="FQ6" s="99" t="str">
        <f>IFERROR(VLOOKUP(JJ_Jan1[[#This Row],[Emols.]],Meta!$AK$3:$AN$256,3,FALSE),"")</f>
        <v/>
      </c>
      <c r="FR6" s="330"/>
      <c r="FS6" s="332"/>
      <c r="FT6" s="493" t="str">
        <f>IF(JJ_Jan1[[#This Row],[Total Nota]]="",TEXT(IFERROR(VLOOKUP(JJ_Jan1[[#This Row],[Emols.]],Meta!$AK$3:$AN$256,2,FALSE)+JJ_Jan1[[#This Row],[ITBI/ITCMD]],""),"#.##0,00"),"")</f>
        <v/>
      </c>
      <c r="FU6" s="485">
        <f>JJ_Jan1[[#This Row],[Emols.]]-JJ_Jan1[[#This Row],[Comissão]]</f>
        <v>0</v>
      </c>
      <c r="FV6" s="101">
        <f>VLOOKUP($FS$29,Meta!$Q$3:$R$16,2,FALSE)*FR6</f>
        <v>0</v>
      </c>
      <c r="FW6" s="101">
        <f>JJ_Jan1[[#This Row],[Total Nota]]-JJ_Jan1[[#This Row],[Comissão]]</f>
        <v>0</v>
      </c>
      <c r="FX6" s="102"/>
      <c r="FY6" s="492"/>
      <c r="FZ6" s="494" t="str">
        <f>IF(AND(JJ_Jan1[[#This Row],[Total Nota]]&lt;&gt;"",JJ_Jan1[[#This Row],[ITBI/ITCMD]]="",JJ_Jan1[[#This Row],[Total Nota]]-IFERROR(VLOOKUP(JJ_Jan1[[#This Row],[Emols.]],Meta!$AK$3:$AN$256,2,FALSE),0)&lt;&gt;0),TEXT(IFERROR(JJ_Jan1[[#This Row],[Total Nota]]-VLOOKUP(JJ_Jan1[[#This Row],[Emols.]],Meta!$AK$3:$AN$256,2,FALSE),""),"#.##0,00"),"")</f>
        <v/>
      </c>
      <c r="GA6" s="487"/>
      <c r="GB6" s="102"/>
      <c r="GC6" s="330"/>
      <c r="GD6" s="326"/>
      <c r="GE6" s="104"/>
      <c r="GF6" s="73"/>
      <c r="GG6" s="99" t="str">
        <f>IFERROR(VLOOKUP(KK_Jan1[[#This Row],[Emols.]],Meta!$AK$3:$AN$256,3,FALSE),"")</f>
        <v/>
      </c>
      <c r="GH6" s="330"/>
      <c r="GI6" s="332"/>
      <c r="GJ6" s="493" t="str">
        <f>IF(KK_Jan1[[#This Row],[Total Nota]]="",TEXT(IFERROR(VLOOKUP(KK_Jan1[[#This Row],[Emols.]],Meta!$AK$3:$AN$256,2,FALSE)+KK_Jan1[[#This Row],[ITBI/ITCMD]],""),"#.##0,00"),"")</f>
        <v/>
      </c>
      <c r="GK6" s="485">
        <f>KK_Jan1[[#This Row],[Emols.]]-KK_Jan1[[#This Row],[Comissão]]</f>
        <v>0</v>
      </c>
      <c r="GL6" s="101">
        <f>VLOOKUP($GI$29,Meta!$Q$3:$R$16,2,FALSE)*GH6</f>
        <v>0</v>
      </c>
      <c r="GM6" s="101">
        <f>KK_Jan1[[#This Row],[Total Nota]]-KK_Jan1[[#This Row],[Comissão]]</f>
        <v>0</v>
      </c>
      <c r="GN6" s="102"/>
      <c r="GO6" s="492"/>
      <c r="GP6" s="494" t="str">
        <f>IF(AND(KK_Jan1[[#This Row],[Total Nota]]&lt;&gt;"",KK_Jan1[[#This Row],[ITBI/ITCMD]]="",KK_Jan1[[#This Row],[Total Nota]]-IFERROR(VLOOKUP(KK_Jan1[[#This Row],[Emols.]],Meta!$AK$3:$AN$256,2,FALSE),0)&lt;&gt;0),TEXT(IFERROR(KK_Jan1[[#This Row],[Total Nota]]-VLOOKUP(KK_Jan1[[#This Row],[Emols.]],Meta!$AK$3:$AN$256,2,FALSE),""),"#.##0,00"),"")</f>
        <v/>
      </c>
      <c r="GQ6" s="487"/>
      <c r="GR6" s="102"/>
      <c r="GS6" s="330"/>
      <c r="GT6" s="326"/>
      <c r="GU6" s="104"/>
      <c r="GV6" s="73"/>
      <c r="GW6" s="99" t="str">
        <f>IFERROR(VLOOKUP(LL_Jan1[[#This Row],[Emols.]],Meta!$AK$3:$AN$256,3,FALSE),"")</f>
        <v/>
      </c>
      <c r="GX6" s="330"/>
      <c r="GY6" s="492"/>
      <c r="GZ6" s="494" t="str">
        <f>IF(LL_Jan1[[#This Row],[Total Nota]]="",TEXT(IFERROR(VLOOKUP(LL_Jan1[[#This Row],[Emols.]],Meta!$AK$3:$AN$256,2,FALSE)+LL_Jan1[[#This Row],[ITBI/ITCMD]],""),"#.##0,00"),"")</f>
        <v/>
      </c>
      <c r="HA6" s="485">
        <f>LL_Jan1[[#This Row],[Emols.]]-LL_Jan1[[#This Row],[Comissão]]</f>
        <v>0</v>
      </c>
      <c r="HB6" s="101">
        <f>VLOOKUP($GY$29,Meta!$Q$3:$R$16,2,FALSE)*GX6</f>
        <v>0</v>
      </c>
      <c r="HC6" s="101">
        <f>LL_Jan1[[#This Row],[Total Nota]]-LL_Jan1[[#This Row],[Comissão]]</f>
        <v>0</v>
      </c>
      <c r="HD6" s="102"/>
      <c r="HE6" s="492"/>
      <c r="HF6" s="494" t="str">
        <f>IF(AND(LL_Jan1[[#This Row],[Total Nota]]&lt;&gt;"",LL_Jan1[[#This Row],[ITBI/ITCMD]]="",LL_Jan1[[#This Row],[Total Nota]]-IFERROR(VLOOKUP(LL_Jan1[[#This Row],[Emols.]],Meta!$AK$3:$AN$256,2,FALSE),0)&lt;&gt;0),TEXT(IFERROR(LL_Jan1[[#This Row],[Total Nota]]-VLOOKUP(LL_Jan1[[#This Row],[Emols.]],Meta!$AK$3:$AN$256,2,FALSE),""),"#.##0,00"),"")</f>
        <v/>
      </c>
      <c r="HG6" s="487"/>
      <c r="HH6" s="102"/>
      <c r="HI6" s="330"/>
      <c r="HJ6" s="326"/>
      <c r="HK6" s="104"/>
      <c r="HL6" s="105"/>
    </row>
    <row r="7" spans="1:220" ht="14.45" customHeight="1" x14ac:dyDescent="0.25">
      <c r="A7" s="580"/>
      <c r="B7" s="558" t="str">
        <f>IF(DI29=Meta!$D$3,Meta!$Q$8,"")</f>
        <v>Fernando</v>
      </c>
      <c r="C7" s="574" t="s">
        <v>252</v>
      </c>
      <c r="D7" s="567">
        <f>IF(AND(C7="S",B7&lt;&gt;""),FF_Jan1[[#Totals],[Total Nota]],"")</f>
        <v>0</v>
      </c>
      <c r="E7" s="568" t="s">
        <v>250</v>
      </c>
      <c r="F7" s="567">
        <f>IF(AND(C7="S",B7&lt;&gt;""),FF_Jan1[[#Totals],[Comissão]],"")</f>
        <v>0</v>
      </c>
      <c r="G7" s="568" t="s">
        <v>244</v>
      </c>
      <c r="H7" s="567">
        <f t="shared" si="0"/>
        <v>0</v>
      </c>
      <c r="I7" s="569" t="s">
        <v>248</v>
      </c>
      <c r="J7" s="553" t="str">
        <f t="shared" si="1"/>
        <v/>
      </c>
      <c r="K7" s="586" t="str">
        <f>IF(J7&lt;&gt;"",Meta!$X$3,IF(Q22&lt;0,Q22,""))</f>
        <v/>
      </c>
      <c r="L7" s="586"/>
      <c r="M7" s="498" t="str">
        <f>IF(K7&lt;&gt;"",IF(K7&lt;0,Meta!$X$4,""),"")</f>
        <v/>
      </c>
      <c r="N7" s="544"/>
      <c r="O7" s="535"/>
      <c r="P7" s="131" t="str">
        <f>IF(DI29=Meta!$D$3,Meta!$Q$8,"")</f>
        <v>Fernando</v>
      </c>
      <c r="Q7" s="108">
        <f>IF(DI29=Meta!$D$3,SUMIF(FF_Jan1[Tipo],Q$1,FF_Jan1[Entregue]),"")</f>
        <v>0</v>
      </c>
      <c r="R7" s="109">
        <f>IF(DI29=Meta!$D$3,SUMIF(FF_Jan1[Tipo],R$1,FF_Jan1[Entregue]),"")</f>
        <v>0</v>
      </c>
      <c r="S7" s="109">
        <f>IF(DI29=Meta!$D$3,SUMIF(FF_Jan1[Tipo],S$1,FF_Jan1[Entregue]),"")</f>
        <v>0</v>
      </c>
      <c r="T7" s="109">
        <f>IF(DI29=Meta!$D$3,SUMIF(FF_Jan1[Tipo],T$1,FF_Jan1[Entregue]),"")</f>
        <v>0</v>
      </c>
      <c r="U7" s="109">
        <f>IF(DI29=Meta!$D$3,SUMIF(FF_Jan1[Tipo],U$1,FF_Jan1[Entregue]),"")</f>
        <v>0</v>
      </c>
      <c r="V7" s="109">
        <f>IF(DI29=Meta!$D$3,SUMIF(FF_Jan1[Tipo],V$1,FF_Jan1[Entregue]),"")</f>
        <v>0</v>
      </c>
      <c r="W7" s="109">
        <f>IF(DI29=Meta!$D$3,SUMIF(FF_Jan1[Tipo],W$1,FF_Jan1[Entregue]),"")</f>
        <v>0</v>
      </c>
      <c r="X7" s="110">
        <f>IF(DI29=Meta!$D$3,SUMIF(FF_Jan1[Tipo],X$1,FF_Jan1[Entregue]),"")</f>
        <v>0</v>
      </c>
      <c r="Y7" s="111">
        <f>IF(DI29=Meta!$D$3,SUMIF(FF_Jan1[Tipo],"",FF_Jan1[Entregue]),"")</f>
        <v>0</v>
      </c>
      <c r="Z7" s="112">
        <f>IF(DI29=Meta!$D$3,ROUND(SUM(Q7:Y7),2),"")</f>
        <v>0</v>
      </c>
      <c r="AA7" s="80"/>
      <c r="AB7" s="73"/>
      <c r="AC7" s="81" t="str">
        <f>IFERROR(VLOOKUP(AA_Jan1[[#This Row],[Emols.]],Meta!$AK$3:$AN$256,3,FALSE),"")</f>
        <v/>
      </c>
      <c r="AD7" s="325"/>
      <c r="AE7" s="324"/>
      <c r="AF7" s="494" t="str">
        <f>IF(AA_Jan1[[#This Row],[Total Nota]]="",TEXT(IFERROR(VLOOKUP(AA_Jan1[[#This Row],[Emols.]],Meta!$AK$3:$AN$256,2,FALSE)+AA_Jan1[[#This Row],[ITBI/ITCMD]],""),"#.##0,00"),"")</f>
        <v/>
      </c>
      <c r="AG7" s="482">
        <f>AA_Jan1[[#This Row],[Emols.]]-AA_Jan1[[#This Row],[Comissão]]</f>
        <v>0</v>
      </c>
      <c r="AH7" s="83">
        <f>VLOOKUP($AE$29,Meta!$Q$3:$R$16,2,FALSE)*AD7</f>
        <v>0</v>
      </c>
      <c r="AI7" s="83">
        <f>AA_Jan1[[#This Row],[Total Nota]]-AA_Jan1[[#This Row],[Comissão]]</f>
        <v>0</v>
      </c>
      <c r="AJ7" s="40"/>
      <c r="AK7" s="324"/>
      <c r="AL7" s="494" t="str">
        <f>IF(AND(AA_Jan1[[#This Row],[Total Nota]]&lt;&gt;"",AA_Jan1[[#This Row],[ITBI/ITCMD]]="",AA_Jan1[[#This Row],[Total Nota]]-IFERROR(VLOOKUP(AA_Jan1[[#This Row],[Emols.]],Meta!$AK$3:$AN$256,2,FALSE),0)&lt;&gt;0),TEXT(IFERROR(AA_Jan1[[#This Row],[Total Nota]]-VLOOKUP(AA_Jan1[[#This Row],[Emols.]],Meta!$AK$3:$AN$256,2,FALSE),""),"#.##0,00"),"")</f>
        <v/>
      </c>
      <c r="AM7" s="484"/>
      <c r="AN7" s="40"/>
      <c r="AO7" s="325"/>
      <c r="AP7" s="326"/>
      <c r="AQ7" s="85"/>
      <c r="AR7" s="86"/>
      <c r="AS7" s="87" t="str">
        <f>IFERROR(VLOOKUP(BB_Jan1[[#This Row],[Emols.]],Meta!$AK$3:$AN$256,3,FALSE),"")</f>
        <v/>
      </c>
      <c r="AT7" s="325"/>
      <c r="AU7" s="324"/>
      <c r="AV7" s="494" t="str">
        <f>IF(BB_Jan1[[#This Row],[Total Nota]]="",TEXT(IFERROR(VLOOKUP(BB_Jan1[[#This Row],[Emols.]],Meta!$AK$3:$AN$256,2,FALSE)+BB_Jan1[[#This Row],[ITBI/ITCMD]],""),"#.##0,00"),"")</f>
        <v/>
      </c>
      <c r="AW7" s="482">
        <f>BB_Jan1[[#This Row],[Emols.]]-BB_Jan1[[#This Row],[Comissão]]</f>
        <v>0</v>
      </c>
      <c r="AX7" s="83">
        <f>VLOOKUP($AU$29,Meta!$Q$3:$R$16,2,FALSE)*AT7</f>
        <v>0</v>
      </c>
      <c r="AY7" s="83">
        <f>BB_Jan1[[#This Row],[Total Nota]]-BB_Jan1[[#This Row],[Comissão]]</f>
        <v>0</v>
      </c>
      <c r="AZ7" s="41"/>
      <c r="BA7" s="324"/>
      <c r="BB7" s="494" t="str">
        <f>IF(AND(BB_Jan1[[#This Row],[Total Nota]]&lt;&gt;"",BB_Jan1[[#This Row],[ITBI/ITCMD]]="",BB_Jan1[[#This Row],[Total Nota]]-IFERROR(VLOOKUP(BB_Jan1[[#This Row],[Emols.]],Meta!$AK$3:$AN$256,2,FALSE),0)&lt;&gt;0),TEXT(IFERROR(BB_Jan1[[#This Row],[Total Nota]]-VLOOKUP(BB_Jan1[[#This Row],[Emols.]],Meta!$AK$3:$AN$256,2,FALSE),""),"#.##0,00"),"")</f>
        <v/>
      </c>
      <c r="BC7" s="484"/>
      <c r="BD7" s="41"/>
      <c r="BE7" s="325"/>
      <c r="BF7" s="326"/>
      <c r="BG7" s="89"/>
      <c r="BH7" s="86"/>
      <c r="BI7" s="90" t="str">
        <f>IFERROR(VLOOKUP(CC_Jan1[[#This Row],[Emols.]],Meta!$AK$3:$AN$256,3,FALSE),"")</f>
        <v/>
      </c>
      <c r="BJ7" s="325"/>
      <c r="BK7" s="324"/>
      <c r="BL7" s="494" t="str">
        <f>IF(CC_Jan1[[#This Row],[Total Nota]]="",TEXT(IFERROR(VLOOKUP(CC_Jan1[[#This Row],[Emols.]],Meta!$AK$3:$AN$256,2,FALSE)+CC_Jan1[[#This Row],[ITBI/ITCMD]],""),"#.##0,00"),"")</f>
        <v/>
      </c>
      <c r="BM7" s="482">
        <f>CC_Jan1[[#This Row],[Emols.]]-CC_Jan1[[#This Row],[Comissão]]</f>
        <v>0</v>
      </c>
      <c r="BN7" s="83">
        <f>VLOOKUP($BK$29,Meta!$Q$3:$R$16,2,FALSE)*BJ7</f>
        <v>0</v>
      </c>
      <c r="BO7" s="83">
        <f>CC_Jan1[[#This Row],[Total Nota]]-CC_Jan1[[#This Row],[Comissão]]</f>
        <v>0</v>
      </c>
      <c r="BP7" s="47"/>
      <c r="BQ7" s="324"/>
      <c r="BR7" s="494" t="str">
        <f>IF(AND(CC_Jan1[[#This Row],[Total Nota]]&lt;&gt;"",CC_Jan1[[#This Row],[ITBI/ITCMD]]="",CC_Jan1[[#This Row],[Total Nota]]-IFERROR(VLOOKUP(CC_Jan1[[#This Row],[Emols.]],Meta!$AK$3:$AN$256,2,FALSE),0)&lt;&gt;0),TEXT(IFERROR(CC_Jan1[[#This Row],[Total Nota]]-VLOOKUP(CC_Jan1[[#This Row],[Emols.]],Meta!$AK$3:$AN$256,2,FALSE),""),"#.##0,00"),"")</f>
        <v/>
      </c>
      <c r="BS7" s="484"/>
      <c r="BT7" s="47"/>
      <c r="BU7" s="325"/>
      <c r="BV7" s="326"/>
      <c r="BW7" s="91"/>
      <c r="BX7" s="86"/>
      <c r="BY7" s="92" t="str">
        <f>IFERROR(VLOOKUP(DD_Jan1[[#This Row],[Emols.]],Meta!$AK$3:$AN$256,3,FALSE),"")</f>
        <v/>
      </c>
      <c r="BZ7" s="325"/>
      <c r="CA7" s="324"/>
      <c r="CB7" s="494" t="str">
        <f>IF(DD_Jan1[[#This Row],[Total Nota]]="",TEXT(IFERROR(VLOOKUP(DD_Jan1[[#This Row],[Emols.]],Meta!$AK$3:$AN$256,2,FALSE)+DD_Jan1[[#This Row],[ITBI/ITCMD]],""),"#.##0,00"),"")</f>
        <v/>
      </c>
      <c r="CC7" s="482">
        <f>DD_Jan1[[#This Row],[Emols.]]-DD_Jan1[[#This Row],[Comissão]]</f>
        <v>0</v>
      </c>
      <c r="CD7" s="83">
        <f>VLOOKUP($CA$29,Meta!$Q$3:$R$16,2,FALSE)*BZ7</f>
        <v>0</v>
      </c>
      <c r="CE7" s="83">
        <f>DD_Jan1[[#This Row],[Total Nota]]-DD_Jan1[[#This Row],[Comissão]]</f>
        <v>0</v>
      </c>
      <c r="CF7" s="93"/>
      <c r="CG7" s="324"/>
      <c r="CH7" s="494" t="str">
        <f>IF(AND(DD_Jan1[[#This Row],[Total Nota]]&lt;&gt;"",DD_Jan1[[#This Row],[ITBI/ITCMD]]="",DD_Jan1[[#This Row],[Total Nota]]-IFERROR(VLOOKUP(DD_Jan1[[#This Row],[Emols.]],Meta!$AK$3:$AN$256,2,FALSE),0)&lt;&gt;0),TEXT(IFERROR(DD_Jan1[[#This Row],[Total Nota]]-VLOOKUP(DD_Jan1[[#This Row],[Emols.]],Meta!$AK$3:$AN$256,2,FALSE),""),"#.##0,00"),"")</f>
        <v/>
      </c>
      <c r="CI7" s="484"/>
      <c r="CJ7" s="93"/>
      <c r="CK7" s="325"/>
      <c r="CL7" s="326"/>
      <c r="CM7" s="94"/>
      <c r="CN7" s="86"/>
      <c r="CO7" s="95" t="str">
        <f>IFERROR(VLOOKUP(EE_Jan1[[#This Row],[Emols.]],Meta!$AK$3:$AN$256,3,FALSE),"")</f>
        <v/>
      </c>
      <c r="CP7" s="325"/>
      <c r="CQ7" s="324"/>
      <c r="CR7" s="494" t="str">
        <f>IF(EE_Jan1[[#This Row],[Total Nota]]="",TEXT(IFERROR(VLOOKUP(EE_Jan1[[#This Row],[Emols.]],Meta!$AK$3:$AN$256,2,FALSE)+EE_Jan1[[#This Row],[ITBI/ITCMD]],""),"#.##0,00"),"")</f>
        <v/>
      </c>
      <c r="CS7" s="482">
        <f>EE_Jan1[[#This Row],[Emols.]]-EE_Jan1[[#This Row],[Comissão]]</f>
        <v>0</v>
      </c>
      <c r="CT7" s="83">
        <f>VLOOKUP($CQ$29,Meta!$Q$3:$R$16,2,FALSE)*CP7</f>
        <v>0</v>
      </c>
      <c r="CU7" s="83">
        <f>EE_Jan1[[#This Row],[Total Nota]]-EE_Jan1[[#This Row],[Comissão]]</f>
        <v>0</v>
      </c>
      <c r="CV7" s="96"/>
      <c r="CW7" s="324"/>
      <c r="CX7" s="494" t="str">
        <f>IF(AND(EE_Jan1[[#This Row],[Total Nota]]&lt;&gt;"",EE_Jan1[[#This Row],[ITBI/ITCMD]]="",EE_Jan1[[#This Row],[Total Nota]]-IFERROR(VLOOKUP(EE_Jan1[[#This Row],[Emols.]],Meta!$AK$3:$AN$256,2,FALSE),0)&lt;&gt;0),TEXT(IFERROR(EE_Jan1[[#This Row],[Total Nota]]-VLOOKUP(EE_Jan1[[#This Row],[Emols.]],Meta!$AK$3:$AN$256,2,FALSE),""),"#.##0,00"),"")</f>
        <v/>
      </c>
      <c r="CY7" s="484"/>
      <c r="CZ7" s="96"/>
      <c r="DA7" s="325"/>
      <c r="DB7" s="326"/>
      <c r="DC7" s="97"/>
      <c r="DD7" s="86"/>
      <c r="DE7" s="87" t="str">
        <f>IFERROR(VLOOKUP(FF_Jan1[[#This Row],[Emols.]],Meta!$AK$3:$AN$256,3,FALSE),"")</f>
        <v/>
      </c>
      <c r="DF7" s="325"/>
      <c r="DG7" s="324"/>
      <c r="DH7" s="494" t="str">
        <f>IF(FF_Jan1[[#This Row],[Total Nota]]="",TEXT(IFERROR(VLOOKUP(FF_Jan1[[#This Row],[Emols.]],Meta!$AK$3:$AN$256,2,FALSE)+FF_Jan1[[#This Row],[ITBI/ITCMD]],""),"#.##0,00"),"")</f>
        <v/>
      </c>
      <c r="DI7" s="482">
        <f>FF_Jan1[[#This Row],[Emols.]]-FF_Jan1[[#This Row],[Comissão]]</f>
        <v>0</v>
      </c>
      <c r="DJ7" s="83">
        <f>VLOOKUP($DG$29,Meta!$Q$3:$R$16,2,FALSE)*DF7</f>
        <v>0</v>
      </c>
      <c r="DK7" s="83">
        <f>FF_Jan1[[#This Row],[Total Nota]]-FF_Jan1[[#This Row],[Comissão]]</f>
        <v>0</v>
      </c>
      <c r="DL7" s="41"/>
      <c r="DM7" s="324"/>
      <c r="DN7" s="494" t="str">
        <f>IF(AND(FF_Jan1[[#This Row],[Total Nota]]&lt;&gt;"",FF_Jan1[[#This Row],[ITBI/ITCMD]]="",FF_Jan1[[#This Row],[Total Nota]]-IFERROR(VLOOKUP(FF_Jan1[[#This Row],[Emols.]],Meta!$AK$3:$AN$256,2,FALSE),0)&lt;&gt;0),TEXT(IFERROR(FF_Jan1[[#This Row],[Total Nota]]-VLOOKUP(FF_Jan1[[#This Row],[Emols.]],Meta!$AK$3:$AN$256,2,FALSE),""),"#.##0,00"),"")</f>
        <v/>
      </c>
      <c r="DO7" s="484"/>
      <c r="DP7" s="41"/>
      <c r="DQ7" s="325"/>
      <c r="DR7" s="326"/>
      <c r="DS7" s="98"/>
      <c r="DT7" s="73"/>
      <c r="DU7" s="99" t="str">
        <f>IFERROR(VLOOKUP(GG_Jan1[[#This Row],[Emols.]],Meta!$AK$3:$AN$256,3,FALSE),"")</f>
        <v/>
      </c>
      <c r="DV7" s="330"/>
      <c r="DW7" s="332"/>
      <c r="DX7" s="494" t="str">
        <f>IF(GG_Jan1[[#This Row],[Total Nota]]="",TEXT(IFERROR(VLOOKUP(GG_Jan1[[#This Row],[Emols.]],Meta!$AK$3:$AN$256,2,FALSE)+GG_Jan1[[#This Row],[ITBI/ITCMD]],""),"#.##0,00"),"")</f>
        <v/>
      </c>
      <c r="DY7" s="485">
        <f>GG_Jan1[[#This Row],[Emols.]]-GG_Jan1[[#This Row],[Comissão]]</f>
        <v>0</v>
      </c>
      <c r="DZ7" s="101">
        <f>VLOOKUP($DW$29,Meta!$Q$3:$R$16,2,FALSE)*DV7</f>
        <v>0</v>
      </c>
      <c r="EA7" s="101">
        <f>GG_Jan1[[#This Row],[Total Nota]]-GG_Jan1[[#This Row],[Comissão]]</f>
        <v>0</v>
      </c>
      <c r="EB7" s="102"/>
      <c r="EC7" s="332"/>
      <c r="ED7" s="494" t="str">
        <f>IF(AND(GG_Jan1[[#This Row],[Total Nota]]&lt;&gt;"",GG_Jan1[[#This Row],[ITBI/ITCMD]]="",GG_Jan1[[#This Row],[Total Nota]]-IFERROR(VLOOKUP(GG_Jan1[[#This Row],[Emols.]],Meta!$AK$3:$AN$256,2,FALSE),0)&lt;&gt;0),TEXT(IFERROR(GG_Jan1[[#This Row],[Total Nota]]-VLOOKUP(GG_Jan1[[#This Row],[Emols.]],Meta!$AK$3:$AN$256,2,FALSE),""),"#.##0,00"),"")</f>
        <v/>
      </c>
      <c r="EE7" s="487"/>
      <c r="EF7" s="102"/>
      <c r="EG7" s="330"/>
      <c r="EH7" s="326"/>
      <c r="EI7" s="104"/>
      <c r="EJ7" s="73"/>
      <c r="EK7" s="99" t="str">
        <f>IFERROR(VLOOKUP(HH_Jan1[[#This Row],[Emols.]],Meta!$AK$3:$AN$256,3,FALSE),"")</f>
        <v/>
      </c>
      <c r="EL7" s="330"/>
      <c r="EM7" s="332"/>
      <c r="EN7" s="494" t="str">
        <f>IF(HH_Jan1[[#This Row],[Total Nota]]="",TEXT(IFERROR(VLOOKUP(HH_Jan1[[#This Row],[Emols.]],Meta!$AK$3:$AN$256,2,FALSE)+HH_Jan1[[#This Row],[ITBI/ITCMD]],""),"#.##0,00"),"")</f>
        <v/>
      </c>
      <c r="EO7" s="485">
        <f>HH_Jan1[[#This Row],[Emols.]]-HH_Jan1[[#This Row],[Comissão]]</f>
        <v>0</v>
      </c>
      <c r="EP7" s="101">
        <f>VLOOKUP($EM$29,Meta!$Q$3:$R$16,2,FALSE)*EL7</f>
        <v>0</v>
      </c>
      <c r="EQ7" s="101">
        <f>HH_Jan1[[#This Row],[Total Nota]]-HH_Jan1[[#This Row],[Comissão]]</f>
        <v>0</v>
      </c>
      <c r="ER7" s="132"/>
      <c r="ES7" s="332"/>
      <c r="ET7" s="494" t="str">
        <f>IF(AND(HH_Jan1[[#This Row],[Total Nota]]&lt;&gt;"",HH_Jan1[[#This Row],[ITBI/ITCMD]]="",HH_Jan1[[#This Row],[Total Nota]]-IFERROR(VLOOKUP(HH_Jan1[[#This Row],[Emols.]],Meta!$AK$3:$AN$256,2,FALSE),0)&lt;&gt;0),TEXT(IFERROR(HH_Jan1[[#This Row],[Total Nota]]-VLOOKUP(HH_Jan1[[#This Row],[Emols.]],Meta!$AK$3:$AN$256,2,FALSE),""),"#.##0,00"),"")</f>
        <v/>
      </c>
      <c r="EU7" s="487"/>
      <c r="EV7" s="132"/>
      <c r="EW7" s="330"/>
      <c r="EX7" s="326"/>
      <c r="EY7" s="104"/>
      <c r="EZ7" s="73"/>
      <c r="FA7" s="99" t="str">
        <f>IFERROR(VLOOKUP(II_Jan1[[#This Row],[Emols.]],Meta!$AK$3:$AN$256,3,FALSE),"")</f>
        <v/>
      </c>
      <c r="FB7" s="330"/>
      <c r="FC7" s="332"/>
      <c r="FD7" s="494" t="str">
        <f>IF(II_Jan1[[#This Row],[Total Nota]]="",TEXT(IFERROR(VLOOKUP(II_Jan1[[#This Row],[Emols.]],Meta!$AK$3:$AN$256,2,FALSE)+II_Jan1[[#This Row],[ITBI/ITCMD]],""),"#.##0,00"),"")</f>
        <v/>
      </c>
      <c r="FE7" s="485">
        <f>II_Jan1[[#This Row],[Emols.]]-II_Jan1[[#This Row],[Comissão]]</f>
        <v>0</v>
      </c>
      <c r="FF7" s="101">
        <f>VLOOKUP($FC$29,Meta!$Q$3:$R$16,2,FALSE)*FB7</f>
        <v>0</v>
      </c>
      <c r="FG7" s="101">
        <f>II_Jan1[[#This Row],[Total Nota]]-II_Jan1[[#This Row],[Comissão]]</f>
        <v>0</v>
      </c>
      <c r="FH7" s="132"/>
      <c r="FI7" s="332"/>
      <c r="FJ7" s="494" t="str">
        <f>IF(AND(II_Jan1[[#This Row],[Total Nota]]&lt;&gt;"",II_Jan1[[#This Row],[ITBI/ITCMD]]="",II_Jan1[[#This Row],[Total Nota]]-IFERROR(VLOOKUP(II_Jan1[[#This Row],[Emols.]],Meta!$AK$3:$AN$256,2,FALSE),0)&lt;&gt;0),TEXT(IFERROR(II_Jan1[[#This Row],[Total Nota]]-VLOOKUP(II_Jan1[[#This Row],[Emols.]],Meta!$AK$3:$AN$256,2,FALSE),""),"#.##0,00"),"")</f>
        <v/>
      </c>
      <c r="FK7" s="487"/>
      <c r="FL7" s="102"/>
      <c r="FM7" s="330"/>
      <c r="FN7" s="326"/>
      <c r="FO7" s="104"/>
      <c r="FP7" s="73"/>
      <c r="FQ7" s="99" t="str">
        <f>IFERROR(VLOOKUP(JJ_Jan1[[#This Row],[Emols.]],Meta!$AK$3:$AN$256,3,FALSE),"")</f>
        <v/>
      </c>
      <c r="FR7" s="330"/>
      <c r="FS7" s="332"/>
      <c r="FT7" s="494" t="str">
        <f>IF(JJ_Jan1[[#This Row],[Total Nota]]="",TEXT(IFERROR(VLOOKUP(JJ_Jan1[[#This Row],[Emols.]],Meta!$AK$3:$AN$256,2,FALSE)+JJ_Jan1[[#This Row],[ITBI/ITCMD]],""),"#.##0,00"),"")</f>
        <v/>
      </c>
      <c r="FU7" s="485">
        <f>JJ_Jan1[[#This Row],[Emols.]]-JJ_Jan1[[#This Row],[Comissão]]</f>
        <v>0</v>
      </c>
      <c r="FV7" s="101">
        <f>VLOOKUP($FS$29,Meta!$Q$3:$R$16,2,FALSE)*FR7</f>
        <v>0</v>
      </c>
      <c r="FW7" s="101">
        <f>JJ_Jan1[[#This Row],[Total Nota]]-JJ_Jan1[[#This Row],[Comissão]]</f>
        <v>0</v>
      </c>
      <c r="FX7" s="102"/>
      <c r="FY7" s="332"/>
      <c r="FZ7" s="494" t="str">
        <f>IF(AND(JJ_Jan1[[#This Row],[Total Nota]]&lt;&gt;"",JJ_Jan1[[#This Row],[ITBI/ITCMD]]="",JJ_Jan1[[#This Row],[Total Nota]]-IFERROR(VLOOKUP(JJ_Jan1[[#This Row],[Emols.]],Meta!$AK$3:$AN$256,2,FALSE),0)&lt;&gt;0),TEXT(IFERROR(JJ_Jan1[[#This Row],[Total Nota]]-VLOOKUP(JJ_Jan1[[#This Row],[Emols.]],Meta!$AK$3:$AN$256,2,FALSE),""),"#.##0,00"),"")</f>
        <v/>
      </c>
      <c r="GA7" s="487"/>
      <c r="GB7" s="102"/>
      <c r="GC7" s="330"/>
      <c r="GD7" s="326"/>
      <c r="GE7" s="104"/>
      <c r="GF7" s="73"/>
      <c r="GG7" s="99" t="str">
        <f>IFERROR(VLOOKUP(KK_Jan1[[#This Row],[Emols.]],Meta!$AK$3:$AN$256,3,FALSE),"")</f>
        <v/>
      </c>
      <c r="GH7" s="330"/>
      <c r="GI7" s="332"/>
      <c r="GJ7" s="494" t="str">
        <f>IF(KK_Jan1[[#This Row],[Total Nota]]="",TEXT(IFERROR(VLOOKUP(KK_Jan1[[#This Row],[Emols.]],Meta!$AK$3:$AN$256,2,FALSE)+KK_Jan1[[#This Row],[ITBI/ITCMD]],""),"#.##0,00"),"")</f>
        <v/>
      </c>
      <c r="GK7" s="485">
        <f>KK_Jan1[[#This Row],[Emols.]]-KK_Jan1[[#This Row],[Comissão]]</f>
        <v>0</v>
      </c>
      <c r="GL7" s="101">
        <f>VLOOKUP($GI$29,Meta!$Q$3:$R$16,2,FALSE)*GH7</f>
        <v>0</v>
      </c>
      <c r="GM7" s="101">
        <f>KK_Jan1[[#This Row],[Total Nota]]-KK_Jan1[[#This Row],[Comissão]]</f>
        <v>0</v>
      </c>
      <c r="GN7" s="102"/>
      <c r="GO7" s="332"/>
      <c r="GP7" s="494" t="str">
        <f>IF(AND(KK_Jan1[[#This Row],[Total Nota]]&lt;&gt;"",KK_Jan1[[#This Row],[ITBI/ITCMD]]="",KK_Jan1[[#This Row],[Total Nota]]-IFERROR(VLOOKUP(KK_Jan1[[#This Row],[Emols.]],Meta!$AK$3:$AN$256,2,FALSE),0)&lt;&gt;0),TEXT(IFERROR(KK_Jan1[[#This Row],[Total Nota]]-VLOOKUP(KK_Jan1[[#This Row],[Emols.]],Meta!$AK$3:$AN$256,2,FALSE),""),"#.##0,00"),"")</f>
        <v/>
      </c>
      <c r="GQ7" s="487"/>
      <c r="GR7" s="102"/>
      <c r="GS7" s="330"/>
      <c r="GT7" s="326"/>
      <c r="GU7" s="104"/>
      <c r="GV7" s="73"/>
      <c r="GW7" s="99" t="str">
        <f>IFERROR(VLOOKUP(LL_Jan1[[#This Row],[Emols.]],Meta!$AK$3:$AN$256,3,FALSE),"")</f>
        <v/>
      </c>
      <c r="GX7" s="330"/>
      <c r="GY7" s="332"/>
      <c r="GZ7" s="494" t="str">
        <f>IF(LL_Jan1[[#This Row],[Total Nota]]="",TEXT(IFERROR(VLOOKUP(LL_Jan1[[#This Row],[Emols.]],Meta!$AK$3:$AN$256,2,FALSE)+LL_Jan1[[#This Row],[ITBI/ITCMD]],""),"#.##0,00"),"")</f>
        <v/>
      </c>
      <c r="HA7" s="485">
        <f>LL_Jan1[[#This Row],[Emols.]]-LL_Jan1[[#This Row],[Comissão]]</f>
        <v>0</v>
      </c>
      <c r="HB7" s="101">
        <f>VLOOKUP($GY$29,Meta!$Q$3:$R$16,2,FALSE)*GX7</f>
        <v>0</v>
      </c>
      <c r="HC7" s="101">
        <f>LL_Jan1[[#This Row],[Total Nota]]-LL_Jan1[[#This Row],[Comissão]]</f>
        <v>0</v>
      </c>
      <c r="HD7" s="102"/>
      <c r="HE7" s="332"/>
      <c r="HF7" s="494" t="str">
        <f>IF(AND(LL_Jan1[[#This Row],[Total Nota]]&lt;&gt;"",LL_Jan1[[#This Row],[ITBI/ITCMD]]="",LL_Jan1[[#This Row],[Total Nota]]-IFERROR(VLOOKUP(LL_Jan1[[#This Row],[Emols.]],Meta!$AK$3:$AN$256,2,FALSE),0)&lt;&gt;0),TEXT(IFERROR(LL_Jan1[[#This Row],[Total Nota]]-VLOOKUP(LL_Jan1[[#This Row],[Emols.]],Meta!$AK$3:$AN$256,2,FALSE),""),"#.##0,00"),"")</f>
        <v/>
      </c>
      <c r="HG7" s="487"/>
      <c r="HH7" s="102"/>
      <c r="HI7" s="330"/>
      <c r="HJ7" s="326"/>
      <c r="HK7" s="104"/>
      <c r="HL7" s="105"/>
    </row>
    <row r="8" spans="1:220" ht="14.45" customHeight="1" x14ac:dyDescent="0.25">
      <c r="A8" s="580"/>
      <c r="B8" s="541" t="str">
        <f>IF(DY29=Meta!$D$3,Meta!$Q$9,"")</f>
        <v>Gabriel</v>
      </c>
      <c r="C8" s="574" t="s">
        <v>252</v>
      </c>
      <c r="D8" s="570">
        <f>IF(AND(C8="S",B8&lt;&gt;""),GG_Jan1[[#Totals],[Total Nota]],"")</f>
        <v>0</v>
      </c>
      <c r="E8" s="571" t="s">
        <v>250</v>
      </c>
      <c r="F8" s="570">
        <f>IF(AND(C8="S",B8&lt;&gt;""),GG_Jan1[[#Totals],[Comissão]],"")</f>
        <v>0</v>
      </c>
      <c r="G8" s="571" t="s">
        <v>244</v>
      </c>
      <c r="H8" s="570">
        <f t="shared" si="0"/>
        <v>0</v>
      </c>
      <c r="I8" s="572" t="s">
        <v>248</v>
      </c>
      <c r="J8" s="554" t="str">
        <f t="shared" si="1"/>
        <v/>
      </c>
      <c r="K8" s="587" t="str">
        <f>IF(J8&lt;&gt;"",Meta!$X$3,IF(Q23&lt;0,Q23,""))</f>
        <v/>
      </c>
      <c r="L8" s="588"/>
      <c r="M8" s="499" t="str">
        <f>IF(K8&lt;&gt;"",IF(K8&lt;0,Meta!$X$4,""),"")</f>
        <v/>
      </c>
      <c r="N8" s="544"/>
      <c r="O8" s="535"/>
      <c r="P8" s="133" t="str">
        <f>IF(DY29=Meta!$D$3,Meta!$Q$9,"")</f>
        <v>Gabriel</v>
      </c>
      <c r="Q8" s="134">
        <f>IF(DY29=Meta!$D$3,SUMIF(GG_Jan1[Tipo],Q$1,GG_Jan1[Entregue]),"")</f>
        <v>0</v>
      </c>
      <c r="R8" s="135">
        <f>IF(DY29=Meta!$D$3,SUMIF(GG_Jan1[Tipo],R$1,GG_Jan1[Entregue]),"")</f>
        <v>0</v>
      </c>
      <c r="S8" s="135">
        <f>IF(DY29=Meta!$D$3,SUMIF(GG_Jan1[Tipo],S$1,GG_Jan1[Entregue]),"")</f>
        <v>0</v>
      </c>
      <c r="T8" s="135">
        <f>IF(DY29=Meta!$D$3,SUMIF(GG_Jan1[Tipo],T$1,GG_Jan1[Entregue]),"")</f>
        <v>0</v>
      </c>
      <c r="U8" s="135">
        <f>IF(DY29=Meta!$D$3,SUMIF(GG_Jan1[Tipo],U$1,GG_Jan1[Entregue]),"")</f>
        <v>0</v>
      </c>
      <c r="V8" s="135">
        <f>IF(DY29=Meta!$D$3,SUMIF(GG_Jan1[Tipo],V$1,GG_Jan1[Entregue]),"")</f>
        <v>0</v>
      </c>
      <c r="W8" s="135">
        <f>IF(DY29=Meta!$D$3,SUMIF(GG_Jan1[Tipo],W$1,GG_Jan1[Entregue]),"")</f>
        <v>0</v>
      </c>
      <c r="X8" s="136">
        <f>IF(DY29=Meta!$D$3,SUMIF(GG_Jan1[Tipo],X$1,GG_Jan1[Entregue]),"")</f>
        <v>0</v>
      </c>
      <c r="Y8" s="137">
        <f>IF(DY29=Meta!$D$3,SUMIF(GG_Jan1[Tipo],"",GG_Jan1[Entregue]),"")</f>
        <v>0</v>
      </c>
      <c r="Z8" s="138">
        <f>IF(DY29=Meta!$D$3,ROUND(SUM(Q8:Y8),2),"")</f>
        <v>0</v>
      </c>
      <c r="AA8" s="80"/>
      <c r="AB8" s="73"/>
      <c r="AC8" s="81" t="str">
        <f>IFERROR(VLOOKUP(AA_Jan1[[#This Row],[Emols.]],Meta!$AK$3:$AN$256,3,FALSE),"")</f>
        <v/>
      </c>
      <c r="AD8" s="325"/>
      <c r="AE8" s="324"/>
      <c r="AF8" s="493" t="str">
        <f>IF(AA_Jan1[[#This Row],[Total Nota]]="",TEXT(IFERROR(VLOOKUP(AA_Jan1[[#This Row],[Emols.]],Meta!$AK$3:$AN$256,2,FALSE)+AA_Jan1[[#This Row],[ITBI/ITCMD]],""),"#.##0,00"),"")</f>
        <v/>
      </c>
      <c r="AG8" s="482">
        <f>AA_Jan1[[#This Row],[Emols.]]-AA_Jan1[[#This Row],[Comissão]]</f>
        <v>0</v>
      </c>
      <c r="AH8" s="83">
        <f>VLOOKUP($AE$29,Meta!$Q$3:$R$16,2,FALSE)*AD8</f>
        <v>0</v>
      </c>
      <c r="AI8" s="83">
        <f>AA_Jan1[[#This Row],[Total Nota]]-AA_Jan1[[#This Row],[Comissão]]</f>
        <v>0</v>
      </c>
      <c r="AJ8" s="42"/>
      <c r="AK8" s="324"/>
      <c r="AL8" s="493" t="str">
        <f>IF(AND(AA_Jan1[[#This Row],[Total Nota]]&lt;&gt;"",AA_Jan1[[#This Row],[ITBI/ITCMD]]="",AA_Jan1[[#This Row],[Total Nota]]-IFERROR(VLOOKUP(AA_Jan1[[#This Row],[Emols.]],Meta!$AK$3:$AN$256,2,FALSE),0)&lt;&gt;0),TEXT(IFERROR(AA_Jan1[[#This Row],[Total Nota]]-VLOOKUP(AA_Jan1[[#This Row],[Emols.]],Meta!$AK$3:$AN$256,2,FALSE),""),"#.##0,00"),"")</f>
        <v/>
      </c>
      <c r="AM8" s="484"/>
      <c r="AN8" s="40"/>
      <c r="AO8" s="325"/>
      <c r="AP8" s="326"/>
      <c r="AQ8" s="85"/>
      <c r="AR8" s="86"/>
      <c r="AS8" s="87" t="str">
        <f>IFERROR(VLOOKUP(BB_Jan1[[#This Row],[Emols.]],Meta!$AK$3:$AN$256,3,FALSE),"")</f>
        <v/>
      </c>
      <c r="AT8" s="325"/>
      <c r="AU8" s="324"/>
      <c r="AV8" s="493" t="str">
        <f>IF(BB_Jan1[[#This Row],[Total Nota]]="",TEXT(IFERROR(VLOOKUP(BB_Jan1[[#This Row],[Emols.]],Meta!$AK$3:$AN$256,2,FALSE)+BB_Jan1[[#This Row],[ITBI/ITCMD]],""),"#.##0,00"),"")</f>
        <v/>
      </c>
      <c r="AW8" s="482">
        <f>BB_Jan1[[#This Row],[Emols.]]-BB_Jan1[[#This Row],[Comissão]]</f>
        <v>0</v>
      </c>
      <c r="AX8" s="83">
        <f>VLOOKUP($AU$29,Meta!$Q$3:$R$16,2,FALSE)*AT8</f>
        <v>0</v>
      </c>
      <c r="AY8" s="83">
        <f>BB_Jan1[[#This Row],[Total Nota]]-BB_Jan1[[#This Row],[Comissão]]</f>
        <v>0</v>
      </c>
      <c r="AZ8" s="43"/>
      <c r="BA8" s="489"/>
      <c r="BB8" s="494" t="str">
        <f>IF(AND(BB_Jan1[[#This Row],[Total Nota]]&lt;&gt;"",BB_Jan1[[#This Row],[ITBI/ITCMD]]="",BB_Jan1[[#This Row],[Total Nota]]-IFERROR(VLOOKUP(BB_Jan1[[#This Row],[Emols.]],Meta!$AK$3:$AN$256,2,FALSE),0)&lt;&gt;0),TEXT(IFERROR(BB_Jan1[[#This Row],[Total Nota]]-VLOOKUP(BB_Jan1[[#This Row],[Emols.]],Meta!$AK$3:$AN$256,2,FALSE),""),"#.##0,00"),"")</f>
        <v/>
      </c>
      <c r="BC8" s="484"/>
      <c r="BD8" s="41"/>
      <c r="BE8" s="325"/>
      <c r="BF8" s="326"/>
      <c r="BG8" s="89"/>
      <c r="BH8" s="86"/>
      <c r="BI8" s="90" t="str">
        <f>IFERROR(VLOOKUP(CC_Jan1[[#This Row],[Emols.]],Meta!$AK$3:$AN$256,3,FALSE),"")</f>
        <v/>
      </c>
      <c r="BJ8" s="325"/>
      <c r="BK8" s="324"/>
      <c r="BL8" s="493" t="str">
        <f>IF(CC_Jan1[[#This Row],[Total Nota]]="",TEXT(IFERROR(VLOOKUP(CC_Jan1[[#This Row],[Emols.]],Meta!$AK$3:$AN$256,2,FALSE)+CC_Jan1[[#This Row],[ITBI/ITCMD]],""),"#.##0,00"),"")</f>
        <v/>
      </c>
      <c r="BM8" s="482">
        <f>CC_Jan1[[#This Row],[Emols.]]-CC_Jan1[[#This Row],[Comissão]]</f>
        <v>0</v>
      </c>
      <c r="BN8" s="83">
        <f>VLOOKUP($BK$29,Meta!$Q$3:$R$16,2,FALSE)*BJ8</f>
        <v>0</v>
      </c>
      <c r="BO8" s="83">
        <f>CC_Jan1[[#This Row],[Total Nota]]-CC_Jan1[[#This Row],[Comissão]]</f>
        <v>0</v>
      </c>
      <c r="BP8" s="44"/>
      <c r="BQ8" s="489"/>
      <c r="BR8" s="494" t="str">
        <f>IF(AND(CC_Jan1[[#This Row],[Total Nota]]&lt;&gt;"",CC_Jan1[[#This Row],[ITBI/ITCMD]]="",CC_Jan1[[#This Row],[Total Nota]]-IFERROR(VLOOKUP(CC_Jan1[[#This Row],[Emols.]],Meta!$AK$3:$AN$256,2,FALSE),0)&lt;&gt;0),TEXT(IFERROR(CC_Jan1[[#This Row],[Total Nota]]-VLOOKUP(CC_Jan1[[#This Row],[Emols.]],Meta!$AK$3:$AN$256,2,FALSE),""),"#.##0,00"),"")</f>
        <v/>
      </c>
      <c r="BS8" s="484"/>
      <c r="BT8" s="47"/>
      <c r="BU8" s="325"/>
      <c r="BV8" s="326"/>
      <c r="BW8" s="91"/>
      <c r="BX8" s="86"/>
      <c r="BY8" s="92" t="str">
        <f>IFERROR(VLOOKUP(DD_Jan1[[#This Row],[Emols.]],Meta!$AK$3:$AN$256,3,FALSE),"")</f>
        <v/>
      </c>
      <c r="BZ8" s="325"/>
      <c r="CA8" s="324"/>
      <c r="CB8" s="493" t="str">
        <f>IF(DD_Jan1[[#This Row],[Total Nota]]="",TEXT(IFERROR(VLOOKUP(DD_Jan1[[#This Row],[Emols.]],Meta!$AK$3:$AN$256,2,FALSE)+DD_Jan1[[#This Row],[ITBI/ITCMD]],""),"#.##0,00"),"")</f>
        <v/>
      </c>
      <c r="CC8" s="482">
        <f>DD_Jan1[[#This Row],[Emols.]]-DD_Jan1[[#This Row],[Comissão]]</f>
        <v>0</v>
      </c>
      <c r="CD8" s="83">
        <f>VLOOKUP($CA$29,Meta!$Q$3:$R$16,2,FALSE)*BZ8</f>
        <v>0</v>
      </c>
      <c r="CE8" s="83">
        <f>DD_Jan1[[#This Row],[Total Nota]]-DD_Jan1[[#This Row],[Comissão]]</f>
        <v>0</v>
      </c>
      <c r="CF8" s="139"/>
      <c r="CG8" s="324"/>
      <c r="CH8" s="493" t="str">
        <f>IF(AND(DD_Jan1[[#This Row],[Total Nota]]&lt;&gt;"",DD_Jan1[[#This Row],[ITBI/ITCMD]]="",DD_Jan1[[#This Row],[Total Nota]]-IFERROR(VLOOKUP(DD_Jan1[[#This Row],[Emols.]],Meta!$AK$3:$AN$256,2,FALSE),0)&lt;&gt;0),TEXT(IFERROR(DD_Jan1[[#This Row],[Total Nota]]-VLOOKUP(DD_Jan1[[#This Row],[Emols.]],Meta!$AK$3:$AN$256,2,FALSE),""),"#.##0,00"),"")</f>
        <v/>
      </c>
      <c r="CI8" s="484"/>
      <c r="CJ8" s="93"/>
      <c r="CK8" s="325"/>
      <c r="CL8" s="326"/>
      <c r="CM8" s="94"/>
      <c r="CN8" s="86"/>
      <c r="CO8" s="95" t="str">
        <f>IFERROR(VLOOKUP(EE_Jan1[[#This Row],[Emols.]],Meta!$AK$3:$AN$256,3,FALSE),"")</f>
        <v/>
      </c>
      <c r="CP8" s="325"/>
      <c r="CQ8" s="324"/>
      <c r="CR8" s="493" t="str">
        <f>IF(EE_Jan1[[#This Row],[Total Nota]]="",TEXT(IFERROR(VLOOKUP(EE_Jan1[[#This Row],[Emols.]],Meta!$AK$3:$AN$256,2,FALSE)+EE_Jan1[[#This Row],[ITBI/ITCMD]],""),"#.##0,00"),"")</f>
        <v/>
      </c>
      <c r="CS8" s="482">
        <f>EE_Jan1[[#This Row],[Emols.]]-EE_Jan1[[#This Row],[Comissão]]</f>
        <v>0</v>
      </c>
      <c r="CT8" s="83">
        <f>VLOOKUP($CQ$29,Meta!$Q$3:$R$16,2,FALSE)*CP8</f>
        <v>0</v>
      </c>
      <c r="CU8" s="83">
        <f>EE_Jan1[[#This Row],[Total Nota]]-EE_Jan1[[#This Row],[Comissão]]</f>
        <v>0</v>
      </c>
      <c r="CV8" s="140"/>
      <c r="CW8" s="324"/>
      <c r="CX8" s="493" t="str">
        <f>IF(AND(EE_Jan1[[#This Row],[Total Nota]]&lt;&gt;"",EE_Jan1[[#This Row],[ITBI/ITCMD]]="",EE_Jan1[[#This Row],[Total Nota]]-IFERROR(VLOOKUP(EE_Jan1[[#This Row],[Emols.]],Meta!$AK$3:$AN$256,2,FALSE),0)&lt;&gt;0),TEXT(IFERROR(EE_Jan1[[#This Row],[Total Nota]]-VLOOKUP(EE_Jan1[[#This Row],[Emols.]],Meta!$AK$3:$AN$256,2,FALSE),""),"#.##0,00"),"")</f>
        <v/>
      </c>
      <c r="CY8" s="484"/>
      <c r="CZ8" s="96"/>
      <c r="DA8" s="325"/>
      <c r="DB8" s="326"/>
      <c r="DC8" s="97"/>
      <c r="DD8" s="86"/>
      <c r="DE8" s="87" t="str">
        <f>IFERROR(VLOOKUP(FF_Jan1[[#This Row],[Emols.]],Meta!$AK$3:$AN$256,3,FALSE),"")</f>
        <v/>
      </c>
      <c r="DF8" s="325"/>
      <c r="DG8" s="324"/>
      <c r="DH8" s="493" t="str">
        <f>IF(FF_Jan1[[#This Row],[Total Nota]]="",TEXT(IFERROR(VLOOKUP(FF_Jan1[[#This Row],[Emols.]],Meta!$AK$3:$AN$256,2,FALSE)+FF_Jan1[[#This Row],[ITBI/ITCMD]],""),"#.##0,00"),"")</f>
        <v/>
      </c>
      <c r="DI8" s="482">
        <f>FF_Jan1[[#This Row],[Emols.]]-FF_Jan1[[#This Row],[Comissão]]</f>
        <v>0</v>
      </c>
      <c r="DJ8" s="83">
        <f>VLOOKUP($DG$29,Meta!$Q$3:$R$16,2,FALSE)*DF8</f>
        <v>0</v>
      </c>
      <c r="DK8" s="83">
        <f>FF_Jan1[[#This Row],[Total Nota]]-FF_Jan1[[#This Row],[Comissão]]</f>
        <v>0</v>
      </c>
      <c r="DL8" s="43"/>
      <c r="DM8" s="324"/>
      <c r="DN8" s="493" t="str">
        <f>IF(AND(FF_Jan1[[#This Row],[Total Nota]]&lt;&gt;"",FF_Jan1[[#This Row],[ITBI/ITCMD]]="",FF_Jan1[[#This Row],[Total Nota]]-IFERROR(VLOOKUP(FF_Jan1[[#This Row],[Emols.]],Meta!$AK$3:$AN$256,2,FALSE),0)&lt;&gt;0),TEXT(IFERROR(FF_Jan1[[#This Row],[Total Nota]]-VLOOKUP(FF_Jan1[[#This Row],[Emols.]],Meta!$AK$3:$AN$256,2,FALSE),""),"#.##0,00"),"")</f>
        <v/>
      </c>
      <c r="DO8" s="484"/>
      <c r="DP8" s="43"/>
      <c r="DQ8" s="325"/>
      <c r="DR8" s="326"/>
      <c r="DS8" s="98"/>
      <c r="DT8" s="73"/>
      <c r="DU8" s="99" t="str">
        <f>IFERROR(VLOOKUP(GG_Jan1[[#This Row],[Emols.]],Meta!$AK$3:$AN$256,3,FALSE),"")</f>
        <v/>
      </c>
      <c r="DV8" s="330"/>
      <c r="DW8" s="332"/>
      <c r="DX8" s="493" t="str">
        <f>IF(GG_Jan1[[#This Row],[Total Nota]]="",TEXT(IFERROR(VLOOKUP(GG_Jan1[[#This Row],[Emols.]],Meta!$AK$3:$AN$256,2,FALSE)+GG_Jan1[[#This Row],[ITBI/ITCMD]],""),"#.##0,00"),"")</f>
        <v/>
      </c>
      <c r="DY8" s="485">
        <f>GG_Jan1[[#This Row],[Emols.]]-GG_Jan1[[#This Row],[Comissão]]</f>
        <v>0</v>
      </c>
      <c r="DZ8" s="101">
        <f>VLOOKUP($DW$29,Meta!$Q$3:$R$16,2,FALSE)*DV8</f>
        <v>0</v>
      </c>
      <c r="EA8" s="101">
        <f>GG_Jan1[[#This Row],[Total Nota]]-GG_Jan1[[#This Row],[Comissão]]</f>
        <v>0</v>
      </c>
      <c r="EB8" s="132"/>
      <c r="EC8" s="332"/>
      <c r="ED8" s="493" t="str">
        <f>IF(AND(GG_Jan1[[#This Row],[Total Nota]]&lt;&gt;"",GG_Jan1[[#This Row],[ITBI/ITCMD]]="",GG_Jan1[[#This Row],[Total Nota]]-IFERROR(VLOOKUP(GG_Jan1[[#This Row],[Emols.]],Meta!$AK$3:$AN$256,2,FALSE),0)&lt;&gt;0),TEXT(IFERROR(GG_Jan1[[#This Row],[Total Nota]]-VLOOKUP(GG_Jan1[[#This Row],[Emols.]],Meta!$AK$3:$AN$256,2,FALSE),""),"#.##0,00"),"")</f>
        <v/>
      </c>
      <c r="EE8" s="487"/>
      <c r="EF8" s="102"/>
      <c r="EG8" s="330"/>
      <c r="EH8" s="326"/>
      <c r="EI8" s="104"/>
      <c r="EJ8" s="73"/>
      <c r="EK8" s="99" t="str">
        <f>IFERROR(VLOOKUP(HH_Jan1[[#This Row],[Emols.]],Meta!$AK$3:$AN$256,3,FALSE),"")</f>
        <v/>
      </c>
      <c r="EL8" s="330"/>
      <c r="EM8" s="492"/>
      <c r="EN8" s="494" t="str">
        <f>IF(HH_Jan1[[#This Row],[Total Nota]]="",TEXT(IFERROR(VLOOKUP(HH_Jan1[[#This Row],[Emols.]],Meta!$AK$3:$AN$256,2,FALSE)+HH_Jan1[[#This Row],[ITBI/ITCMD]],""),"#.##0,00"),"")</f>
        <v/>
      </c>
      <c r="EO8" s="485">
        <f>HH_Jan1[[#This Row],[Emols.]]-HH_Jan1[[#This Row],[Comissão]]</f>
        <v>0</v>
      </c>
      <c r="EP8" s="101">
        <f>VLOOKUP($EM$29,Meta!$Q$3:$R$16,2,FALSE)*EL8</f>
        <v>0</v>
      </c>
      <c r="EQ8" s="101">
        <f>HH_Jan1[[#This Row],[Total Nota]]-HH_Jan1[[#This Row],[Comissão]]</f>
        <v>0</v>
      </c>
      <c r="ER8" s="132"/>
      <c r="ES8" s="332"/>
      <c r="ET8" s="493" t="str">
        <f>IF(AND(HH_Jan1[[#This Row],[Total Nota]]&lt;&gt;"",HH_Jan1[[#This Row],[ITBI/ITCMD]]="",HH_Jan1[[#This Row],[Total Nota]]-IFERROR(VLOOKUP(HH_Jan1[[#This Row],[Emols.]],Meta!$AK$3:$AN$256,2,FALSE),0)&lt;&gt;0),TEXT(IFERROR(HH_Jan1[[#This Row],[Total Nota]]-VLOOKUP(HH_Jan1[[#This Row],[Emols.]],Meta!$AK$3:$AN$256,2,FALSE),""),"#.##0,00"),"")</f>
        <v/>
      </c>
      <c r="EU8" s="487"/>
      <c r="EV8" s="132"/>
      <c r="EW8" s="330"/>
      <c r="EX8" s="326"/>
      <c r="EY8" s="104"/>
      <c r="EZ8" s="73"/>
      <c r="FA8" s="99" t="str">
        <f>IFERROR(VLOOKUP(II_Jan1[[#This Row],[Emols.]],Meta!$AK$3:$AN$256,3,FALSE),"")</f>
        <v/>
      </c>
      <c r="FB8" s="330"/>
      <c r="FC8" s="492"/>
      <c r="FD8" s="494" t="str">
        <f>IF(II_Jan1[[#This Row],[Total Nota]]="",TEXT(IFERROR(VLOOKUP(II_Jan1[[#This Row],[Emols.]],Meta!$AK$3:$AN$256,2,FALSE)+II_Jan1[[#This Row],[ITBI/ITCMD]],""),"#.##0,00"),"")</f>
        <v/>
      </c>
      <c r="FE8" s="485">
        <f>II_Jan1[[#This Row],[Emols.]]-II_Jan1[[#This Row],[Comissão]]</f>
        <v>0</v>
      </c>
      <c r="FF8" s="101">
        <f>VLOOKUP($FC$29,Meta!$Q$3:$R$16,2,FALSE)*FB8</f>
        <v>0</v>
      </c>
      <c r="FG8" s="101">
        <f>II_Jan1[[#This Row],[Total Nota]]-II_Jan1[[#This Row],[Comissão]]</f>
        <v>0</v>
      </c>
      <c r="FH8" s="132"/>
      <c r="FI8" s="492"/>
      <c r="FJ8" s="494" t="str">
        <f>IF(AND(II_Jan1[[#This Row],[Total Nota]]&lt;&gt;"",II_Jan1[[#This Row],[ITBI/ITCMD]]="",II_Jan1[[#This Row],[Total Nota]]-IFERROR(VLOOKUP(II_Jan1[[#This Row],[Emols.]],Meta!$AK$3:$AN$256,2,FALSE),0)&lt;&gt;0),TEXT(IFERROR(II_Jan1[[#This Row],[Total Nota]]-VLOOKUP(II_Jan1[[#This Row],[Emols.]],Meta!$AK$3:$AN$256,2,FALSE),""),"#.##0,00"),"")</f>
        <v/>
      </c>
      <c r="FK8" s="487"/>
      <c r="FL8" s="102"/>
      <c r="FM8" s="330"/>
      <c r="FN8" s="326"/>
      <c r="FO8" s="104"/>
      <c r="FP8" s="73"/>
      <c r="FQ8" s="99" t="str">
        <f>IFERROR(VLOOKUP(JJ_Jan1[[#This Row],[Emols.]],Meta!$AK$3:$AN$256,3,FALSE),"")</f>
        <v/>
      </c>
      <c r="FR8" s="330"/>
      <c r="FS8" s="332"/>
      <c r="FT8" s="493" t="str">
        <f>IF(JJ_Jan1[[#This Row],[Total Nota]]="",TEXT(IFERROR(VLOOKUP(JJ_Jan1[[#This Row],[Emols.]],Meta!$AK$3:$AN$256,2,FALSE)+JJ_Jan1[[#This Row],[ITBI/ITCMD]],""),"#.##0,00"),"")</f>
        <v/>
      </c>
      <c r="FU8" s="485">
        <f>JJ_Jan1[[#This Row],[Emols.]]-JJ_Jan1[[#This Row],[Comissão]]</f>
        <v>0</v>
      </c>
      <c r="FV8" s="101">
        <f>VLOOKUP($FS$29,Meta!$Q$3:$R$16,2,FALSE)*FR8</f>
        <v>0</v>
      </c>
      <c r="FW8" s="101">
        <f>JJ_Jan1[[#This Row],[Total Nota]]-JJ_Jan1[[#This Row],[Comissão]]</f>
        <v>0</v>
      </c>
      <c r="FX8" s="132"/>
      <c r="FY8" s="492"/>
      <c r="FZ8" s="494" t="str">
        <f>IF(AND(JJ_Jan1[[#This Row],[Total Nota]]&lt;&gt;"",JJ_Jan1[[#This Row],[ITBI/ITCMD]]="",JJ_Jan1[[#This Row],[Total Nota]]-IFERROR(VLOOKUP(JJ_Jan1[[#This Row],[Emols.]],Meta!$AK$3:$AN$256,2,FALSE),0)&lt;&gt;0),TEXT(IFERROR(JJ_Jan1[[#This Row],[Total Nota]]-VLOOKUP(JJ_Jan1[[#This Row],[Emols.]],Meta!$AK$3:$AN$256,2,FALSE),""),"#.##0,00"),"")</f>
        <v/>
      </c>
      <c r="GA8" s="487"/>
      <c r="GB8" s="132"/>
      <c r="GC8" s="330"/>
      <c r="GD8" s="326"/>
      <c r="GE8" s="104"/>
      <c r="GF8" s="73"/>
      <c r="GG8" s="99" t="str">
        <f>IFERROR(VLOOKUP(KK_Jan1[[#This Row],[Emols.]],Meta!$AK$3:$AN$256,3,FALSE),"")</f>
        <v/>
      </c>
      <c r="GH8" s="330"/>
      <c r="GI8" s="492"/>
      <c r="GJ8" s="494" t="str">
        <f>IF(KK_Jan1[[#This Row],[Total Nota]]="",TEXT(IFERROR(VLOOKUP(KK_Jan1[[#This Row],[Emols.]],Meta!$AK$3:$AN$256,2,FALSE)+KK_Jan1[[#This Row],[ITBI/ITCMD]],""),"#.##0,00"),"")</f>
        <v/>
      </c>
      <c r="GK8" s="485">
        <f>KK_Jan1[[#This Row],[Emols.]]-KK_Jan1[[#This Row],[Comissão]]</f>
        <v>0</v>
      </c>
      <c r="GL8" s="101">
        <f>VLOOKUP($GI$29,Meta!$Q$3:$R$16,2,FALSE)*GH8</f>
        <v>0</v>
      </c>
      <c r="GM8" s="101">
        <f>KK_Jan1[[#This Row],[Total Nota]]-KK_Jan1[[#This Row],[Comissão]]</f>
        <v>0</v>
      </c>
      <c r="GN8" s="132"/>
      <c r="GO8" s="492"/>
      <c r="GP8" s="494" t="str">
        <f>IF(AND(KK_Jan1[[#This Row],[Total Nota]]&lt;&gt;"",KK_Jan1[[#This Row],[ITBI/ITCMD]]="",KK_Jan1[[#This Row],[Total Nota]]-IFERROR(VLOOKUP(KK_Jan1[[#This Row],[Emols.]],Meta!$AK$3:$AN$256,2,FALSE),0)&lt;&gt;0),TEXT(IFERROR(KK_Jan1[[#This Row],[Total Nota]]-VLOOKUP(KK_Jan1[[#This Row],[Emols.]],Meta!$AK$3:$AN$256,2,FALSE),""),"#.##0,00"),"")</f>
        <v/>
      </c>
      <c r="GQ8" s="487"/>
      <c r="GR8" s="132"/>
      <c r="GS8" s="330"/>
      <c r="GT8" s="326"/>
      <c r="GU8" s="104"/>
      <c r="GV8" s="73"/>
      <c r="GW8" s="99" t="str">
        <f>IFERROR(VLOOKUP(LL_Jan1[[#This Row],[Emols.]],Meta!$AK$3:$AN$256,3,FALSE),"")</f>
        <v/>
      </c>
      <c r="GX8" s="330"/>
      <c r="GY8" s="332"/>
      <c r="GZ8" s="493" t="str">
        <f>IF(LL_Jan1[[#This Row],[Total Nota]]="",TEXT(IFERROR(VLOOKUP(LL_Jan1[[#This Row],[Emols.]],Meta!$AK$3:$AN$256,2,FALSE)+LL_Jan1[[#This Row],[ITBI/ITCMD]],""),"#.##0,00"),"")</f>
        <v/>
      </c>
      <c r="HA8" s="485">
        <f>LL_Jan1[[#This Row],[Emols.]]-LL_Jan1[[#This Row],[Comissão]]</f>
        <v>0</v>
      </c>
      <c r="HB8" s="101">
        <f>VLOOKUP($GY$29,Meta!$Q$3:$R$16,2,FALSE)*GX8</f>
        <v>0</v>
      </c>
      <c r="HC8" s="101">
        <f>LL_Jan1[[#This Row],[Total Nota]]-LL_Jan1[[#This Row],[Comissão]]</f>
        <v>0</v>
      </c>
      <c r="HD8" s="132"/>
      <c r="HE8" s="332"/>
      <c r="HF8" s="493" t="str">
        <f>IF(AND(LL_Jan1[[#This Row],[Total Nota]]&lt;&gt;"",LL_Jan1[[#This Row],[ITBI/ITCMD]]="",LL_Jan1[[#This Row],[Total Nota]]-IFERROR(VLOOKUP(LL_Jan1[[#This Row],[Emols.]],Meta!$AK$3:$AN$256,2,FALSE),0)&lt;&gt;0),TEXT(IFERROR(LL_Jan1[[#This Row],[Total Nota]]-VLOOKUP(LL_Jan1[[#This Row],[Emols.]],Meta!$AK$3:$AN$256,2,FALSE),""),"#.##0,00"),"")</f>
        <v/>
      </c>
      <c r="HG8" s="487"/>
      <c r="HH8" s="132"/>
      <c r="HI8" s="330"/>
      <c r="HJ8" s="326"/>
      <c r="HK8" s="104"/>
      <c r="HL8" s="105"/>
    </row>
    <row r="9" spans="1:220" ht="14.45" customHeight="1" x14ac:dyDescent="0.25">
      <c r="A9" s="580"/>
      <c r="B9" s="559" t="str">
        <f>IF(EO29=Meta!$D$3,Meta!$Q$10,"")</f>
        <v>Henrique</v>
      </c>
      <c r="C9" s="574" t="s">
        <v>252</v>
      </c>
      <c r="D9" s="567">
        <f>IF(AND(C9="S",B9&lt;&gt;""),HH_Jan1[[#Totals],[Total Nota]],"")</f>
        <v>0</v>
      </c>
      <c r="E9" s="568" t="s">
        <v>250</v>
      </c>
      <c r="F9" s="567">
        <f>IF(AND(C9="S",B9&lt;&gt;""),HH_Jan1[[#Totals],[Comissão]],"")</f>
        <v>0</v>
      </c>
      <c r="G9" s="568" t="s">
        <v>244</v>
      </c>
      <c r="H9" s="567">
        <f t="shared" si="0"/>
        <v>0</v>
      </c>
      <c r="I9" s="569" t="s">
        <v>248</v>
      </c>
      <c r="J9" s="553" t="str">
        <f t="shared" si="1"/>
        <v/>
      </c>
      <c r="K9" s="586" t="str">
        <f>IF(J9&lt;&gt;"",Meta!$X$3,IF(Q24&lt;0,Q24,""))</f>
        <v/>
      </c>
      <c r="L9" s="586"/>
      <c r="M9" s="498" t="str">
        <f>IF(K9&lt;&gt;"",IF(K9&lt;0,Meta!$X$4,""),"")</f>
        <v/>
      </c>
      <c r="N9" s="544"/>
      <c r="O9" s="535"/>
      <c r="P9" s="133" t="str">
        <f>IF(EO29=Meta!$D$3,Meta!$Q$10,"")</f>
        <v>Henrique</v>
      </c>
      <c r="Q9" s="141">
        <f>IF(EO29=Meta!$D$3,SUMIF(HH_Jan1[Tipo],Q$1,HH_Jan1[Entregue]),"")</f>
        <v>0</v>
      </c>
      <c r="R9" s="142">
        <f>IF(EO29=Meta!$D$3,SUMIF(HH_Jan1[Tipo],R$1,HH_Jan1[Entregue]),"")</f>
        <v>0</v>
      </c>
      <c r="S9" s="142">
        <f>IF(EO29=Meta!$D$3,SUMIF(HH_Jan1[Tipo],S$1,HH_Jan1[Entregue]),"")</f>
        <v>0</v>
      </c>
      <c r="T9" s="142">
        <f>IF(EO29=Meta!$D$3,SUMIF(HH_Jan1[Tipo],T$1,HH_Jan1[Entregue]),"")</f>
        <v>0</v>
      </c>
      <c r="U9" s="142">
        <f>IF(EO29=Meta!$D$3,SUMIF(HH_Jan1[Tipo],U$1,HH_Jan1[Entregue]),"")</f>
        <v>0</v>
      </c>
      <c r="V9" s="142">
        <f>IF(EO29=Meta!$D$3,SUMIF(HH_Jan1[Tipo],V$1,HH_Jan1[Entregue]),"")</f>
        <v>0</v>
      </c>
      <c r="W9" s="142">
        <f>IF(EO29=Meta!$D$3,SUMIF(HH_Jan1[Tipo],W$1,HH_Jan1[Entregue]),"")</f>
        <v>0</v>
      </c>
      <c r="X9" s="143">
        <f>IF(EO29=Meta!$D$3,SUMIF(HH_Jan1[Tipo],X$1,HH_Jan1[Entregue]),"")</f>
        <v>0</v>
      </c>
      <c r="Y9" s="144">
        <f>IF(EO29=Meta!$D$3,SUMIF(HH_Jan1[Tipo],"",HH_Jan1[Entregue]),"")</f>
        <v>0</v>
      </c>
      <c r="Z9" s="145">
        <f>IF(EO29=Meta!$D$3,ROUND(SUM(Q9:Y9),2),"")</f>
        <v>0</v>
      </c>
      <c r="AA9" s="80"/>
      <c r="AB9" s="73"/>
      <c r="AC9" s="81" t="str">
        <f>IFERROR(VLOOKUP(AA_Jan1[[#This Row],[Emols.]],Meta!$AK$3:$AN$256,3,FALSE),"")</f>
        <v/>
      </c>
      <c r="AD9" s="325"/>
      <c r="AE9" s="324"/>
      <c r="AF9" s="494" t="str">
        <f>IF(AA_Jan1[[#This Row],[Total Nota]]="",TEXT(IFERROR(VLOOKUP(AA_Jan1[[#This Row],[Emols.]],Meta!$AK$3:$AN$256,2,FALSE)+AA_Jan1[[#This Row],[ITBI/ITCMD]],""),"#.##0,00"),"")</f>
        <v/>
      </c>
      <c r="AG9" s="482">
        <f>AA_Jan1[[#This Row],[Emols.]]-AA_Jan1[[#This Row],[Comissão]]</f>
        <v>0</v>
      </c>
      <c r="AH9" s="83">
        <f>VLOOKUP($AE$29,Meta!$Q$3:$R$16,2,FALSE)*AD9</f>
        <v>0</v>
      </c>
      <c r="AI9" s="83">
        <f>AA_Jan1[[#This Row],[Total Nota]]-AA_Jan1[[#This Row],[Comissão]]</f>
        <v>0</v>
      </c>
      <c r="AJ9" s="42"/>
      <c r="AK9" s="324"/>
      <c r="AL9" s="494" t="str">
        <f>IF(AND(AA_Jan1[[#This Row],[Total Nota]]&lt;&gt;"",AA_Jan1[[#This Row],[ITBI/ITCMD]]="",AA_Jan1[[#This Row],[Total Nota]]-IFERROR(VLOOKUP(AA_Jan1[[#This Row],[Emols.]],Meta!$AK$3:$AN$256,2,FALSE),0)&lt;&gt;0),TEXT(IFERROR(AA_Jan1[[#This Row],[Total Nota]]-VLOOKUP(AA_Jan1[[#This Row],[Emols.]],Meta!$AK$3:$AN$256,2,FALSE),""),"#.##0,00"),"")</f>
        <v/>
      </c>
      <c r="AM9" s="484"/>
      <c r="AN9" s="40"/>
      <c r="AO9" s="325"/>
      <c r="AP9" s="326"/>
      <c r="AQ9" s="85"/>
      <c r="AR9" s="86"/>
      <c r="AS9" s="87" t="str">
        <f>IFERROR(VLOOKUP(BB_Jan1[[#This Row],[Emols.]],Meta!$AK$3:$AN$256,3,FALSE),"")</f>
        <v/>
      </c>
      <c r="AT9" s="325"/>
      <c r="AU9" s="324"/>
      <c r="AV9" s="494" t="str">
        <f>IF(BB_Jan1[[#This Row],[Total Nota]]="",TEXT(IFERROR(VLOOKUP(BB_Jan1[[#This Row],[Emols.]],Meta!$AK$3:$AN$256,2,FALSE)+BB_Jan1[[#This Row],[ITBI/ITCMD]],""),"#.##0,00"),"")</f>
        <v/>
      </c>
      <c r="AW9" s="482">
        <f>BB_Jan1[[#This Row],[Emols.]]-BB_Jan1[[#This Row],[Comissão]]</f>
        <v>0</v>
      </c>
      <c r="AX9" s="83">
        <f>VLOOKUP($AU$29,Meta!$Q$3:$R$16,2,FALSE)*AT9</f>
        <v>0</v>
      </c>
      <c r="AY9" s="83">
        <f>BB_Jan1[[#This Row],[Total Nota]]-BB_Jan1[[#This Row],[Comissão]]</f>
        <v>0</v>
      </c>
      <c r="AZ9" s="43"/>
      <c r="BA9" s="324"/>
      <c r="BB9" s="494" t="str">
        <f>IF(AND(BB_Jan1[[#This Row],[Total Nota]]&lt;&gt;"",BB_Jan1[[#This Row],[ITBI/ITCMD]]="",BB_Jan1[[#This Row],[Total Nota]]-IFERROR(VLOOKUP(BB_Jan1[[#This Row],[Emols.]],Meta!$AK$3:$AN$256,2,FALSE),0)&lt;&gt;0),TEXT(IFERROR(BB_Jan1[[#This Row],[Total Nota]]-VLOOKUP(BB_Jan1[[#This Row],[Emols.]],Meta!$AK$3:$AN$256,2,FALSE),""),"#.##0,00"),"")</f>
        <v/>
      </c>
      <c r="BC9" s="484"/>
      <c r="BD9" s="41"/>
      <c r="BE9" s="325"/>
      <c r="BF9" s="326"/>
      <c r="BG9" s="89"/>
      <c r="BH9" s="86"/>
      <c r="BI9" s="90" t="str">
        <f>IFERROR(VLOOKUP(CC_Jan1[[#This Row],[Emols.]],Meta!$AK$3:$AN$256,3,FALSE),"")</f>
        <v/>
      </c>
      <c r="BJ9" s="325"/>
      <c r="BK9" s="324"/>
      <c r="BL9" s="494" t="str">
        <f>IF(CC_Jan1[[#This Row],[Total Nota]]="",TEXT(IFERROR(VLOOKUP(CC_Jan1[[#This Row],[Emols.]],Meta!$AK$3:$AN$256,2,FALSE)+CC_Jan1[[#This Row],[ITBI/ITCMD]],""),"#.##0,00"),"")</f>
        <v/>
      </c>
      <c r="BM9" s="482">
        <f>CC_Jan1[[#This Row],[Emols.]]-CC_Jan1[[#This Row],[Comissão]]</f>
        <v>0</v>
      </c>
      <c r="BN9" s="83">
        <f>VLOOKUP($BK$29,Meta!$Q$3:$R$16,2,FALSE)*BJ9</f>
        <v>0</v>
      </c>
      <c r="BO9" s="83">
        <f>CC_Jan1[[#This Row],[Total Nota]]-CC_Jan1[[#This Row],[Comissão]]</f>
        <v>0</v>
      </c>
      <c r="BP9" s="44"/>
      <c r="BQ9" s="324"/>
      <c r="BR9" s="494" t="str">
        <f>IF(AND(CC_Jan1[[#This Row],[Total Nota]]&lt;&gt;"",CC_Jan1[[#This Row],[ITBI/ITCMD]]="",CC_Jan1[[#This Row],[Total Nota]]-IFERROR(VLOOKUP(CC_Jan1[[#This Row],[Emols.]],Meta!$AK$3:$AN$256,2,FALSE),0)&lt;&gt;0),TEXT(IFERROR(CC_Jan1[[#This Row],[Total Nota]]-VLOOKUP(CC_Jan1[[#This Row],[Emols.]],Meta!$AK$3:$AN$256,2,FALSE),""),"#.##0,00"),"")</f>
        <v/>
      </c>
      <c r="BS9" s="484"/>
      <c r="BT9" s="44"/>
      <c r="BU9" s="325"/>
      <c r="BV9" s="326"/>
      <c r="BW9" s="91"/>
      <c r="BX9" s="86"/>
      <c r="BY9" s="92" t="str">
        <f>IFERROR(VLOOKUP(DD_Jan1[[#This Row],[Emols.]],Meta!$AK$3:$AN$256,3,FALSE),"")</f>
        <v/>
      </c>
      <c r="BZ9" s="325"/>
      <c r="CA9" s="324"/>
      <c r="CB9" s="494" t="str">
        <f>IF(DD_Jan1[[#This Row],[Total Nota]]="",TEXT(IFERROR(VLOOKUP(DD_Jan1[[#This Row],[Emols.]],Meta!$AK$3:$AN$256,2,FALSE)+DD_Jan1[[#This Row],[ITBI/ITCMD]],""),"#.##0,00"),"")</f>
        <v/>
      </c>
      <c r="CC9" s="482">
        <f>DD_Jan1[[#This Row],[Emols.]]-DD_Jan1[[#This Row],[Comissão]]</f>
        <v>0</v>
      </c>
      <c r="CD9" s="83">
        <f>VLOOKUP($CA$29,Meta!$Q$3:$R$16,2,FALSE)*BZ9</f>
        <v>0</v>
      </c>
      <c r="CE9" s="83">
        <f>DD_Jan1[[#This Row],[Total Nota]]-DD_Jan1[[#This Row],[Comissão]]</f>
        <v>0</v>
      </c>
      <c r="CF9" s="139"/>
      <c r="CG9" s="324"/>
      <c r="CH9" s="494" t="str">
        <f>IF(AND(DD_Jan1[[#This Row],[Total Nota]]&lt;&gt;"",DD_Jan1[[#This Row],[ITBI/ITCMD]]="",DD_Jan1[[#This Row],[Total Nota]]-IFERROR(VLOOKUP(DD_Jan1[[#This Row],[Emols.]],Meta!$AK$3:$AN$256,2,FALSE),0)&lt;&gt;0),TEXT(IFERROR(DD_Jan1[[#This Row],[Total Nota]]-VLOOKUP(DD_Jan1[[#This Row],[Emols.]],Meta!$AK$3:$AN$256,2,FALSE),""),"#.##0,00"),"")</f>
        <v/>
      </c>
      <c r="CI9" s="484"/>
      <c r="CJ9" s="139"/>
      <c r="CK9" s="325"/>
      <c r="CL9" s="326"/>
      <c r="CM9" s="94"/>
      <c r="CN9" s="86"/>
      <c r="CO9" s="95" t="str">
        <f>IFERROR(VLOOKUP(EE_Jan1[[#This Row],[Emols.]],Meta!$AK$3:$AN$256,3,FALSE),"")</f>
        <v/>
      </c>
      <c r="CP9" s="325"/>
      <c r="CQ9" s="324"/>
      <c r="CR9" s="494" t="str">
        <f>IF(EE_Jan1[[#This Row],[Total Nota]]="",TEXT(IFERROR(VLOOKUP(EE_Jan1[[#This Row],[Emols.]],Meta!$AK$3:$AN$256,2,FALSE)+EE_Jan1[[#This Row],[ITBI/ITCMD]],""),"#.##0,00"),"")</f>
        <v/>
      </c>
      <c r="CS9" s="482">
        <f>EE_Jan1[[#This Row],[Emols.]]-EE_Jan1[[#This Row],[Comissão]]</f>
        <v>0</v>
      </c>
      <c r="CT9" s="83">
        <f>VLOOKUP($CQ$29,Meta!$Q$3:$R$16,2,FALSE)*CP9</f>
        <v>0</v>
      </c>
      <c r="CU9" s="83">
        <f>EE_Jan1[[#This Row],[Total Nota]]-EE_Jan1[[#This Row],[Comissão]]</f>
        <v>0</v>
      </c>
      <c r="CV9" s="140"/>
      <c r="CW9" s="324"/>
      <c r="CX9" s="494" t="str">
        <f>IF(AND(EE_Jan1[[#This Row],[Total Nota]]&lt;&gt;"",EE_Jan1[[#This Row],[ITBI/ITCMD]]="",EE_Jan1[[#This Row],[Total Nota]]-IFERROR(VLOOKUP(EE_Jan1[[#This Row],[Emols.]],Meta!$AK$3:$AN$256,2,FALSE),0)&lt;&gt;0),TEXT(IFERROR(EE_Jan1[[#This Row],[Total Nota]]-VLOOKUP(EE_Jan1[[#This Row],[Emols.]],Meta!$AK$3:$AN$256,2,FALSE),""),"#.##0,00"),"")</f>
        <v/>
      </c>
      <c r="CY9" s="484"/>
      <c r="CZ9" s="96"/>
      <c r="DA9" s="325"/>
      <c r="DB9" s="326"/>
      <c r="DC9" s="97"/>
      <c r="DD9" s="86"/>
      <c r="DE9" s="87" t="str">
        <f>IFERROR(VLOOKUP(FF_Jan1[[#This Row],[Emols.]],Meta!$AK$3:$AN$256,3,FALSE),"")</f>
        <v/>
      </c>
      <c r="DF9" s="325"/>
      <c r="DG9" s="324"/>
      <c r="DH9" s="494" t="str">
        <f>IF(FF_Jan1[[#This Row],[Total Nota]]="",TEXT(IFERROR(VLOOKUP(FF_Jan1[[#This Row],[Emols.]],Meta!$AK$3:$AN$256,2,FALSE)+FF_Jan1[[#This Row],[ITBI/ITCMD]],""),"#.##0,00"),"")</f>
        <v/>
      </c>
      <c r="DI9" s="482">
        <f>FF_Jan1[[#This Row],[Emols.]]-FF_Jan1[[#This Row],[Comissão]]</f>
        <v>0</v>
      </c>
      <c r="DJ9" s="83">
        <f>VLOOKUP($DG$29,Meta!$Q$3:$R$16,2,FALSE)*DF9</f>
        <v>0</v>
      </c>
      <c r="DK9" s="83">
        <f>FF_Jan1[[#This Row],[Total Nota]]-FF_Jan1[[#This Row],[Comissão]]</f>
        <v>0</v>
      </c>
      <c r="DL9" s="43"/>
      <c r="DM9" s="324"/>
      <c r="DN9" s="494" t="str">
        <f>IF(AND(FF_Jan1[[#This Row],[Total Nota]]&lt;&gt;"",FF_Jan1[[#This Row],[ITBI/ITCMD]]="",FF_Jan1[[#This Row],[Total Nota]]-IFERROR(VLOOKUP(FF_Jan1[[#This Row],[Emols.]],Meta!$AK$3:$AN$256,2,FALSE),0)&lt;&gt;0),TEXT(IFERROR(FF_Jan1[[#This Row],[Total Nota]]-VLOOKUP(FF_Jan1[[#This Row],[Emols.]],Meta!$AK$3:$AN$256,2,FALSE),""),"#.##0,00"),"")</f>
        <v/>
      </c>
      <c r="DO9" s="484"/>
      <c r="DP9" s="43"/>
      <c r="DQ9" s="325"/>
      <c r="DR9" s="326"/>
      <c r="DS9" s="98"/>
      <c r="DT9" s="73"/>
      <c r="DU9" s="99" t="str">
        <f>IFERROR(VLOOKUP(GG_Jan1[[#This Row],[Emols.]],Meta!$AK$3:$AN$256,3,FALSE),"")</f>
        <v/>
      </c>
      <c r="DV9" s="330"/>
      <c r="DW9" s="332"/>
      <c r="DX9" s="494" t="str">
        <f>IF(GG_Jan1[[#This Row],[Total Nota]]="",TEXT(IFERROR(VLOOKUP(GG_Jan1[[#This Row],[Emols.]],Meta!$AK$3:$AN$256,2,FALSE)+GG_Jan1[[#This Row],[ITBI/ITCMD]],""),"#.##0,00"),"")</f>
        <v/>
      </c>
      <c r="DY9" s="485">
        <f>GG_Jan1[[#This Row],[Emols.]]-GG_Jan1[[#This Row],[Comissão]]</f>
        <v>0</v>
      </c>
      <c r="DZ9" s="101">
        <f>VLOOKUP($DW$29,Meta!$Q$3:$R$16,2,FALSE)*DV9</f>
        <v>0</v>
      </c>
      <c r="EA9" s="101">
        <f>GG_Jan1[[#This Row],[Total Nota]]-GG_Jan1[[#This Row],[Comissão]]</f>
        <v>0</v>
      </c>
      <c r="EB9" s="132"/>
      <c r="EC9" s="332"/>
      <c r="ED9" s="494" t="str">
        <f>IF(AND(GG_Jan1[[#This Row],[Total Nota]]&lt;&gt;"",GG_Jan1[[#This Row],[ITBI/ITCMD]]="",GG_Jan1[[#This Row],[Total Nota]]-IFERROR(VLOOKUP(GG_Jan1[[#This Row],[Emols.]],Meta!$AK$3:$AN$256,2,FALSE),0)&lt;&gt;0),TEXT(IFERROR(GG_Jan1[[#This Row],[Total Nota]]-VLOOKUP(GG_Jan1[[#This Row],[Emols.]],Meta!$AK$3:$AN$256,2,FALSE),""),"#.##0,00"),"")</f>
        <v/>
      </c>
      <c r="EE9" s="487"/>
      <c r="EF9" s="132"/>
      <c r="EG9" s="330"/>
      <c r="EH9" s="326"/>
      <c r="EI9" s="104"/>
      <c r="EJ9" s="73"/>
      <c r="EK9" s="99" t="str">
        <f>IFERROR(VLOOKUP(HH_Jan1[[#This Row],[Emols.]],Meta!$AK$3:$AN$256,3,FALSE),"")</f>
        <v/>
      </c>
      <c r="EL9" s="330"/>
      <c r="EM9" s="332"/>
      <c r="EN9" s="494" t="str">
        <f>IF(HH_Jan1[[#This Row],[Total Nota]]="",TEXT(IFERROR(VLOOKUP(HH_Jan1[[#This Row],[Emols.]],Meta!$AK$3:$AN$256,2,FALSE)+HH_Jan1[[#This Row],[ITBI/ITCMD]],""),"#.##0,00"),"")</f>
        <v/>
      </c>
      <c r="EO9" s="485">
        <f>HH_Jan1[[#This Row],[Emols.]]-HH_Jan1[[#This Row],[Comissão]]</f>
        <v>0</v>
      </c>
      <c r="EP9" s="101">
        <f>VLOOKUP($EM$29,Meta!$Q$3:$R$16,2,FALSE)*EL9</f>
        <v>0</v>
      </c>
      <c r="EQ9" s="101">
        <f>HH_Jan1[[#This Row],[Total Nota]]-HH_Jan1[[#This Row],[Comissão]]</f>
        <v>0</v>
      </c>
      <c r="ER9" s="132"/>
      <c r="ES9" s="332"/>
      <c r="ET9" s="494" t="str">
        <f>IF(AND(HH_Jan1[[#This Row],[Total Nota]]&lt;&gt;"",HH_Jan1[[#This Row],[ITBI/ITCMD]]="",HH_Jan1[[#This Row],[Total Nota]]-IFERROR(VLOOKUP(HH_Jan1[[#This Row],[Emols.]],Meta!$AK$3:$AN$256,2,FALSE),0)&lt;&gt;0),TEXT(IFERROR(HH_Jan1[[#This Row],[Total Nota]]-VLOOKUP(HH_Jan1[[#This Row],[Emols.]],Meta!$AK$3:$AN$256,2,FALSE),""),"#.##0,00"),"")</f>
        <v/>
      </c>
      <c r="EU9" s="487"/>
      <c r="EV9" s="132"/>
      <c r="EW9" s="330"/>
      <c r="EX9" s="326"/>
      <c r="EY9" s="104"/>
      <c r="EZ9" s="73"/>
      <c r="FA9" s="99" t="str">
        <f>IFERROR(VLOOKUP(II_Jan1[[#This Row],[Emols.]],Meta!$AK$3:$AN$256,3,FALSE),"")</f>
        <v/>
      </c>
      <c r="FB9" s="330"/>
      <c r="FC9" s="332"/>
      <c r="FD9" s="494" t="str">
        <f>IF(II_Jan1[[#This Row],[Total Nota]]="",TEXT(IFERROR(VLOOKUP(II_Jan1[[#This Row],[Emols.]],Meta!$AK$3:$AN$256,2,FALSE)+II_Jan1[[#This Row],[ITBI/ITCMD]],""),"#.##0,00"),"")</f>
        <v/>
      </c>
      <c r="FE9" s="485">
        <f>II_Jan1[[#This Row],[Emols.]]-II_Jan1[[#This Row],[Comissão]]</f>
        <v>0</v>
      </c>
      <c r="FF9" s="101">
        <f>VLOOKUP($FC$29,Meta!$Q$3:$R$16,2,FALSE)*FB9</f>
        <v>0</v>
      </c>
      <c r="FG9" s="101">
        <f>II_Jan1[[#This Row],[Total Nota]]-II_Jan1[[#This Row],[Comissão]]</f>
        <v>0</v>
      </c>
      <c r="FH9" s="132"/>
      <c r="FI9" s="332"/>
      <c r="FJ9" s="494" t="str">
        <f>IF(AND(II_Jan1[[#This Row],[Total Nota]]&lt;&gt;"",II_Jan1[[#This Row],[ITBI/ITCMD]]="",II_Jan1[[#This Row],[Total Nota]]-IFERROR(VLOOKUP(II_Jan1[[#This Row],[Emols.]],Meta!$AK$3:$AN$256,2,FALSE),0)&lt;&gt;0),TEXT(IFERROR(II_Jan1[[#This Row],[Total Nota]]-VLOOKUP(II_Jan1[[#This Row],[Emols.]],Meta!$AK$3:$AN$256,2,FALSE),""),"#.##0,00"),"")</f>
        <v/>
      </c>
      <c r="FK9" s="487"/>
      <c r="FL9" s="102"/>
      <c r="FM9" s="330"/>
      <c r="FN9" s="326"/>
      <c r="FO9" s="104"/>
      <c r="FP9" s="73"/>
      <c r="FQ9" s="99" t="str">
        <f>IFERROR(VLOOKUP(JJ_Jan1[[#This Row],[Emols.]],Meta!$AK$3:$AN$256,3,FALSE),"")</f>
        <v/>
      </c>
      <c r="FR9" s="330"/>
      <c r="FS9" s="332"/>
      <c r="FT9" s="494" t="str">
        <f>IF(JJ_Jan1[[#This Row],[Total Nota]]="",TEXT(IFERROR(VLOOKUP(JJ_Jan1[[#This Row],[Emols.]],Meta!$AK$3:$AN$256,2,FALSE)+JJ_Jan1[[#This Row],[ITBI/ITCMD]],""),"#.##0,00"),"")</f>
        <v/>
      </c>
      <c r="FU9" s="485">
        <f>JJ_Jan1[[#This Row],[Emols.]]-JJ_Jan1[[#This Row],[Comissão]]</f>
        <v>0</v>
      </c>
      <c r="FV9" s="101">
        <f>VLOOKUP($FS$29,Meta!$Q$3:$R$16,2,FALSE)*FR9</f>
        <v>0</v>
      </c>
      <c r="FW9" s="101">
        <f>JJ_Jan1[[#This Row],[Total Nota]]-JJ_Jan1[[#This Row],[Comissão]]</f>
        <v>0</v>
      </c>
      <c r="FX9" s="132"/>
      <c r="FY9" s="332"/>
      <c r="FZ9" s="494" t="str">
        <f>IF(AND(JJ_Jan1[[#This Row],[Total Nota]]&lt;&gt;"",JJ_Jan1[[#This Row],[ITBI/ITCMD]]="",JJ_Jan1[[#This Row],[Total Nota]]-IFERROR(VLOOKUP(JJ_Jan1[[#This Row],[Emols.]],Meta!$AK$3:$AN$256,2,FALSE),0)&lt;&gt;0),TEXT(IFERROR(JJ_Jan1[[#This Row],[Total Nota]]-VLOOKUP(JJ_Jan1[[#This Row],[Emols.]],Meta!$AK$3:$AN$256,2,FALSE),""),"#.##0,00"),"")</f>
        <v/>
      </c>
      <c r="GA9" s="487"/>
      <c r="GB9" s="132"/>
      <c r="GC9" s="330"/>
      <c r="GD9" s="326"/>
      <c r="GE9" s="104"/>
      <c r="GF9" s="73"/>
      <c r="GG9" s="99" t="str">
        <f>IFERROR(VLOOKUP(KK_Jan1[[#This Row],[Emols.]],Meta!$AK$3:$AN$256,3,FALSE),"")</f>
        <v/>
      </c>
      <c r="GH9" s="330"/>
      <c r="GI9" s="332"/>
      <c r="GJ9" s="494" t="str">
        <f>IF(KK_Jan1[[#This Row],[Total Nota]]="",TEXT(IFERROR(VLOOKUP(KK_Jan1[[#This Row],[Emols.]],Meta!$AK$3:$AN$256,2,FALSE)+KK_Jan1[[#This Row],[ITBI/ITCMD]],""),"#.##0,00"),"")</f>
        <v/>
      </c>
      <c r="GK9" s="485">
        <f>KK_Jan1[[#This Row],[Emols.]]-KK_Jan1[[#This Row],[Comissão]]</f>
        <v>0</v>
      </c>
      <c r="GL9" s="101">
        <f>VLOOKUP($GI$29,Meta!$Q$3:$R$16,2,FALSE)*GH9</f>
        <v>0</v>
      </c>
      <c r="GM9" s="101">
        <f>KK_Jan1[[#This Row],[Total Nota]]-KK_Jan1[[#This Row],[Comissão]]</f>
        <v>0</v>
      </c>
      <c r="GN9" s="132"/>
      <c r="GO9" s="332"/>
      <c r="GP9" s="494" t="str">
        <f>IF(AND(KK_Jan1[[#This Row],[Total Nota]]&lt;&gt;"",KK_Jan1[[#This Row],[ITBI/ITCMD]]="",KK_Jan1[[#This Row],[Total Nota]]-IFERROR(VLOOKUP(KK_Jan1[[#This Row],[Emols.]],Meta!$AK$3:$AN$256,2,FALSE),0)&lt;&gt;0),TEXT(IFERROR(KK_Jan1[[#This Row],[Total Nota]]-VLOOKUP(KK_Jan1[[#This Row],[Emols.]],Meta!$AK$3:$AN$256,2,FALSE),""),"#.##0,00"),"")</f>
        <v/>
      </c>
      <c r="GQ9" s="487"/>
      <c r="GR9" s="132"/>
      <c r="GS9" s="330"/>
      <c r="GT9" s="326"/>
      <c r="GU9" s="104"/>
      <c r="GV9" s="73"/>
      <c r="GW9" s="99" t="str">
        <f>IFERROR(VLOOKUP(LL_Jan1[[#This Row],[Emols.]],Meta!$AK$3:$AN$256,3,FALSE),"")</f>
        <v/>
      </c>
      <c r="GX9" s="330"/>
      <c r="GY9" s="332"/>
      <c r="GZ9" s="494" t="str">
        <f>IF(LL_Jan1[[#This Row],[Total Nota]]="",TEXT(IFERROR(VLOOKUP(LL_Jan1[[#This Row],[Emols.]],Meta!$AK$3:$AN$256,2,FALSE)+LL_Jan1[[#This Row],[ITBI/ITCMD]],""),"#.##0,00"),"")</f>
        <v/>
      </c>
      <c r="HA9" s="485">
        <f>LL_Jan1[[#This Row],[Emols.]]-LL_Jan1[[#This Row],[Comissão]]</f>
        <v>0</v>
      </c>
      <c r="HB9" s="101">
        <f>VLOOKUP($GY$29,Meta!$Q$3:$R$16,2,FALSE)*GX9</f>
        <v>0</v>
      </c>
      <c r="HC9" s="101">
        <f>LL_Jan1[[#This Row],[Total Nota]]-LL_Jan1[[#This Row],[Comissão]]</f>
        <v>0</v>
      </c>
      <c r="HD9" s="132"/>
      <c r="HE9" s="332"/>
      <c r="HF9" s="494" t="str">
        <f>IF(AND(LL_Jan1[[#This Row],[Total Nota]]&lt;&gt;"",LL_Jan1[[#This Row],[ITBI/ITCMD]]="",LL_Jan1[[#This Row],[Total Nota]]-IFERROR(VLOOKUP(LL_Jan1[[#This Row],[Emols.]],Meta!$AK$3:$AN$256,2,FALSE),0)&lt;&gt;0),TEXT(IFERROR(LL_Jan1[[#This Row],[Total Nota]]-VLOOKUP(LL_Jan1[[#This Row],[Emols.]],Meta!$AK$3:$AN$256,2,FALSE),""),"#.##0,00"),"")</f>
        <v/>
      </c>
      <c r="HG9" s="487"/>
      <c r="HH9" s="132"/>
      <c r="HI9" s="330"/>
      <c r="HJ9" s="326"/>
      <c r="HK9" s="104"/>
      <c r="HL9" s="105"/>
    </row>
    <row r="10" spans="1:220" ht="14.45" customHeight="1" x14ac:dyDescent="0.25">
      <c r="A10" s="580"/>
      <c r="B10" s="541" t="str">
        <f>IF(FE29=Meta!$D$3,Meta!$Q$11,"")</f>
        <v>Ingrid</v>
      </c>
      <c r="C10" s="574" t="s">
        <v>252</v>
      </c>
      <c r="D10" s="570">
        <f>IF(AND(C10="S",B10&lt;&gt;""),II_Jan1[[#Totals],[Total Nota]],"")</f>
        <v>0</v>
      </c>
      <c r="E10" s="571" t="s">
        <v>250</v>
      </c>
      <c r="F10" s="570">
        <f>IF(AND(C10="S",B10&lt;&gt;""),II_Jan1[[#Totals],[Comissão]],"")</f>
        <v>0</v>
      </c>
      <c r="G10" s="571" t="s">
        <v>244</v>
      </c>
      <c r="H10" s="570">
        <f t="shared" si="0"/>
        <v>0</v>
      </c>
      <c r="I10" s="572" t="s">
        <v>248</v>
      </c>
      <c r="J10" s="554" t="str">
        <f t="shared" si="1"/>
        <v/>
      </c>
      <c r="K10" s="587" t="str">
        <f>IF(J10&lt;&gt;"",Meta!$X$3,IF(Q25&lt;0,Q25,""))</f>
        <v/>
      </c>
      <c r="L10" s="588"/>
      <c r="M10" s="499" t="str">
        <f>IF(K10&lt;&gt;"",IF(K10&lt;0,Meta!$X$4,""),"")</f>
        <v/>
      </c>
      <c r="N10" s="544"/>
      <c r="O10" s="535"/>
      <c r="P10" s="133" t="str">
        <f>IF(FE29=Meta!$D$3,Meta!$Q$11,"")</f>
        <v>Ingrid</v>
      </c>
      <c r="Q10" s="134">
        <f>IF(FE29=Meta!$D$3,SUMIF(II_Jan1[Tipo],Q$1,II_Jan1[Entregue]),"")</f>
        <v>0</v>
      </c>
      <c r="R10" s="135">
        <f>IF(FE29=Meta!$D$3,SUMIF(II_Jan1[Tipo],R$1,II_Jan1[Entregue]),"")</f>
        <v>0</v>
      </c>
      <c r="S10" s="135">
        <f>IF(FE29=Meta!$D$3,SUMIF(II_Jan1[Tipo],S$1,II_Jan1[Entregue]),"")</f>
        <v>0</v>
      </c>
      <c r="T10" s="135">
        <f>IF(FE29=Meta!$D$3,SUMIF(II_Jan1[Tipo],T$1,II_Jan1[Entregue]),"")</f>
        <v>0</v>
      </c>
      <c r="U10" s="135">
        <f>IF(FE29=Meta!$D$3,SUMIF(II_Jan1[Tipo],U$1,II_Jan1[Entregue]),"")</f>
        <v>0</v>
      </c>
      <c r="V10" s="135">
        <f>IF(FE29=Meta!$D$3,SUMIF(II_Jan1[Tipo],V$1,II_Jan1[Entregue]),"")</f>
        <v>0</v>
      </c>
      <c r="W10" s="135">
        <f>IF(FE29=Meta!$D$3,SUMIF(II_Jan1[Tipo],W$1,II_Jan1[Entregue]),"")</f>
        <v>0</v>
      </c>
      <c r="X10" s="136">
        <f>IF(FE29=Meta!$D$3,SUMIF(II_Jan1[Tipo],X$1,II_Jan1[Entregue]),"")</f>
        <v>0</v>
      </c>
      <c r="Y10" s="137">
        <f>IF(FE29=Meta!$D$3,SUMIF(II_Jan1[Tipo],"",II_Jan1[Entregue]),"")</f>
        <v>0</v>
      </c>
      <c r="Z10" s="138">
        <f>IF(FE29=Meta!$D$3,ROUND(SUM(Q10:Y10),2),"")</f>
        <v>0</v>
      </c>
      <c r="AA10" s="80"/>
      <c r="AB10" s="73"/>
      <c r="AC10" s="81" t="str">
        <f>IFERROR(VLOOKUP(AA_Jan1[[#This Row],[Emols.]],Meta!$AK$3:$AN$256,3,FALSE),"")</f>
        <v/>
      </c>
      <c r="AD10" s="325"/>
      <c r="AE10" s="324"/>
      <c r="AF10" s="493" t="str">
        <f>IF(AA_Jan1[[#This Row],[Total Nota]]="",TEXT(IFERROR(VLOOKUP(AA_Jan1[[#This Row],[Emols.]],Meta!$AK$3:$AN$256,2,FALSE)+AA_Jan1[[#This Row],[ITBI/ITCMD]],""),"#.##0,00"),"")</f>
        <v/>
      </c>
      <c r="AG10" s="482">
        <f>AA_Jan1[[#This Row],[Emols.]]-AA_Jan1[[#This Row],[Comissão]]</f>
        <v>0</v>
      </c>
      <c r="AH10" s="83">
        <f>VLOOKUP($AE$29,Meta!$Q$3:$R$16,2,FALSE)*AD10</f>
        <v>0</v>
      </c>
      <c r="AI10" s="83">
        <f>AA_Jan1[[#This Row],[Total Nota]]-AA_Jan1[[#This Row],[Comissão]]</f>
        <v>0</v>
      </c>
      <c r="AJ10" s="42"/>
      <c r="AK10" s="324"/>
      <c r="AL10" s="493" t="str">
        <f>IF(AND(AA_Jan1[[#This Row],[Total Nota]]&lt;&gt;"",AA_Jan1[[#This Row],[ITBI/ITCMD]]="",AA_Jan1[[#This Row],[Total Nota]]-IFERROR(VLOOKUP(AA_Jan1[[#This Row],[Emols.]],Meta!$AK$3:$AN$256,2,FALSE),0)&lt;&gt;0),TEXT(IFERROR(AA_Jan1[[#This Row],[Total Nota]]-VLOOKUP(AA_Jan1[[#This Row],[Emols.]],Meta!$AK$3:$AN$256,2,FALSE),""),"#.##0,00"),"")</f>
        <v/>
      </c>
      <c r="AM10" s="484"/>
      <c r="AN10" s="40"/>
      <c r="AO10" s="325"/>
      <c r="AP10" s="326"/>
      <c r="AQ10" s="85"/>
      <c r="AR10" s="86"/>
      <c r="AS10" s="87" t="str">
        <f>IFERROR(VLOOKUP(BB_Jan1[[#This Row],[Emols.]],Meta!$AK$3:$AN$256,3,FALSE),"")</f>
        <v/>
      </c>
      <c r="AT10" s="325"/>
      <c r="AU10" s="324"/>
      <c r="AV10" s="493" t="str">
        <f>IF(BB_Jan1[[#This Row],[Total Nota]]="",TEXT(IFERROR(VLOOKUP(BB_Jan1[[#This Row],[Emols.]],Meta!$AK$3:$AN$256,2,FALSE)+BB_Jan1[[#This Row],[ITBI/ITCMD]],""),"#.##0,00"),"")</f>
        <v/>
      </c>
      <c r="AW10" s="482">
        <f>BB_Jan1[[#This Row],[Emols.]]-BB_Jan1[[#This Row],[Comissão]]</f>
        <v>0</v>
      </c>
      <c r="AX10" s="83">
        <f>VLOOKUP($AU$29,Meta!$Q$3:$R$16,2,FALSE)*AT10</f>
        <v>0</v>
      </c>
      <c r="AY10" s="83">
        <f>BB_Jan1[[#This Row],[Total Nota]]-BB_Jan1[[#This Row],[Comissão]]</f>
        <v>0</v>
      </c>
      <c r="AZ10" s="43"/>
      <c r="BA10" s="324"/>
      <c r="BB10" s="493" t="str">
        <f>IF(AND(BB_Jan1[[#This Row],[Total Nota]]&lt;&gt;"",BB_Jan1[[#This Row],[ITBI/ITCMD]]="",BB_Jan1[[#This Row],[Total Nota]]-IFERROR(VLOOKUP(BB_Jan1[[#This Row],[Emols.]],Meta!$AK$3:$AN$256,2,FALSE),0)&lt;&gt;0),TEXT(IFERROR(BB_Jan1[[#This Row],[Total Nota]]-VLOOKUP(BB_Jan1[[#This Row],[Emols.]],Meta!$AK$3:$AN$256,2,FALSE),""),"#.##0,00"),"")</f>
        <v/>
      </c>
      <c r="BC10" s="484"/>
      <c r="BD10" s="41"/>
      <c r="BE10" s="325"/>
      <c r="BF10" s="326"/>
      <c r="BG10" s="89"/>
      <c r="BH10" s="86"/>
      <c r="BI10" s="90" t="str">
        <f>IFERROR(VLOOKUP(CC_Jan1[[#This Row],[Emols.]],Meta!$AK$3:$AN$256,3,FALSE),"")</f>
        <v/>
      </c>
      <c r="BJ10" s="325"/>
      <c r="BK10" s="489"/>
      <c r="BL10" s="494" t="str">
        <f>IF(CC_Jan1[[#This Row],[Total Nota]]="",TEXT(IFERROR(VLOOKUP(CC_Jan1[[#This Row],[Emols.]],Meta!$AK$3:$AN$256,2,FALSE)+CC_Jan1[[#This Row],[ITBI/ITCMD]],""),"#.##0,00"),"")</f>
        <v/>
      </c>
      <c r="BM10" s="482">
        <f>CC_Jan1[[#This Row],[Emols.]]-CC_Jan1[[#This Row],[Comissão]]</f>
        <v>0</v>
      </c>
      <c r="BN10" s="83">
        <f>VLOOKUP($BK$29,Meta!$Q$3:$R$16,2,FALSE)*BJ10</f>
        <v>0</v>
      </c>
      <c r="BO10" s="83">
        <f>CC_Jan1[[#This Row],[Total Nota]]-CC_Jan1[[#This Row],[Comissão]]</f>
        <v>0</v>
      </c>
      <c r="BP10" s="44"/>
      <c r="BQ10" s="489"/>
      <c r="BR10" s="494" t="str">
        <f>IF(AND(CC_Jan1[[#This Row],[Total Nota]]&lt;&gt;"",CC_Jan1[[#This Row],[ITBI/ITCMD]]="",CC_Jan1[[#This Row],[Total Nota]]-IFERROR(VLOOKUP(CC_Jan1[[#This Row],[Emols.]],Meta!$AK$3:$AN$256,2,FALSE),0)&lt;&gt;0),TEXT(IFERROR(CC_Jan1[[#This Row],[Total Nota]]-VLOOKUP(CC_Jan1[[#This Row],[Emols.]],Meta!$AK$3:$AN$256,2,FALSE),""),"#.##0,00"),"")</f>
        <v/>
      </c>
      <c r="BS10" s="484"/>
      <c r="BT10" s="44"/>
      <c r="BU10" s="325"/>
      <c r="BV10" s="326"/>
      <c r="BW10" s="91"/>
      <c r="BX10" s="86"/>
      <c r="BY10" s="92" t="str">
        <f>IFERROR(VLOOKUP(DD_Jan1[[#This Row],[Emols.]],Meta!$AK$3:$AN$256,3,FALSE),"")</f>
        <v/>
      </c>
      <c r="BZ10" s="325"/>
      <c r="CA10" s="324"/>
      <c r="CB10" s="493" t="str">
        <f>IF(DD_Jan1[[#This Row],[Total Nota]]="",TEXT(IFERROR(VLOOKUP(DD_Jan1[[#This Row],[Emols.]],Meta!$AK$3:$AN$256,2,FALSE)+DD_Jan1[[#This Row],[ITBI/ITCMD]],""),"#.##0,00"),"")</f>
        <v/>
      </c>
      <c r="CC10" s="482">
        <f>DD_Jan1[[#This Row],[Emols.]]-DD_Jan1[[#This Row],[Comissão]]</f>
        <v>0</v>
      </c>
      <c r="CD10" s="83">
        <f>VLOOKUP($CA$29,Meta!$Q$3:$R$16,2,FALSE)*BZ10</f>
        <v>0</v>
      </c>
      <c r="CE10" s="83">
        <f>DD_Jan1[[#This Row],[Total Nota]]-DD_Jan1[[#This Row],[Comissão]]</f>
        <v>0</v>
      </c>
      <c r="CF10" s="139"/>
      <c r="CG10" s="324"/>
      <c r="CH10" s="493" t="str">
        <f>IF(AND(DD_Jan1[[#This Row],[Total Nota]]&lt;&gt;"",DD_Jan1[[#This Row],[ITBI/ITCMD]]="",DD_Jan1[[#This Row],[Total Nota]]-IFERROR(VLOOKUP(DD_Jan1[[#This Row],[Emols.]],Meta!$AK$3:$AN$256,2,FALSE),0)&lt;&gt;0),TEXT(IFERROR(DD_Jan1[[#This Row],[Total Nota]]-VLOOKUP(DD_Jan1[[#This Row],[Emols.]],Meta!$AK$3:$AN$256,2,FALSE),""),"#.##0,00"),"")</f>
        <v/>
      </c>
      <c r="CI10" s="484"/>
      <c r="CJ10" s="139"/>
      <c r="CK10" s="325"/>
      <c r="CL10" s="326"/>
      <c r="CM10" s="94"/>
      <c r="CN10" s="86"/>
      <c r="CO10" s="95" t="str">
        <f>IFERROR(VLOOKUP(EE_Jan1[[#This Row],[Emols.]],Meta!$AK$3:$AN$256,3,FALSE),"")</f>
        <v/>
      </c>
      <c r="CP10" s="325"/>
      <c r="CQ10" s="489"/>
      <c r="CR10" s="494" t="str">
        <f>IF(EE_Jan1[[#This Row],[Total Nota]]="",TEXT(IFERROR(VLOOKUP(EE_Jan1[[#This Row],[Emols.]],Meta!$AK$3:$AN$256,2,FALSE)+EE_Jan1[[#This Row],[ITBI/ITCMD]],""),"#.##0,00"),"")</f>
        <v/>
      </c>
      <c r="CS10" s="482">
        <f>EE_Jan1[[#This Row],[Emols.]]-EE_Jan1[[#This Row],[Comissão]]</f>
        <v>0</v>
      </c>
      <c r="CT10" s="83">
        <f>VLOOKUP($CQ$29,Meta!$Q$3:$R$16,2,FALSE)*CP10</f>
        <v>0</v>
      </c>
      <c r="CU10" s="83">
        <f>EE_Jan1[[#This Row],[Total Nota]]-EE_Jan1[[#This Row],[Comissão]]</f>
        <v>0</v>
      </c>
      <c r="CV10" s="140"/>
      <c r="CW10" s="324"/>
      <c r="CX10" s="493" t="str">
        <f>IF(AND(EE_Jan1[[#This Row],[Total Nota]]&lt;&gt;"",EE_Jan1[[#This Row],[ITBI/ITCMD]]="",EE_Jan1[[#This Row],[Total Nota]]-IFERROR(VLOOKUP(EE_Jan1[[#This Row],[Emols.]],Meta!$AK$3:$AN$256,2,FALSE),0)&lt;&gt;0),TEXT(IFERROR(EE_Jan1[[#This Row],[Total Nota]]-VLOOKUP(EE_Jan1[[#This Row],[Emols.]],Meta!$AK$3:$AN$256,2,FALSE),""),"#.##0,00"),"")</f>
        <v/>
      </c>
      <c r="CY10" s="484"/>
      <c r="CZ10" s="140"/>
      <c r="DA10" s="325"/>
      <c r="DB10" s="326"/>
      <c r="DC10" s="97"/>
      <c r="DD10" s="86"/>
      <c r="DE10" s="87" t="str">
        <f>IFERROR(VLOOKUP(FF_Jan1[[#This Row],[Emols.]],Meta!$AK$3:$AN$256,3,FALSE),"")</f>
        <v/>
      </c>
      <c r="DF10" s="325"/>
      <c r="DG10" s="324"/>
      <c r="DH10" s="493" t="str">
        <f>IF(FF_Jan1[[#This Row],[Total Nota]]="",TEXT(IFERROR(VLOOKUP(FF_Jan1[[#This Row],[Emols.]],Meta!$AK$3:$AN$256,2,FALSE)+FF_Jan1[[#This Row],[ITBI/ITCMD]],""),"#.##0,00"),"")</f>
        <v/>
      </c>
      <c r="DI10" s="482">
        <f>FF_Jan1[[#This Row],[Emols.]]-FF_Jan1[[#This Row],[Comissão]]</f>
        <v>0</v>
      </c>
      <c r="DJ10" s="83">
        <f>VLOOKUP($DG$29,Meta!$Q$3:$R$16,2,FALSE)*DF10</f>
        <v>0</v>
      </c>
      <c r="DK10" s="83">
        <f>FF_Jan1[[#This Row],[Total Nota]]-FF_Jan1[[#This Row],[Comissão]]</f>
        <v>0</v>
      </c>
      <c r="DL10" s="43"/>
      <c r="DM10" s="324"/>
      <c r="DN10" s="493" t="str">
        <f>IF(AND(FF_Jan1[[#This Row],[Total Nota]]&lt;&gt;"",FF_Jan1[[#This Row],[ITBI/ITCMD]]="",FF_Jan1[[#This Row],[Total Nota]]-IFERROR(VLOOKUP(FF_Jan1[[#This Row],[Emols.]],Meta!$AK$3:$AN$256,2,FALSE),0)&lt;&gt;0),TEXT(IFERROR(FF_Jan1[[#This Row],[Total Nota]]-VLOOKUP(FF_Jan1[[#This Row],[Emols.]],Meta!$AK$3:$AN$256,2,FALSE),""),"#.##0,00"),"")</f>
        <v/>
      </c>
      <c r="DO10" s="484"/>
      <c r="DP10" s="43"/>
      <c r="DQ10" s="325"/>
      <c r="DR10" s="326"/>
      <c r="DS10" s="98"/>
      <c r="DT10" s="73"/>
      <c r="DU10" s="99" t="str">
        <f>IFERROR(VLOOKUP(GG_Jan1[[#This Row],[Emols.]],Meta!$AK$3:$AN$256,3,FALSE),"")</f>
        <v/>
      </c>
      <c r="DV10" s="330"/>
      <c r="DW10" s="332"/>
      <c r="DX10" s="493" t="str">
        <f>IF(GG_Jan1[[#This Row],[Total Nota]]="",TEXT(IFERROR(VLOOKUP(GG_Jan1[[#This Row],[Emols.]],Meta!$AK$3:$AN$256,2,FALSE)+GG_Jan1[[#This Row],[ITBI/ITCMD]],""),"#.##0,00"),"")</f>
        <v/>
      </c>
      <c r="DY10" s="485">
        <f>GG_Jan1[[#This Row],[Emols.]]-GG_Jan1[[#This Row],[Comissão]]</f>
        <v>0</v>
      </c>
      <c r="DZ10" s="101">
        <f>VLOOKUP($DW$29,Meta!$Q$3:$R$16,2,FALSE)*DV10</f>
        <v>0</v>
      </c>
      <c r="EA10" s="101">
        <f>GG_Jan1[[#This Row],[Total Nota]]-GG_Jan1[[#This Row],[Comissão]]</f>
        <v>0</v>
      </c>
      <c r="EB10" s="132"/>
      <c r="EC10" s="492"/>
      <c r="ED10" s="494" t="str">
        <f>IF(AND(GG_Jan1[[#This Row],[Total Nota]]&lt;&gt;"",GG_Jan1[[#This Row],[ITBI/ITCMD]]="",GG_Jan1[[#This Row],[Total Nota]]-IFERROR(VLOOKUP(GG_Jan1[[#This Row],[Emols.]],Meta!$AK$3:$AN$256,2,FALSE),0)&lt;&gt;0),TEXT(IFERROR(GG_Jan1[[#This Row],[Total Nota]]-VLOOKUP(GG_Jan1[[#This Row],[Emols.]],Meta!$AK$3:$AN$256,2,FALSE),""),"#.##0,00"),"")</f>
        <v/>
      </c>
      <c r="EE10" s="487"/>
      <c r="EF10" s="132"/>
      <c r="EG10" s="330"/>
      <c r="EH10" s="326"/>
      <c r="EI10" s="104"/>
      <c r="EJ10" s="73"/>
      <c r="EK10" s="99" t="str">
        <f>IFERROR(VLOOKUP(HH_Jan1[[#This Row],[Emols.]],Meta!$AK$3:$AN$256,3,FALSE),"")</f>
        <v/>
      </c>
      <c r="EL10" s="330"/>
      <c r="EM10" s="332"/>
      <c r="EN10" s="493" t="str">
        <f>IF(HH_Jan1[[#This Row],[Total Nota]]="",TEXT(IFERROR(VLOOKUP(HH_Jan1[[#This Row],[Emols.]],Meta!$AK$3:$AN$256,2,FALSE)+HH_Jan1[[#This Row],[ITBI/ITCMD]],""),"#.##0,00"),"")</f>
        <v/>
      </c>
      <c r="EO10" s="485">
        <f>HH_Jan1[[#This Row],[Emols.]]-HH_Jan1[[#This Row],[Comissão]]</f>
        <v>0</v>
      </c>
      <c r="EP10" s="101">
        <f>VLOOKUP($EM$29,Meta!$Q$3:$R$16,2,FALSE)*EL10</f>
        <v>0</v>
      </c>
      <c r="EQ10" s="101">
        <f>HH_Jan1[[#This Row],[Total Nota]]-HH_Jan1[[#This Row],[Comissão]]</f>
        <v>0</v>
      </c>
      <c r="ER10" s="132"/>
      <c r="ES10" s="492"/>
      <c r="ET10" s="494" t="str">
        <f>IF(AND(HH_Jan1[[#This Row],[Total Nota]]&lt;&gt;"",HH_Jan1[[#This Row],[ITBI/ITCMD]]="",HH_Jan1[[#This Row],[Total Nota]]-IFERROR(VLOOKUP(HH_Jan1[[#This Row],[Emols.]],Meta!$AK$3:$AN$256,2,FALSE),0)&lt;&gt;0),TEXT(IFERROR(HH_Jan1[[#This Row],[Total Nota]]-VLOOKUP(HH_Jan1[[#This Row],[Emols.]],Meta!$AK$3:$AN$256,2,FALSE),""),"#.##0,00"),"")</f>
        <v/>
      </c>
      <c r="EU10" s="487"/>
      <c r="EV10" s="132"/>
      <c r="EW10" s="330"/>
      <c r="EX10" s="326"/>
      <c r="EY10" s="104"/>
      <c r="EZ10" s="73"/>
      <c r="FA10" s="99" t="str">
        <f>IFERROR(VLOOKUP(II_Jan1[[#This Row],[Emols.]],Meta!$AK$3:$AN$256,3,FALSE),"")</f>
        <v/>
      </c>
      <c r="FB10" s="330"/>
      <c r="FC10" s="332"/>
      <c r="FD10" s="493" t="str">
        <f>IF(II_Jan1[[#This Row],[Total Nota]]="",TEXT(IFERROR(VLOOKUP(II_Jan1[[#This Row],[Emols.]],Meta!$AK$3:$AN$256,2,FALSE)+II_Jan1[[#This Row],[ITBI/ITCMD]],""),"#.##0,00"),"")</f>
        <v/>
      </c>
      <c r="FE10" s="485">
        <f>II_Jan1[[#This Row],[Emols.]]-II_Jan1[[#This Row],[Comissão]]</f>
        <v>0</v>
      </c>
      <c r="FF10" s="101">
        <f>VLOOKUP($FC$29,Meta!$Q$3:$R$16,2,FALSE)*FB10</f>
        <v>0</v>
      </c>
      <c r="FG10" s="101">
        <f>II_Jan1[[#This Row],[Total Nota]]-II_Jan1[[#This Row],[Comissão]]</f>
        <v>0</v>
      </c>
      <c r="FH10" s="102"/>
      <c r="FI10" s="492"/>
      <c r="FJ10" s="494" t="str">
        <f>IF(AND(II_Jan1[[#This Row],[Total Nota]]&lt;&gt;"",II_Jan1[[#This Row],[ITBI/ITCMD]]="",II_Jan1[[#This Row],[Total Nota]]-IFERROR(VLOOKUP(II_Jan1[[#This Row],[Emols.]],Meta!$AK$3:$AN$256,2,FALSE),0)&lt;&gt;0),TEXT(IFERROR(II_Jan1[[#This Row],[Total Nota]]-VLOOKUP(II_Jan1[[#This Row],[Emols.]],Meta!$AK$3:$AN$256,2,FALSE),""),"#.##0,00"),"")</f>
        <v/>
      </c>
      <c r="FK10" s="487"/>
      <c r="FL10" s="102"/>
      <c r="FM10" s="330"/>
      <c r="FN10" s="326"/>
      <c r="FO10" s="104"/>
      <c r="FP10" s="73"/>
      <c r="FQ10" s="99" t="str">
        <f>IFERROR(VLOOKUP(JJ_Jan1[[#This Row],[Emols.]],Meta!$AK$3:$AN$256,3,FALSE),"")</f>
        <v/>
      </c>
      <c r="FR10" s="330"/>
      <c r="FS10" s="332"/>
      <c r="FT10" s="493" t="str">
        <f>IF(JJ_Jan1[[#This Row],[Total Nota]]="",TEXT(IFERROR(VLOOKUP(JJ_Jan1[[#This Row],[Emols.]],Meta!$AK$3:$AN$256,2,FALSE)+JJ_Jan1[[#This Row],[ITBI/ITCMD]],""),"#.##0,00"),"")</f>
        <v/>
      </c>
      <c r="FU10" s="485">
        <f>JJ_Jan1[[#This Row],[Emols.]]-JJ_Jan1[[#This Row],[Comissão]]</f>
        <v>0</v>
      </c>
      <c r="FV10" s="101">
        <f>VLOOKUP($FS$29,Meta!$Q$3:$R$16,2,FALSE)*FR10</f>
        <v>0</v>
      </c>
      <c r="FW10" s="101">
        <f>JJ_Jan1[[#This Row],[Total Nota]]-JJ_Jan1[[#This Row],[Comissão]]</f>
        <v>0</v>
      </c>
      <c r="FX10" s="132"/>
      <c r="FY10" s="332"/>
      <c r="FZ10" s="493" t="str">
        <f>IF(AND(JJ_Jan1[[#This Row],[Total Nota]]&lt;&gt;"",JJ_Jan1[[#This Row],[ITBI/ITCMD]]="",JJ_Jan1[[#This Row],[Total Nota]]-IFERROR(VLOOKUP(JJ_Jan1[[#This Row],[Emols.]],Meta!$AK$3:$AN$256,2,FALSE),0)&lt;&gt;0),TEXT(IFERROR(JJ_Jan1[[#This Row],[Total Nota]]-VLOOKUP(JJ_Jan1[[#This Row],[Emols.]],Meta!$AK$3:$AN$256,2,FALSE),""),"#.##0,00"),"")</f>
        <v/>
      </c>
      <c r="GA10" s="487"/>
      <c r="GB10" s="132"/>
      <c r="GC10" s="330"/>
      <c r="GD10" s="326"/>
      <c r="GE10" s="104"/>
      <c r="GF10" s="73"/>
      <c r="GG10" s="99" t="str">
        <f>IFERROR(VLOOKUP(KK_Jan1[[#This Row],[Emols.]],Meta!$AK$3:$AN$256,3,FALSE),"")</f>
        <v/>
      </c>
      <c r="GH10" s="330"/>
      <c r="GI10" s="492"/>
      <c r="GJ10" s="494" t="str">
        <f>IF(KK_Jan1[[#This Row],[Total Nota]]="",TEXT(IFERROR(VLOOKUP(KK_Jan1[[#This Row],[Emols.]],Meta!$AK$3:$AN$256,2,FALSE)+KK_Jan1[[#This Row],[ITBI/ITCMD]],""),"#.##0,00"),"")</f>
        <v/>
      </c>
      <c r="GK10" s="485">
        <f>KK_Jan1[[#This Row],[Emols.]]-KK_Jan1[[#This Row],[Comissão]]</f>
        <v>0</v>
      </c>
      <c r="GL10" s="101">
        <f>VLOOKUP($GI$29,Meta!$Q$3:$R$16,2,FALSE)*GH10</f>
        <v>0</v>
      </c>
      <c r="GM10" s="101">
        <f>KK_Jan1[[#This Row],[Total Nota]]-KK_Jan1[[#This Row],[Comissão]]</f>
        <v>0</v>
      </c>
      <c r="GN10" s="132"/>
      <c r="GO10" s="492"/>
      <c r="GP10" s="494" t="str">
        <f>IF(AND(KK_Jan1[[#This Row],[Total Nota]]&lt;&gt;"",KK_Jan1[[#This Row],[ITBI/ITCMD]]="",KK_Jan1[[#This Row],[Total Nota]]-IFERROR(VLOOKUP(KK_Jan1[[#This Row],[Emols.]],Meta!$AK$3:$AN$256,2,FALSE),0)&lt;&gt;0),TEXT(IFERROR(KK_Jan1[[#This Row],[Total Nota]]-VLOOKUP(KK_Jan1[[#This Row],[Emols.]],Meta!$AK$3:$AN$256,2,FALSE),""),"#.##0,00"),"")</f>
        <v/>
      </c>
      <c r="GQ10" s="487"/>
      <c r="GR10" s="132"/>
      <c r="GS10" s="330"/>
      <c r="GT10" s="326"/>
      <c r="GU10" s="104"/>
      <c r="GV10" s="73"/>
      <c r="GW10" s="99" t="str">
        <f>IFERROR(VLOOKUP(LL_Jan1[[#This Row],[Emols.]],Meta!$AK$3:$AN$256,3,FALSE),"")</f>
        <v/>
      </c>
      <c r="GX10" s="330"/>
      <c r="GY10" s="492"/>
      <c r="GZ10" s="494" t="str">
        <f>IF(LL_Jan1[[#This Row],[Total Nota]]="",TEXT(IFERROR(VLOOKUP(LL_Jan1[[#This Row],[Emols.]],Meta!$AK$3:$AN$256,2,FALSE)+LL_Jan1[[#This Row],[ITBI/ITCMD]],""),"#.##0,00"),"")</f>
        <v/>
      </c>
      <c r="HA10" s="485">
        <f>LL_Jan1[[#This Row],[Emols.]]-LL_Jan1[[#This Row],[Comissão]]</f>
        <v>0</v>
      </c>
      <c r="HB10" s="101">
        <f>VLOOKUP($GY$29,Meta!$Q$3:$R$16,2,FALSE)*GX10</f>
        <v>0</v>
      </c>
      <c r="HC10" s="101">
        <f>LL_Jan1[[#This Row],[Total Nota]]-LL_Jan1[[#This Row],[Comissão]]</f>
        <v>0</v>
      </c>
      <c r="HD10" s="132"/>
      <c r="HE10" s="332"/>
      <c r="HF10" s="493" t="str">
        <f>IF(AND(LL_Jan1[[#This Row],[Total Nota]]&lt;&gt;"",LL_Jan1[[#This Row],[ITBI/ITCMD]]="",LL_Jan1[[#This Row],[Total Nota]]-IFERROR(VLOOKUP(LL_Jan1[[#This Row],[Emols.]],Meta!$AK$3:$AN$256,2,FALSE),0)&lt;&gt;0),TEXT(IFERROR(LL_Jan1[[#This Row],[Total Nota]]-VLOOKUP(LL_Jan1[[#This Row],[Emols.]],Meta!$AK$3:$AN$256,2,FALSE),""),"#.##0,00"),"")</f>
        <v/>
      </c>
      <c r="HG10" s="487"/>
      <c r="HH10" s="132"/>
      <c r="HI10" s="330"/>
      <c r="HJ10" s="326"/>
      <c r="HK10" s="104"/>
      <c r="HL10" s="105"/>
    </row>
    <row r="11" spans="1:220" ht="14.45" customHeight="1" x14ac:dyDescent="0.25">
      <c r="A11" s="580"/>
      <c r="B11" s="559" t="str">
        <f>IF(FU29=Meta!$D$3,Meta!$Q$12,"")</f>
        <v>Joana</v>
      </c>
      <c r="C11" s="574" t="s">
        <v>252</v>
      </c>
      <c r="D11" s="567">
        <f>IF(AND(C11="S",B11&lt;&gt;""),JJ_Jan1[[#Totals],[Total Nota]],"")</f>
        <v>0</v>
      </c>
      <c r="E11" s="568" t="s">
        <v>250</v>
      </c>
      <c r="F11" s="567">
        <f>IF(AND(C11="S",B11&lt;&gt;""),JJ_Jan1[[#Totals],[Comissão]],"")</f>
        <v>0</v>
      </c>
      <c r="G11" s="568" t="s">
        <v>244</v>
      </c>
      <c r="H11" s="567">
        <f t="shared" si="0"/>
        <v>0</v>
      </c>
      <c r="I11" s="569" t="s">
        <v>248</v>
      </c>
      <c r="J11" s="553" t="str">
        <f t="shared" si="1"/>
        <v/>
      </c>
      <c r="K11" s="586" t="str">
        <f>IF(J11&lt;&gt;"",Meta!$X$3,IF(Q26&lt;0,Q26,""))</f>
        <v/>
      </c>
      <c r="L11" s="586"/>
      <c r="M11" s="498" t="str">
        <f>IF(K11&lt;&gt;"",IF(K11&lt;0,Meta!$X$4,""),"")</f>
        <v/>
      </c>
      <c r="N11" s="544"/>
      <c r="O11" s="535"/>
      <c r="P11" s="133" t="str">
        <f>IF(FU29=Meta!$D$3,Meta!$Q$12,"")</f>
        <v>Joana</v>
      </c>
      <c r="Q11" s="141">
        <f>IF(FU29=Meta!$D$3,SUMIF(JJ_Jan1[Tipo],Q$1,JJ_Jan1[Entregue]),"")</f>
        <v>0</v>
      </c>
      <c r="R11" s="142">
        <f>IF(FU29=Meta!$D$3,SUMIF(JJ_Jan1[Tipo],R$1,JJ_Jan1[Entregue]),"")</f>
        <v>0</v>
      </c>
      <c r="S11" s="142">
        <f>IF(FU29=Meta!$D$3,SUMIF(JJ_Jan1[Tipo],S$1,JJ_Jan1[Entregue]),"")</f>
        <v>0</v>
      </c>
      <c r="T11" s="142">
        <f>IF(FU29=Meta!$D$3,SUMIF(JJ_Jan1[Tipo],T$1,JJ_Jan1[Entregue]),"")</f>
        <v>0</v>
      </c>
      <c r="U11" s="142">
        <f>IF(FU29=Meta!$D$3,SUMIF(JJ_Jan1[Tipo],U$1,JJ_Jan1[Entregue]),"")</f>
        <v>0</v>
      </c>
      <c r="V11" s="142">
        <f>IF(FU29=Meta!$D$3,SUMIF(JJ_Jan1[Tipo],V$1,JJ_Jan1[Entregue]),"")</f>
        <v>0</v>
      </c>
      <c r="W11" s="142">
        <f>IF(FU29=Meta!$D$3,SUMIF(JJ_Jan1[Tipo],W$1,JJ_Jan1[Entregue]),"")</f>
        <v>0</v>
      </c>
      <c r="X11" s="143">
        <f>IF(FU29=Meta!$D$3,SUMIF(JJ_Jan1[Tipo],X$1,JJ_Jan1[Entregue]),"")</f>
        <v>0</v>
      </c>
      <c r="Y11" s="144">
        <f>IF(FU29=Meta!$D$3,SUMIF(JJ_Jan1[Tipo],"",JJ_Jan1[Entregue]),"")</f>
        <v>0</v>
      </c>
      <c r="Z11" s="145">
        <f>IF(FU29=Meta!$D$3,ROUND(SUM(Q11:Y11),2),"")</f>
        <v>0</v>
      </c>
      <c r="AA11" s="80"/>
      <c r="AB11" s="73"/>
      <c r="AC11" s="81" t="str">
        <f>IFERROR(VLOOKUP(AA_Jan1[[#This Row],[Emols.]],Meta!$AK$3:$AN$256,3,FALSE),"")</f>
        <v/>
      </c>
      <c r="AD11" s="325"/>
      <c r="AE11" s="324"/>
      <c r="AF11" s="494" t="str">
        <f>IF(AA_Jan1[[#This Row],[Total Nota]]="",TEXT(IFERROR(VLOOKUP(AA_Jan1[[#This Row],[Emols.]],Meta!$AK$3:$AN$256,2,FALSE)+AA_Jan1[[#This Row],[ITBI/ITCMD]],""),"#.##0,00"),"")</f>
        <v/>
      </c>
      <c r="AG11" s="482">
        <f>AA_Jan1[[#This Row],[Emols.]]-AA_Jan1[[#This Row],[Comissão]]</f>
        <v>0</v>
      </c>
      <c r="AH11" s="83">
        <f>VLOOKUP($AE$29,Meta!$Q$3:$R$16,2,FALSE)*AD11</f>
        <v>0</v>
      </c>
      <c r="AI11" s="83">
        <f>AA_Jan1[[#This Row],[Total Nota]]-AA_Jan1[[#This Row],[Comissão]]</f>
        <v>0</v>
      </c>
      <c r="AJ11" s="42"/>
      <c r="AK11" s="324"/>
      <c r="AL11" s="494" t="str">
        <f>IF(AND(AA_Jan1[[#This Row],[Total Nota]]&lt;&gt;"",AA_Jan1[[#This Row],[ITBI/ITCMD]]="",AA_Jan1[[#This Row],[Total Nota]]-IFERROR(VLOOKUP(AA_Jan1[[#This Row],[Emols.]],Meta!$AK$3:$AN$256,2,FALSE),0)&lt;&gt;0),TEXT(IFERROR(AA_Jan1[[#This Row],[Total Nota]]-VLOOKUP(AA_Jan1[[#This Row],[Emols.]],Meta!$AK$3:$AN$256,2,FALSE),""),"#.##0,00"),"")</f>
        <v/>
      </c>
      <c r="AM11" s="484"/>
      <c r="AN11" s="40"/>
      <c r="AO11" s="325"/>
      <c r="AP11" s="326"/>
      <c r="AQ11" s="85"/>
      <c r="AR11" s="86"/>
      <c r="AS11" s="87" t="str">
        <f>IFERROR(VLOOKUP(BB_Jan1[[#This Row],[Emols.]],Meta!$AK$3:$AN$256,3,FALSE),"")</f>
        <v/>
      </c>
      <c r="AT11" s="325"/>
      <c r="AU11" s="324"/>
      <c r="AV11" s="494" t="str">
        <f>IF(BB_Jan1[[#This Row],[Total Nota]]="",TEXT(IFERROR(VLOOKUP(BB_Jan1[[#This Row],[Emols.]],Meta!$AK$3:$AN$256,2,FALSE)+BB_Jan1[[#This Row],[ITBI/ITCMD]],""),"#.##0,00"),"")</f>
        <v/>
      </c>
      <c r="AW11" s="482">
        <f>BB_Jan1[[#This Row],[Emols.]]-BB_Jan1[[#This Row],[Comissão]]</f>
        <v>0</v>
      </c>
      <c r="AX11" s="83">
        <f>VLOOKUP($AU$29,Meta!$Q$3:$R$16,2,FALSE)*AT11</f>
        <v>0</v>
      </c>
      <c r="AY11" s="83">
        <f>BB_Jan1[[#This Row],[Total Nota]]-BB_Jan1[[#This Row],[Comissão]]</f>
        <v>0</v>
      </c>
      <c r="AZ11" s="43"/>
      <c r="BA11" s="324"/>
      <c r="BB11" s="494" t="str">
        <f>IF(AND(BB_Jan1[[#This Row],[Total Nota]]&lt;&gt;"",BB_Jan1[[#This Row],[ITBI/ITCMD]]="",BB_Jan1[[#This Row],[Total Nota]]-IFERROR(VLOOKUP(BB_Jan1[[#This Row],[Emols.]],Meta!$AK$3:$AN$256,2,FALSE),0)&lt;&gt;0),TEXT(IFERROR(BB_Jan1[[#This Row],[Total Nota]]-VLOOKUP(BB_Jan1[[#This Row],[Emols.]],Meta!$AK$3:$AN$256,2,FALSE),""),"#.##0,00"),"")</f>
        <v/>
      </c>
      <c r="BC11" s="484"/>
      <c r="BD11" s="41"/>
      <c r="BE11" s="325"/>
      <c r="BF11" s="326"/>
      <c r="BG11" s="89"/>
      <c r="BH11" s="86"/>
      <c r="BI11" s="90" t="str">
        <f>IFERROR(VLOOKUP(CC_Jan1[[#This Row],[Emols.]],Meta!$AK$3:$AN$256,3,FALSE),"")</f>
        <v/>
      </c>
      <c r="BJ11" s="325"/>
      <c r="BK11" s="324"/>
      <c r="BL11" s="494" t="str">
        <f>IF(CC_Jan1[[#This Row],[Total Nota]]="",TEXT(IFERROR(VLOOKUP(CC_Jan1[[#This Row],[Emols.]],Meta!$AK$3:$AN$256,2,FALSE)+CC_Jan1[[#This Row],[ITBI/ITCMD]],""),"#.##0,00"),"")</f>
        <v/>
      </c>
      <c r="BM11" s="482">
        <f>CC_Jan1[[#This Row],[Emols.]]-CC_Jan1[[#This Row],[Comissão]]</f>
        <v>0</v>
      </c>
      <c r="BN11" s="83">
        <f>VLOOKUP($BK$29,Meta!$Q$3:$R$16,2,FALSE)*BJ11</f>
        <v>0</v>
      </c>
      <c r="BO11" s="83">
        <f>CC_Jan1[[#This Row],[Total Nota]]-CC_Jan1[[#This Row],[Comissão]]</f>
        <v>0</v>
      </c>
      <c r="BP11" s="44"/>
      <c r="BQ11" s="324"/>
      <c r="BR11" s="494" t="str">
        <f>IF(AND(CC_Jan1[[#This Row],[Total Nota]]&lt;&gt;"",CC_Jan1[[#This Row],[ITBI/ITCMD]]="",CC_Jan1[[#This Row],[Total Nota]]-IFERROR(VLOOKUP(CC_Jan1[[#This Row],[Emols.]],Meta!$AK$3:$AN$256,2,FALSE),0)&lt;&gt;0),TEXT(IFERROR(CC_Jan1[[#This Row],[Total Nota]]-VLOOKUP(CC_Jan1[[#This Row],[Emols.]],Meta!$AK$3:$AN$256,2,FALSE),""),"#.##0,00"),"")</f>
        <v/>
      </c>
      <c r="BS11" s="484"/>
      <c r="BT11" s="44"/>
      <c r="BU11" s="325"/>
      <c r="BV11" s="326"/>
      <c r="BW11" s="91"/>
      <c r="BX11" s="86"/>
      <c r="BY11" s="92" t="str">
        <f>IFERROR(VLOOKUP(DD_Jan1[[#This Row],[Emols.]],Meta!$AK$3:$AN$256,3,FALSE),"")</f>
        <v/>
      </c>
      <c r="BZ11" s="325"/>
      <c r="CA11" s="324"/>
      <c r="CB11" s="494" t="str">
        <f>IF(DD_Jan1[[#This Row],[Total Nota]]="",TEXT(IFERROR(VLOOKUP(DD_Jan1[[#This Row],[Emols.]],Meta!$AK$3:$AN$256,2,FALSE)+DD_Jan1[[#This Row],[ITBI/ITCMD]],""),"#.##0,00"),"")</f>
        <v/>
      </c>
      <c r="CC11" s="482">
        <f>DD_Jan1[[#This Row],[Emols.]]-DD_Jan1[[#This Row],[Comissão]]</f>
        <v>0</v>
      </c>
      <c r="CD11" s="83">
        <f>VLOOKUP($CA$29,Meta!$Q$3:$R$16,2,FALSE)*BZ11</f>
        <v>0</v>
      </c>
      <c r="CE11" s="83">
        <f>DD_Jan1[[#This Row],[Total Nota]]-DD_Jan1[[#This Row],[Comissão]]</f>
        <v>0</v>
      </c>
      <c r="CF11" s="139"/>
      <c r="CG11" s="324"/>
      <c r="CH11" s="494" t="str">
        <f>IF(AND(DD_Jan1[[#This Row],[Total Nota]]&lt;&gt;"",DD_Jan1[[#This Row],[ITBI/ITCMD]]="",DD_Jan1[[#This Row],[Total Nota]]-IFERROR(VLOOKUP(DD_Jan1[[#This Row],[Emols.]],Meta!$AK$3:$AN$256,2,FALSE),0)&lt;&gt;0),TEXT(IFERROR(DD_Jan1[[#This Row],[Total Nota]]-VLOOKUP(DD_Jan1[[#This Row],[Emols.]],Meta!$AK$3:$AN$256,2,FALSE),""),"#.##0,00"),"")</f>
        <v/>
      </c>
      <c r="CI11" s="484"/>
      <c r="CJ11" s="139"/>
      <c r="CK11" s="325"/>
      <c r="CL11" s="326"/>
      <c r="CM11" s="94"/>
      <c r="CN11" s="86"/>
      <c r="CO11" s="95" t="str">
        <f>IFERROR(VLOOKUP(EE_Jan1[[#This Row],[Emols.]],Meta!$AK$3:$AN$256,3,FALSE),"")</f>
        <v/>
      </c>
      <c r="CP11" s="325"/>
      <c r="CQ11" s="324"/>
      <c r="CR11" s="494" t="str">
        <f>IF(EE_Jan1[[#This Row],[Total Nota]]="",TEXT(IFERROR(VLOOKUP(EE_Jan1[[#This Row],[Emols.]],Meta!$AK$3:$AN$256,2,FALSE)+EE_Jan1[[#This Row],[ITBI/ITCMD]],""),"#.##0,00"),"")</f>
        <v/>
      </c>
      <c r="CS11" s="482">
        <f>EE_Jan1[[#This Row],[Emols.]]-EE_Jan1[[#This Row],[Comissão]]</f>
        <v>0</v>
      </c>
      <c r="CT11" s="83">
        <f>VLOOKUP($CQ$29,Meta!$Q$3:$R$16,2,FALSE)*CP11</f>
        <v>0</v>
      </c>
      <c r="CU11" s="83">
        <f>EE_Jan1[[#This Row],[Total Nota]]-EE_Jan1[[#This Row],[Comissão]]</f>
        <v>0</v>
      </c>
      <c r="CV11" s="140"/>
      <c r="CW11" s="324"/>
      <c r="CX11" s="494" t="str">
        <f>IF(AND(EE_Jan1[[#This Row],[Total Nota]]&lt;&gt;"",EE_Jan1[[#This Row],[ITBI/ITCMD]]="",EE_Jan1[[#This Row],[Total Nota]]-IFERROR(VLOOKUP(EE_Jan1[[#This Row],[Emols.]],Meta!$AK$3:$AN$256,2,FALSE),0)&lt;&gt;0),TEXT(IFERROR(EE_Jan1[[#This Row],[Total Nota]]-VLOOKUP(EE_Jan1[[#This Row],[Emols.]],Meta!$AK$3:$AN$256,2,FALSE),""),"#.##0,00"),"")</f>
        <v/>
      </c>
      <c r="CY11" s="484"/>
      <c r="CZ11" s="140"/>
      <c r="DA11" s="325"/>
      <c r="DB11" s="326"/>
      <c r="DC11" s="97"/>
      <c r="DD11" s="86"/>
      <c r="DE11" s="87" t="str">
        <f>IFERROR(VLOOKUP(FF_Jan1[[#This Row],[Emols.]],Meta!$AK$3:$AN$256,3,FALSE),"")</f>
        <v/>
      </c>
      <c r="DF11" s="325"/>
      <c r="DG11" s="324"/>
      <c r="DH11" s="494" t="str">
        <f>IF(FF_Jan1[[#This Row],[Total Nota]]="",TEXT(IFERROR(VLOOKUP(FF_Jan1[[#This Row],[Emols.]],Meta!$AK$3:$AN$256,2,FALSE)+FF_Jan1[[#This Row],[ITBI/ITCMD]],""),"#.##0,00"),"")</f>
        <v/>
      </c>
      <c r="DI11" s="482">
        <f>FF_Jan1[[#This Row],[Emols.]]-FF_Jan1[[#This Row],[Comissão]]</f>
        <v>0</v>
      </c>
      <c r="DJ11" s="83">
        <f>VLOOKUP($DG$29,Meta!$Q$3:$R$16,2,FALSE)*DF11</f>
        <v>0</v>
      </c>
      <c r="DK11" s="83">
        <f>FF_Jan1[[#This Row],[Total Nota]]-FF_Jan1[[#This Row],[Comissão]]</f>
        <v>0</v>
      </c>
      <c r="DL11" s="43"/>
      <c r="DM11" s="324"/>
      <c r="DN11" s="494" t="str">
        <f>IF(AND(FF_Jan1[[#This Row],[Total Nota]]&lt;&gt;"",FF_Jan1[[#This Row],[ITBI/ITCMD]]="",FF_Jan1[[#This Row],[Total Nota]]-IFERROR(VLOOKUP(FF_Jan1[[#This Row],[Emols.]],Meta!$AK$3:$AN$256,2,FALSE),0)&lt;&gt;0),TEXT(IFERROR(FF_Jan1[[#This Row],[Total Nota]]-VLOOKUP(FF_Jan1[[#This Row],[Emols.]],Meta!$AK$3:$AN$256,2,FALSE),""),"#.##0,00"),"")</f>
        <v/>
      </c>
      <c r="DO11" s="484"/>
      <c r="DP11" s="43"/>
      <c r="DQ11" s="325"/>
      <c r="DR11" s="326"/>
      <c r="DS11" s="98"/>
      <c r="DT11" s="73"/>
      <c r="DU11" s="99" t="str">
        <f>IFERROR(VLOOKUP(GG_Jan1[[#This Row],[Emols.]],Meta!$AK$3:$AN$256,3,FALSE),"")</f>
        <v/>
      </c>
      <c r="DV11" s="330"/>
      <c r="DW11" s="332"/>
      <c r="DX11" s="494" t="str">
        <f>IF(GG_Jan1[[#This Row],[Total Nota]]="",TEXT(IFERROR(VLOOKUP(GG_Jan1[[#This Row],[Emols.]],Meta!$AK$3:$AN$256,2,FALSE)+GG_Jan1[[#This Row],[ITBI/ITCMD]],""),"#.##0,00"),"")</f>
        <v/>
      </c>
      <c r="DY11" s="485">
        <f>GG_Jan1[[#This Row],[Emols.]]-GG_Jan1[[#This Row],[Comissão]]</f>
        <v>0</v>
      </c>
      <c r="DZ11" s="101">
        <f>VLOOKUP($DW$29,Meta!$Q$3:$R$16,2,FALSE)*DV11</f>
        <v>0</v>
      </c>
      <c r="EA11" s="101">
        <f>GG_Jan1[[#This Row],[Total Nota]]-GG_Jan1[[#This Row],[Comissão]]</f>
        <v>0</v>
      </c>
      <c r="EB11" s="132"/>
      <c r="EC11" s="332"/>
      <c r="ED11" s="494" t="str">
        <f>IF(AND(GG_Jan1[[#This Row],[Total Nota]]&lt;&gt;"",GG_Jan1[[#This Row],[ITBI/ITCMD]]="",GG_Jan1[[#This Row],[Total Nota]]-IFERROR(VLOOKUP(GG_Jan1[[#This Row],[Emols.]],Meta!$AK$3:$AN$256,2,FALSE),0)&lt;&gt;0),TEXT(IFERROR(GG_Jan1[[#This Row],[Total Nota]]-VLOOKUP(GG_Jan1[[#This Row],[Emols.]],Meta!$AK$3:$AN$256,2,FALSE),""),"#.##0,00"),"")</f>
        <v/>
      </c>
      <c r="EE11" s="487"/>
      <c r="EF11" s="132"/>
      <c r="EG11" s="330"/>
      <c r="EH11" s="326"/>
      <c r="EI11" s="104"/>
      <c r="EJ11" s="73"/>
      <c r="EK11" s="99" t="str">
        <f>IFERROR(VLOOKUP(HH_Jan1[[#This Row],[Emols.]],Meta!$AK$3:$AN$256,3,FALSE),"")</f>
        <v/>
      </c>
      <c r="EL11" s="330"/>
      <c r="EM11" s="332"/>
      <c r="EN11" s="494" t="str">
        <f>IF(HH_Jan1[[#This Row],[Total Nota]]="",TEXT(IFERROR(VLOOKUP(HH_Jan1[[#This Row],[Emols.]],Meta!$AK$3:$AN$256,2,FALSE)+HH_Jan1[[#This Row],[ITBI/ITCMD]],""),"#.##0,00"),"")</f>
        <v/>
      </c>
      <c r="EO11" s="485">
        <f>HH_Jan1[[#This Row],[Emols.]]-HH_Jan1[[#This Row],[Comissão]]</f>
        <v>0</v>
      </c>
      <c r="EP11" s="101">
        <f>VLOOKUP($EM$29,Meta!$Q$3:$R$16,2,FALSE)*EL11</f>
        <v>0</v>
      </c>
      <c r="EQ11" s="101">
        <f>HH_Jan1[[#This Row],[Total Nota]]-HH_Jan1[[#This Row],[Comissão]]</f>
        <v>0</v>
      </c>
      <c r="ER11" s="102"/>
      <c r="ES11" s="332"/>
      <c r="ET11" s="494" t="str">
        <f>IF(AND(HH_Jan1[[#This Row],[Total Nota]]&lt;&gt;"",HH_Jan1[[#This Row],[ITBI/ITCMD]]="",HH_Jan1[[#This Row],[Total Nota]]-IFERROR(VLOOKUP(HH_Jan1[[#This Row],[Emols.]],Meta!$AK$3:$AN$256,2,FALSE),0)&lt;&gt;0),TEXT(IFERROR(HH_Jan1[[#This Row],[Total Nota]]-VLOOKUP(HH_Jan1[[#This Row],[Emols.]],Meta!$AK$3:$AN$256,2,FALSE),""),"#.##0,00"),"")</f>
        <v/>
      </c>
      <c r="EU11" s="487"/>
      <c r="EV11" s="102"/>
      <c r="EW11" s="330"/>
      <c r="EX11" s="326"/>
      <c r="EY11" s="104"/>
      <c r="EZ11" s="73"/>
      <c r="FA11" s="99" t="str">
        <f>IFERROR(VLOOKUP(II_Jan1[[#This Row],[Emols.]],Meta!$AK$3:$AN$256,3,FALSE),"")</f>
        <v/>
      </c>
      <c r="FB11" s="330"/>
      <c r="FC11" s="332"/>
      <c r="FD11" s="494" t="str">
        <f>IF(II_Jan1[[#This Row],[Total Nota]]="",TEXT(IFERROR(VLOOKUP(II_Jan1[[#This Row],[Emols.]],Meta!$AK$3:$AN$256,2,FALSE)+II_Jan1[[#This Row],[ITBI/ITCMD]],""),"#.##0,00"),"")</f>
        <v/>
      </c>
      <c r="FE11" s="485">
        <f>II_Jan1[[#This Row],[Emols.]]-II_Jan1[[#This Row],[Comissão]]</f>
        <v>0</v>
      </c>
      <c r="FF11" s="101">
        <f>VLOOKUP($FC$29,Meta!$Q$3:$R$16,2,FALSE)*FB11</f>
        <v>0</v>
      </c>
      <c r="FG11" s="101">
        <f>II_Jan1[[#This Row],[Total Nota]]-II_Jan1[[#This Row],[Comissão]]</f>
        <v>0</v>
      </c>
      <c r="FH11" s="132"/>
      <c r="FI11" s="332"/>
      <c r="FJ11" s="494" t="str">
        <f>IF(AND(II_Jan1[[#This Row],[Total Nota]]&lt;&gt;"",II_Jan1[[#This Row],[ITBI/ITCMD]]="",II_Jan1[[#This Row],[Total Nota]]-IFERROR(VLOOKUP(II_Jan1[[#This Row],[Emols.]],Meta!$AK$3:$AN$256,2,FALSE),0)&lt;&gt;0),TEXT(IFERROR(II_Jan1[[#This Row],[Total Nota]]-VLOOKUP(II_Jan1[[#This Row],[Emols.]],Meta!$AK$3:$AN$256,2,FALSE),""),"#.##0,00"),"")</f>
        <v/>
      </c>
      <c r="FK11" s="487"/>
      <c r="FL11" s="102"/>
      <c r="FM11" s="330"/>
      <c r="FN11" s="326"/>
      <c r="FO11" s="104"/>
      <c r="FP11" s="73"/>
      <c r="FQ11" s="99" t="str">
        <f>IFERROR(VLOOKUP(JJ_Jan1[[#This Row],[Emols.]],Meta!$AK$3:$AN$256,3,FALSE),"")</f>
        <v/>
      </c>
      <c r="FR11" s="330"/>
      <c r="FS11" s="332"/>
      <c r="FT11" s="494" t="str">
        <f>IF(JJ_Jan1[[#This Row],[Total Nota]]="",TEXT(IFERROR(VLOOKUP(JJ_Jan1[[#This Row],[Emols.]],Meta!$AK$3:$AN$256,2,FALSE)+JJ_Jan1[[#This Row],[ITBI/ITCMD]],""),"#.##0,00"),"")</f>
        <v/>
      </c>
      <c r="FU11" s="485">
        <f>JJ_Jan1[[#This Row],[Emols.]]-JJ_Jan1[[#This Row],[Comissão]]</f>
        <v>0</v>
      </c>
      <c r="FV11" s="101">
        <f>VLOOKUP($FS$29,Meta!$Q$3:$R$16,2,FALSE)*FR11</f>
        <v>0</v>
      </c>
      <c r="FW11" s="101">
        <f>JJ_Jan1[[#This Row],[Total Nota]]-JJ_Jan1[[#This Row],[Comissão]]</f>
        <v>0</v>
      </c>
      <c r="FX11" s="132"/>
      <c r="FY11" s="332"/>
      <c r="FZ11" s="494" t="str">
        <f>IF(AND(JJ_Jan1[[#This Row],[Total Nota]]&lt;&gt;"",JJ_Jan1[[#This Row],[ITBI/ITCMD]]="",JJ_Jan1[[#This Row],[Total Nota]]-IFERROR(VLOOKUP(JJ_Jan1[[#This Row],[Emols.]],Meta!$AK$3:$AN$256,2,FALSE),0)&lt;&gt;0),TEXT(IFERROR(JJ_Jan1[[#This Row],[Total Nota]]-VLOOKUP(JJ_Jan1[[#This Row],[Emols.]],Meta!$AK$3:$AN$256,2,FALSE),""),"#.##0,00"),"")</f>
        <v/>
      </c>
      <c r="GA11" s="487"/>
      <c r="GB11" s="132"/>
      <c r="GC11" s="330"/>
      <c r="GD11" s="326"/>
      <c r="GE11" s="104"/>
      <c r="GF11" s="73"/>
      <c r="GG11" s="99" t="str">
        <f>IFERROR(VLOOKUP(KK_Jan1[[#This Row],[Emols.]],Meta!$AK$3:$AN$256,3,FALSE),"")</f>
        <v/>
      </c>
      <c r="GH11" s="330"/>
      <c r="GI11" s="332"/>
      <c r="GJ11" s="494" t="str">
        <f>IF(KK_Jan1[[#This Row],[Total Nota]]="",TEXT(IFERROR(VLOOKUP(KK_Jan1[[#This Row],[Emols.]],Meta!$AK$3:$AN$256,2,FALSE)+KK_Jan1[[#This Row],[ITBI/ITCMD]],""),"#.##0,00"),"")</f>
        <v/>
      </c>
      <c r="GK11" s="485">
        <f>KK_Jan1[[#This Row],[Emols.]]-KK_Jan1[[#This Row],[Comissão]]</f>
        <v>0</v>
      </c>
      <c r="GL11" s="101">
        <f>VLOOKUP($GI$29,Meta!$Q$3:$R$16,2,FALSE)*GH11</f>
        <v>0</v>
      </c>
      <c r="GM11" s="101">
        <f>KK_Jan1[[#This Row],[Total Nota]]-KK_Jan1[[#This Row],[Comissão]]</f>
        <v>0</v>
      </c>
      <c r="GN11" s="132"/>
      <c r="GO11" s="332"/>
      <c r="GP11" s="494" t="str">
        <f>IF(AND(KK_Jan1[[#This Row],[Total Nota]]&lt;&gt;"",KK_Jan1[[#This Row],[ITBI/ITCMD]]="",KK_Jan1[[#This Row],[Total Nota]]-IFERROR(VLOOKUP(KK_Jan1[[#This Row],[Emols.]],Meta!$AK$3:$AN$256,2,FALSE),0)&lt;&gt;0),TEXT(IFERROR(KK_Jan1[[#This Row],[Total Nota]]-VLOOKUP(KK_Jan1[[#This Row],[Emols.]],Meta!$AK$3:$AN$256,2,FALSE),""),"#.##0,00"),"")</f>
        <v/>
      </c>
      <c r="GQ11" s="487"/>
      <c r="GR11" s="132"/>
      <c r="GS11" s="330"/>
      <c r="GT11" s="326"/>
      <c r="GU11" s="104"/>
      <c r="GV11" s="73"/>
      <c r="GW11" s="99" t="str">
        <f>IFERROR(VLOOKUP(LL_Jan1[[#This Row],[Emols.]],Meta!$AK$3:$AN$256,3,FALSE),"")</f>
        <v/>
      </c>
      <c r="GX11" s="330"/>
      <c r="GY11" s="332"/>
      <c r="GZ11" s="494" t="str">
        <f>IF(LL_Jan1[[#This Row],[Total Nota]]="",TEXT(IFERROR(VLOOKUP(LL_Jan1[[#This Row],[Emols.]],Meta!$AK$3:$AN$256,2,FALSE)+LL_Jan1[[#This Row],[ITBI/ITCMD]],""),"#.##0,00"),"")</f>
        <v/>
      </c>
      <c r="HA11" s="485">
        <f>LL_Jan1[[#This Row],[Emols.]]-LL_Jan1[[#This Row],[Comissão]]</f>
        <v>0</v>
      </c>
      <c r="HB11" s="101">
        <f>VLOOKUP($GY$29,Meta!$Q$3:$R$16,2,FALSE)*GX11</f>
        <v>0</v>
      </c>
      <c r="HC11" s="101">
        <f>LL_Jan1[[#This Row],[Total Nota]]-LL_Jan1[[#This Row],[Comissão]]</f>
        <v>0</v>
      </c>
      <c r="HD11" s="132"/>
      <c r="HE11" s="332"/>
      <c r="HF11" s="494" t="str">
        <f>IF(AND(LL_Jan1[[#This Row],[Total Nota]]&lt;&gt;"",LL_Jan1[[#This Row],[ITBI/ITCMD]]="",LL_Jan1[[#This Row],[Total Nota]]-IFERROR(VLOOKUP(LL_Jan1[[#This Row],[Emols.]],Meta!$AK$3:$AN$256,2,FALSE),0)&lt;&gt;0),TEXT(IFERROR(LL_Jan1[[#This Row],[Total Nota]]-VLOOKUP(LL_Jan1[[#This Row],[Emols.]],Meta!$AK$3:$AN$256,2,FALSE),""),"#.##0,00"),"")</f>
        <v/>
      </c>
      <c r="HG11" s="487"/>
      <c r="HH11" s="132"/>
      <c r="HI11" s="330"/>
      <c r="HJ11" s="326"/>
      <c r="HK11" s="104"/>
      <c r="HL11" s="105"/>
    </row>
    <row r="12" spans="1:220" ht="14.45" customHeight="1" x14ac:dyDescent="0.25">
      <c r="A12" s="580"/>
      <c r="B12" s="541" t="str">
        <f>IF(GK29=Meta!$D$3,Meta!$Q13,"")</f>
        <v>Kiko</v>
      </c>
      <c r="C12" s="574" t="s">
        <v>252</v>
      </c>
      <c r="D12" s="570">
        <f>IF(AND(C12="S",B12&lt;&gt;""),KK_Jan1[[#Totals],[Total Nota]],"")</f>
        <v>0</v>
      </c>
      <c r="E12" s="571" t="s">
        <v>250</v>
      </c>
      <c r="F12" s="570">
        <f>IF(AND(C12="S",B12&lt;&gt;""),KK_Jan1[[#Totals],[Comissão]],"")</f>
        <v>0</v>
      </c>
      <c r="G12" s="571" t="s">
        <v>244</v>
      </c>
      <c r="H12" s="570">
        <f t="shared" si="0"/>
        <v>0</v>
      </c>
      <c r="I12" s="572" t="s">
        <v>248</v>
      </c>
      <c r="J12" s="554" t="str">
        <f t="shared" si="1"/>
        <v/>
      </c>
      <c r="K12" s="587" t="str">
        <f>IF(J12&lt;&gt;"",Meta!$X$3,IF(Q27&lt;0,Q27,""))</f>
        <v/>
      </c>
      <c r="L12" s="588"/>
      <c r="M12" s="499" t="str">
        <f>IF(K12&lt;&gt;"",IF(K12&lt;0,Meta!$X$4,""),"")</f>
        <v/>
      </c>
      <c r="N12" s="544"/>
      <c r="O12" s="535"/>
      <c r="P12" s="133" t="str">
        <f>IF(GK29=Meta!$D$3,Meta!$Q$13,"")</f>
        <v>Kiko</v>
      </c>
      <c r="Q12" s="134">
        <f>IF(GK29=Meta!$D$3,SUMIF(KK_Jan1[Tipo],Q$1,KK_Jan1[Entregue]),"")</f>
        <v>0</v>
      </c>
      <c r="R12" s="135">
        <f>IF(GK29=Meta!$D$3,SUMIF(KK_Jan1[Tipo],R$1,KK_Jan1[Entregue]),"")</f>
        <v>0</v>
      </c>
      <c r="S12" s="135">
        <f>IF(GK29=Meta!$D$3,SUMIF(KK_Jan1[Tipo],S$1,KK_Jan1[Entregue]),"")</f>
        <v>0</v>
      </c>
      <c r="T12" s="135">
        <f>IF(GK29=Meta!$D$3,SUMIF(KK_Jan1[Tipo],T$1,KK_Jan1[Entregue]),"")</f>
        <v>0</v>
      </c>
      <c r="U12" s="135">
        <f>IF(GK29=Meta!$D$3,SUMIF(KK_Jan1[Tipo],U$1,KK_Jan1[Entregue]),"")</f>
        <v>0</v>
      </c>
      <c r="V12" s="135">
        <f>IF(GK29=Meta!$D$3,SUMIF(KK_Jan1[Tipo],V$1,KK_Jan1[Entregue]),"")</f>
        <v>0</v>
      </c>
      <c r="W12" s="135">
        <f>IF(GK29=Meta!$D$3,SUMIF(KK_Jan1[Tipo],W$1,KK_Jan1[Entregue]),"")</f>
        <v>0</v>
      </c>
      <c r="X12" s="136">
        <f>IF(GK29=Meta!$D$3,SUMIF(KK_Jan1[Tipo],X$1,KK_Jan1[Entregue]),"")</f>
        <v>0</v>
      </c>
      <c r="Y12" s="137">
        <f>IF(GK29=Meta!$D$3,SUMIF(KK_Jan1[Tipo],"",KK_Jan1[Entregue]),"")</f>
        <v>0</v>
      </c>
      <c r="Z12" s="138">
        <f>IF(GK29=Meta!$D$3,ROUND(SUM(Q12:Y12),2),"")</f>
        <v>0</v>
      </c>
      <c r="AA12" s="80"/>
      <c r="AB12" s="73"/>
      <c r="AC12" s="81" t="str">
        <f>IFERROR(VLOOKUP(AA_Jan1[[#This Row],[Emols.]],Meta!$AK$3:$AN$256,3,FALSE),"")</f>
        <v/>
      </c>
      <c r="AD12" s="325"/>
      <c r="AE12" s="324"/>
      <c r="AF12" s="493" t="str">
        <f>IF(AA_Jan1[[#This Row],[Total Nota]]="",TEXT(IFERROR(VLOOKUP(AA_Jan1[[#This Row],[Emols.]],Meta!$AK$3:$AN$256,2,FALSE)+AA_Jan1[[#This Row],[ITBI/ITCMD]],""),"#.##0,00"),"")</f>
        <v/>
      </c>
      <c r="AG12" s="482">
        <f>AA_Jan1[[#This Row],[Emols.]]-AA_Jan1[[#This Row],[Comissão]]</f>
        <v>0</v>
      </c>
      <c r="AH12" s="83">
        <f>VLOOKUP($AE$29,Meta!$Q$3:$R$16,2,FALSE)*AD12</f>
        <v>0</v>
      </c>
      <c r="AI12" s="83">
        <f>AA_Jan1[[#This Row],[Total Nota]]-AA_Jan1[[#This Row],[Comissão]]</f>
        <v>0</v>
      </c>
      <c r="AJ12" s="42"/>
      <c r="AK12" s="324"/>
      <c r="AL12" s="493" t="str">
        <f>IF(AND(AA_Jan1[[#This Row],[Total Nota]]&lt;&gt;"",AA_Jan1[[#This Row],[ITBI/ITCMD]]="",AA_Jan1[[#This Row],[Total Nota]]-IFERROR(VLOOKUP(AA_Jan1[[#This Row],[Emols.]],Meta!$AK$3:$AN$256,2,FALSE),0)&lt;&gt;0),TEXT(IFERROR(AA_Jan1[[#This Row],[Total Nota]]-VLOOKUP(AA_Jan1[[#This Row],[Emols.]],Meta!$AK$3:$AN$256,2,FALSE),""),"#.##0,00"),"")</f>
        <v/>
      </c>
      <c r="AM12" s="484"/>
      <c r="AN12" s="40"/>
      <c r="AO12" s="325"/>
      <c r="AP12" s="326"/>
      <c r="AQ12" s="85"/>
      <c r="AR12" s="86"/>
      <c r="AS12" s="87" t="str">
        <f>IFERROR(VLOOKUP(BB_Jan1[[#This Row],[Emols.]],Meta!$AK$3:$AN$256,3,FALSE),"")</f>
        <v/>
      </c>
      <c r="AT12" s="325"/>
      <c r="AU12" s="324"/>
      <c r="AV12" s="493" t="str">
        <f>IF(BB_Jan1[[#This Row],[Total Nota]]="",TEXT(IFERROR(VLOOKUP(BB_Jan1[[#This Row],[Emols.]],Meta!$AK$3:$AN$256,2,FALSE)+BB_Jan1[[#This Row],[ITBI/ITCMD]],""),"#.##0,00"),"")</f>
        <v/>
      </c>
      <c r="AW12" s="482">
        <f>BB_Jan1[[#This Row],[Emols.]]-BB_Jan1[[#This Row],[Comissão]]</f>
        <v>0</v>
      </c>
      <c r="AX12" s="83">
        <f>VLOOKUP($AU$29,Meta!$Q$3:$R$16,2,FALSE)*AT12</f>
        <v>0</v>
      </c>
      <c r="AY12" s="83">
        <f>BB_Jan1[[#This Row],[Total Nota]]-BB_Jan1[[#This Row],[Comissão]]</f>
        <v>0</v>
      </c>
      <c r="AZ12" s="43"/>
      <c r="BA12" s="489"/>
      <c r="BB12" s="494" t="str">
        <f>IF(AND(BB_Jan1[[#This Row],[Total Nota]]&lt;&gt;"",BB_Jan1[[#This Row],[ITBI/ITCMD]]="",BB_Jan1[[#This Row],[Total Nota]]-IFERROR(VLOOKUP(BB_Jan1[[#This Row],[Emols.]],Meta!$AK$3:$AN$256,2,FALSE),0)&lt;&gt;0),TEXT(IFERROR(BB_Jan1[[#This Row],[Total Nota]]-VLOOKUP(BB_Jan1[[#This Row],[Emols.]],Meta!$AK$3:$AN$256,2,FALSE),""),"#.##0,00"),"")</f>
        <v/>
      </c>
      <c r="BC12" s="484"/>
      <c r="BD12" s="41"/>
      <c r="BE12" s="325"/>
      <c r="BF12" s="326"/>
      <c r="BG12" s="89"/>
      <c r="BH12" s="86"/>
      <c r="BI12" s="90" t="str">
        <f>IFERROR(VLOOKUP(CC_Jan1[[#This Row],[Emols.]],Meta!$AK$3:$AN$256,3,FALSE),"")</f>
        <v/>
      </c>
      <c r="BJ12" s="325"/>
      <c r="BK12" s="489"/>
      <c r="BL12" s="494" t="str">
        <f>IF(CC_Jan1[[#This Row],[Total Nota]]="",TEXT(IFERROR(VLOOKUP(CC_Jan1[[#This Row],[Emols.]],Meta!$AK$3:$AN$256,2,FALSE)+CC_Jan1[[#This Row],[ITBI/ITCMD]],""),"#.##0,00"),"")</f>
        <v/>
      </c>
      <c r="BM12" s="482">
        <f>CC_Jan1[[#This Row],[Emols.]]-CC_Jan1[[#This Row],[Comissão]]</f>
        <v>0</v>
      </c>
      <c r="BN12" s="83">
        <f>VLOOKUP($BK$29,Meta!$Q$3:$R$16,2,FALSE)*BJ12</f>
        <v>0</v>
      </c>
      <c r="BO12" s="83">
        <f>CC_Jan1[[#This Row],[Total Nota]]-CC_Jan1[[#This Row],[Comissão]]</f>
        <v>0</v>
      </c>
      <c r="BP12" s="44"/>
      <c r="BQ12" s="489"/>
      <c r="BR12" s="494" t="str">
        <f>IF(AND(CC_Jan1[[#This Row],[Total Nota]]&lt;&gt;"",CC_Jan1[[#This Row],[ITBI/ITCMD]]="",CC_Jan1[[#This Row],[Total Nota]]-IFERROR(VLOOKUP(CC_Jan1[[#This Row],[Emols.]],Meta!$AK$3:$AN$256,2,FALSE),0)&lt;&gt;0),TEXT(IFERROR(CC_Jan1[[#This Row],[Total Nota]]-VLOOKUP(CC_Jan1[[#This Row],[Emols.]],Meta!$AK$3:$AN$256,2,FALSE),""),"#.##0,00"),"")</f>
        <v/>
      </c>
      <c r="BS12" s="484"/>
      <c r="BT12" s="44"/>
      <c r="BU12" s="325"/>
      <c r="BV12" s="326"/>
      <c r="BW12" s="91"/>
      <c r="BX12" s="86"/>
      <c r="BY12" s="92" t="str">
        <f>IFERROR(VLOOKUP(DD_Jan1[[#This Row],[Emols.]],Meta!$AK$3:$AN$256,3,FALSE),"")</f>
        <v/>
      </c>
      <c r="BZ12" s="325"/>
      <c r="CA12" s="324"/>
      <c r="CB12" s="493" t="str">
        <f>IF(DD_Jan1[[#This Row],[Total Nota]]="",TEXT(IFERROR(VLOOKUP(DD_Jan1[[#This Row],[Emols.]],Meta!$AK$3:$AN$256,2,FALSE)+DD_Jan1[[#This Row],[ITBI/ITCMD]],""),"#.##0,00"),"")</f>
        <v/>
      </c>
      <c r="CC12" s="482">
        <f>DD_Jan1[[#This Row],[Emols.]]-DD_Jan1[[#This Row],[Comissão]]</f>
        <v>0</v>
      </c>
      <c r="CD12" s="83">
        <f>VLOOKUP($CA$29,Meta!$Q$3:$R$16,2,FALSE)*BZ12</f>
        <v>0</v>
      </c>
      <c r="CE12" s="83">
        <f>DD_Jan1[[#This Row],[Total Nota]]-DD_Jan1[[#This Row],[Comissão]]</f>
        <v>0</v>
      </c>
      <c r="CF12" s="139"/>
      <c r="CG12" s="324"/>
      <c r="CH12" s="493" t="str">
        <f>IF(AND(DD_Jan1[[#This Row],[Total Nota]]&lt;&gt;"",DD_Jan1[[#This Row],[ITBI/ITCMD]]="",DD_Jan1[[#This Row],[Total Nota]]-IFERROR(VLOOKUP(DD_Jan1[[#This Row],[Emols.]],Meta!$AK$3:$AN$256,2,FALSE),0)&lt;&gt;0),TEXT(IFERROR(DD_Jan1[[#This Row],[Total Nota]]-VLOOKUP(DD_Jan1[[#This Row],[Emols.]],Meta!$AK$3:$AN$256,2,FALSE),""),"#.##0,00"),"")</f>
        <v/>
      </c>
      <c r="CI12" s="484"/>
      <c r="CJ12" s="139"/>
      <c r="CK12" s="325"/>
      <c r="CL12" s="326"/>
      <c r="CM12" s="94"/>
      <c r="CN12" s="86"/>
      <c r="CO12" s="95" t="str">
        <f>IFERROR(VLOOKUP(EE_Jan1[[#This Row],[Emols.]],Meta!$AK$3:$AN$256,3,FALSE),"")</f>
        <v/>
      </c>
      <c r="CP12" s="325"/>
      <c r="CQ12" s="489"/>
      <c r="CR12" s="494" t="str">
        <f>IF(EE_Jan1[[#This Row],[Total Nota]]="",TEXT(IFERROR(VLOOKUP(EE_Jan1[[#This Row],[Emols.]],Meta!$AK$3:$AN$256,2,FALSE)+EE_Jan1[[#This Row],[ITBI/ITCMD]],""),"#.##0,00"),"")</f>
        <v/>
      </c>
      <c r="CS12" s="482">
        <f>EE_Jan1[[#This Row],[Emols.]]-EE_Jan1[[#This Row],[Comissão]]</f>
        <v>0</v>
      </c>
      <c r="CT12" s="83">
        <f>VLOOKUP($CQ$29,Meta!$Q$3:$R$16,2,FALSE)*CP12</f>
        <v>0</v>
      </c>
      <c r="CU12" s="83">
        <f>EE_Jan1[[#This Row],[Total Nota]]-EE_Jan1[[#This Row],[Comissão]]</f>
        <v>0</v>
      </c>
      <c r="CV12" s="140"/>
      <c r="CW12" s="324"/>
      <c r="CX12" s="493" t="str">
        <f>IF(AND(EE_Jan1[[#This Row],[Total Nota]]&lt;&gt;"",EE_Jan1[[#This Row],[ITBI/ITCMD]]="",EE_Jan1[[#This Row],[Total Nota]]-IFERROR(VLOOKUP(EE_Jan1[[#This Row],[Emols.]],Meta!$AK$3:$AN$256,2,FALSE),0)&lt;&gt;0),TEXT(IFERROR(EE_Jan1[[#This Row],[Total Nota]]-VLOOKUP(EE_Jan1[[#This Row],[Emols.]],Meta!$AK$3:$AN$256,2,FALSE),""),"#.##0,00"),"")</f>
        <v/>
      </c>
      <c r="CY12" s="484"/>
      <c r="CZ12" s="140"/>
      <c r="DA12" s="325"/>
      <c r="DB12" s="326"/>
      <c r="DC12" s="97"/>
      <c r="DD12" s="86"/>
      <c r="DE12" s="87" t="str">
        <f>IFERROR(VLOOKUP(FF_Jan1[[#This Row],[Emols.]],Meta!$AK$3:$AN$256,3,FALSE),"")</f>
        <v/>
      </c>
      <c r="DF12" s="325"/>
      <c r="DG12" s="489"/>
      <c r="DH12" s="494" t="str">
        <f>IF(FF_Jan1[[#This Row],[Total Nota]]="",TEXT(IFERROR(VLOOKUP(FF_Jan1[[#This Row],[Emols.]],Meta!$AK$3:$AN$256,2,FALSE)+FF_Jan1[[#This Row],[ITBI/ITCMD]],""),"#.##0,00"),"")</f>
        <v/>
      </c>
      <c r="DI12" s="482">
        <f>FF_Jan1[[#This Row],[Emols.]]-FF_Jan1[[#This Row],[Comissão]]</f>
        <v>0</v>
      </c>
      <c r="DJ12" s="83">
        <f>VLOOKUP($DG$29,Meta!$Q$3:$R$16,2,FALSE)*DF12</f>
        <v>0</v>
      </c>
      <c r="DK12" s="83">
        <f>FF_Jan1[[#This Row],[Total Nota]]-FF_Jan1[[#This Row],[Comissão]]</f>
        <v>0</v>
      </c>
      <c r="DL12" s="43"/>
      <c r="DM12" s="489"/>
      <c r="DN12" s="494" t="str">
        <f>IF(AND(FF_Jan1[[#This Row],[Total Nota]]&lt;&gt;"",FF_Jan1[[#This Row],[ITBI/ITCMD]]="",FF_Jan1[[#This Row],[Total Nota]]-IFERROR(VLOOKUP(FF_Jan1[[#This Row],[Emols.]],Meta!$AK$3:$AN$256,2,FALSE),0)&lt;&gt;0),TEXT(IFERROR(FF_Jan1[[#This Row],[Total Nota]]-VLOOKUP(FF_Jan1[[#This Row],[Emols.]],Meta!$AK$3:$AN$256,2,FALSE),""),"#.##0,00"),"")</f>
        <v/>
      </c>
      <c r="DO12" s="484"/>
      <c r="DP12" s="41"/>
      <c r="DQ12" s="325"/>
      <c r="DR12" s="326"/>
      <c r="DS12" s="98"/>
      <c r="DT12" s="73"/>
      <c r="DU12" s="99" t="str">
        <f>IFERROR(VLOOKUP(GG_Jan1[[#This Row],[Emols.]],Meta!$AK$3:$AN$256,3,FALSE),"")</f>
        <v/>
      </c>
      <c r="DV12" s="330"/>
      <c r="DW12" s="492"/>
      <c r="DX12" s="494" t="str">
        <f>IF(GG_Jan1[[#This Row],[Total Nota]]="",TEXT(IFERROR(VLOOKUP(GG_Jan1[[#This Row],[Emols.]],Meta!$AK$3:$AN$256,2,FALSE)+GG_Jan1[[#This Row],[ITBI/ITCMD]],""),"#.##0,00"),"")</f>
        <v/>
      </c>
      <c r="DY12" s="485">
        <f>GG_Jan1[[#This Row],[Emols.]]-GG_Jan1[[#This Row],[Comissão]]</f>
        <v>0</v>
      </c>
      <c r="DZ12" s="101">
        <f>VLOOKUP($DW$29,Meta!$Q$3:$R$16,2,FALSE)*DV12</f>
        <v>0</v>
      </c>
      <c r="EA12" s="101">
        <f>GG_Jan1[[#This Row],[Total Nota]]-GG_Jan1[[#This Row],[Comissão]]</f>
        <v>0</v>
      </c>
      <c r="EB12" s="132"/>
      <c r="EC12" s="332"/>
      <c r="ED12" s="493" t="str">
        <f>IF(AND(GG_Jan1[[#This Row],[Total Nota]]&lt;&gt;"",GG_Jan1[[#This Row],[ITBI/ITCMD]]="",GG_Jan1[[#This Row],[Total Nota]]-IFERROR(VLOOKUP(GG_Jan1[[#This Row],[Emols.]],Meta!$AK$3:$AN$256,2,FALSE),0)&lt;&gt;0),TEXT(IFERROR(GG_Jan1[[#This Row],[Total Nota]]-VLOOKUP(GG_Jan1[[#This Row],[Emols.]],Meta!$AK$3:$AN$256,2,FALSE),""),"#.##0,00"),"")</f>
        <v/>
      </c>
      <c r="EE12" s="487"/>
      <c r="EF12" s="132"/>
      <c r="EG12" s="330"/>
      <c r="EH12" s="326"/>
      <c r="EI12" s="104"/>
      <c r="EJ12" s="73"/>
      <c r="EK12" s="99" t="str">
        <f>IFERROR(VLOOKUP(HH_Jan1[[#This Row],[Emols.]],Meta!$AK$3:$AN$256,3,FALSE),"")</f>
        <v/>
      </c>
      <c r="EL12" s="330"/>
      <c r="EM12" s="332"/>
      <c r="EN12" s="493" t="str">
        <f>IF(HH_Jan1[[#This Row],[Total Nota]]="",TEXT(IFERROR(VLOOKUP(HH_Jan1[[#This Row],[Emols.]],Meta!$AK$3:$AN$256,2,FALSE)+HH_Jan1[[#This Row],[ITBI/ITCMD]],""),"#.##0,00"),"")</f>
        <v/>
      </c>
      <c r="EO12" s="485">
        <f>HH_Jan1[[#This Row],[Emols.]]-HH_Jan1[[#This Row],[Comissão]]</f>
        <v>0</v>
      </c>
      <c r="EP12" s="101">
        <f>VLOOKUP($EM$29,Meta!$Q$3:$R$16,2,FALSE)*EL12</f>
        <v>0</v>
      </c>
      <c r="EQ12" s="101">
        <f>HH_Jan1[[#This Row],[Total Nota]]-HH_Jan1[[#This Row],[Comissão]]</f>
        <v>0</v>
      </c>
      <c r="ER12" s="132"/>
      <c r="ES12" s="332"/>
      <c r="ET12" s="493" t="str">
        <f>IF(AND(HH_Jan1[[#This Row],[Total Nota]]&lt;&gt;"",HH_Jan1[[#This Row],[ITBI/ITCMD]]="",HH_Jan1[[#This Row],[Total Nota]]-IFERROR(VLOOKUP(HH_Jan1[[#This Row],[Emols.]],Meta!$AK$3:$AN$256,2,FALSE),0)&lt;&gt;0),TEXT(IFERROR(HH_Jan1[[#This Row],[Total Nota]]-VLOOKUP(HH_Jan1[[#This Row],[Emols.]],Meta!$AK$3:$AN$256,2,FALSE),""),"#.##0,00"),"")</f>
        <v/>
      </c>
      <c r="EU12" s="487"/>
      <c r="EV12" s="102"/>
      <c r="EW12" s="330"/>
      <c r="EX12" s="326"/>
      <c r="EY12" s="104"/>
      <c r="EZ12" s="73"/>
      <c r="FA12" s="99" t="str">
        <f>IFERROR(VLOOKUP(II_Jan1[[#This Row],[Emols.]],Meta!$AK$3:$AN$256,3,FALSE),"")</f>
        <v/>
      </c>
      <c r="FB12" s="330"/>
      <c r="FC12" s="332"/>
      <c r="FD12" s="493" t="str">
        <f>IF(II_Jan1[[#This Row],[Total Nota]]="",TEXT(IFERROR(VLOOKUP(II_Jan1[[#This Row],[Emols.]],Meta!$AK$3:$AN$256,2,FALSE)+II_Jan1[[#This Row],[ITBI/ITCMD]],""),"#.##0,00"),"")</f>
        <v/>
      </c>
      <c r="FE12" s="485">
        <f>II_Jan1[[#This Row],[Emols.]]-II_Jan1[[#This Row],[Comissão]]</f>
        <v>0</v>
      </c>
      <c r="FF12" s="101">
        <f>VLOOKUP($FC$29,Meta!$Q$3:$R$16,2,FALSE)*FB12</f>
        <v>0</v>
      </c>
      <c r="FG12" s="101">
        <f>II_Jan1[[#This Row],[Total Nota]]-II_Jan1[[#This Row],[Comissão]]</f>
        <v>0</v>
      </c>
      <c r="FH12" s="132"/>
      <c r="FI12" s="492"/>
      <c r="FJ12" s="494" t="str">
        <f>IF(AND(II_Jan1[[#This Row],[Total Nota]]&lt;&gt;"",II_Jan1[[#This Row],[ITBI/ITCMD]]="",II_Jan1[[#This Row],[Total Nota]]-IFERROR(VLOOKUP(II_Jan1[[#This Row],[Emols.]],Meta!$AK$3:$AN$256,2,FALSE),0)&lt;&gt;0),TEXT(IFERROR(II_Jan1[[#This Row],[Total Nota]]-VLOOKUP(II_Jan1[[#This Row],[Emols.]],Meta!$AK$3:$AN$256,2,FALSE),""),"#.##0,00"),"")</f>
        <v/>
      </c>
      <c r="FK12" s="487"/>
      <c r="FL12" s="102"/>
      <c r="FM12" s="330"/>
      <c r="FN12" s="326"/>
      <c r="FO12" s="104"/>
      <c r="FP12" s="73"/>
      <c r="FQ12" s="99" t="str">
        <f>IFERROR(VLOOKUP(JJ_Jan1[[#This Row],[Emols.]],Meta!$AK$3:$AN$256,3,FALSE),"")</f>
        <v/>
      </c>
      <c r="FR12" s="330"/>
      <c r="FS12" s="492"/>
      <c r="FT12" s="494" t="str">
        <f>IF(JJ_Jan1[[#This Row],[Total Nota]]="",TEXT(IFERROR(VLOOKUP(JJ_Jan1[[#This Row],[Emols.]],Meta!$AK$3:$AN$256,2,FALSE)+JJ_Jan1[[#This Row],[ITBI/ITCMD]],""),"#.##0,00"),"")</f>
        <v/>
      </c>
      <c r="FU12" s="485">
        <f>JJ_Jan1[[#This Row],[Emols.]]-JJ_Jan1[[#This Row],[Comissão]]</f>
        <v>0</v>
      </c>
      <c r="FV12" s="101">
        <f>VLOOKUP($FS$29,Meta!$Q$3:$R$16,2,FALSE)*FR12</f>
        <v>0</v>
      </c>
      <c r="FW12" s="101">
        <f>JJ_Jan1[[#This Row],[Total Nota]]-JJ_Jan1[[#This Row],[Comissão]]</f>
        <v>0</v>
      </c>
      <c r="FX12" s="132"/>
      <c r="FY12" s="332"/>
      <c r="FZ12" s="493" t="str">
        <f>IF(AND(JJ_Jan1[[#This Row],[Total Nota]]&lt;&gt;"",JJ_Jan1[[#This Row],[ITBI/ITCMD]]="",JJ_Jan1[[#This Row],[Total Nota]]-IFERROR(VLOOKUP(JJ_Jan1[[#This Row],[Emols.]],Meta!$AK$3:$AN$256,2,FALSE),0)&lt;&gt;0),TEXT(IFERROR(JJ_Jan1[[#This Row],[Total Nota]]-VLOOKUP(JJ_Jan1[[#This Row],[Emols.]],Meta!$AK$3:$AN$256,2,FALSE),""),"#.##0,00"),"")</f>
        <v/>
      </c>
      <c r="GA12" s="487"/>
      <c r="GB12" s="102"/>
      <c r="GC12" s="330"/>
      <c r="GD12" s="326"/>
      <c r="GE12" s="104"/>
      <c r="GF12" s="73"/>
      <c r="GG12" s="99" t="str">
        <f>IFERROR(VLOOKUP(KK_Jan1[[#This Row],[Emols.]],Meta!$AK$3:$AN$256,3,FALSE),"")</f>
        <v/>
      </c>
      <c r="GH12" s="330"/>
      <c r="GI12" s="332"/>
      <c r="GJ12" s="493" t="str">
        <f>IF(KK_Jan1[[#This Row],[Total Nota]]="",TEXT(IFERROR(VLOOKUP(KK_Jan1[[#This Row],[Emols.]],Meta!$AK$3:$AN$256,2,FALSE)+KK_Jan1[[#This Row],[ITBI/ITCMD]],""),"#.##0,00"),"")</f>
        <v/>
      </c>
      <c r="GK12" s="485">
        <f>KK_Jan1[[#This Row],[Emols.]]-KK_Jan1[[#This Row],[Comissão]]</f>
        <v>0</v>
      </c>
      <c r="GL12" s="101">
        <f>VLOOKUP($GI$29,Meta!$Q$3:$R$16,2,FALSE)*GH12</f>
        <v>0</v>
      </c>
      <c r="GM12" s="101">
        <f>KK_Jan1[[#This Row],[Total Nota]]-KK_Jan1[[#This Row],[Comissão]]</f>
        <v>0</v>
      </c>
      <c r="GN12" s="132"/>
      <c r="GO12" s="492"/>
      <c r="GP12" s="494" t="str">
        <f>IF(AND(KK_Jan1[[#This Row],[Total Nota]]&lt;&gt;"",KK_Jan1[[#This Row],[ITBI/ITCMD]]="",KK_Jan1[[#This Row],[Total Nota]]-IFERROR(VLOOKUP(KK_Jan1[[#This Row],[Emols.]],Meta!$AK$3:$AN$256,2,FALSE),0)&lt;&gt;0),TEXT(IFERROR(KK_Jan1[[#This Row],[Total Nota]]-VLOOKUP(KK_Jan1[[#This Row],[Emols.]],Meta!$AK$3:$AN$256,2,FALSE),""),"#.##0,00"),"")</f>
        <v/>
      </c>
      <c r="GQ12" s="487"/>
      <c r="GR12" s="102"/>
      <c r="GS12" s="330"/>
      <c r="GT12" s="326"/>
      <c r="GU12" s="104"/>
      <c r="GV12" s="73"/>
      <c r="GW12" s="99" t="str">
        <f>IFERROR(VLOOKUP(LL_Jan1[[#This Row],[Emols.]],Meta!$AK$3:$AN$256,3,FALSE),"")</f>
        <v/>
      </c>
      <c r="GX12" s="330"/>
      <c r="GY12" s="492"/>
      <c r="GZ12" s="494" t="str">
        <f>IF(LL_Jan1[[#This Row],[Total Nota]]="",TEXT(IFERROR(VLOOKUP(LL_Jan1[[#This Row],[Emols.]],Meta!$AK$3:$AN$256,2,FALSE)+LL_Jan1[[#This Row],[ITBI/ITCMD]],""),"#.##0,00"),"")</f>
        <v/>
      </c>
      <c r="HA12" s="485">
        <f>LL_Jan1[[#This Row],[Emols.]]-LL_Jan1[[#This Row],[Comissão]]</f>
        <v>0</v>
      </c>
      <c r="HB12" s="101">
        <f>VLOOKUP($GY$29,Meta!$Q$3:$R$16,2,FALSE)*GX12</f>
        <v>0</v>
      </c>
      <c r="HC12" s="101">
        <f>LL_Jan1[[#This Row],[Total Nota]]-LL_Jan1[[#This Row],[Comissão]]</f>
        <v>0</v>
      </c>
      <c r="HD12" s="132"/>
      <c r="HE12" s="332"/>
      <c r="HF12" s="493" t="str">
        <f>IF(AND(LL_Jan1[[#This Row],[Total Nota]]&lt;&gt;"",LL_Jan1[[#This Row],[ITBI/ITCMD]]="",LL_Jan1[[#This Row],[Total Nota]]-IFERROR(VLOOKUP(LL_Jan1[[#This Row],[Emols.]],Meta!$AK$3:$AN$256,2,FALSE),0)&lt;&gt;0),TEXT(IFERROR(LL_Jan1[[#This Row],[Total Nota]]-VLOOKUP(LL_Jan1[[#This Row],[Emols.]],Meta!$AK$3:$AN$256,2,FALSE),""),"#.##0,00"),"")</f>
        <v/>
      </c>
      <c r="HG12" s="487"/>
      <c r="HH12" s="102"/>
      <c r="HI12" s="330"/>
      <c r="HJ12" s="326"/>
      <c r="HK12" s="104"/>
      <c r="HL12" s="105"/>
    </row>
    <row r="13" spans="1:220" ht="14.45" customHeight="1" x14ac:dyDescent="0.25">
      <c r="A13" s="580"/>
      <c r="B13" s="562" t="str">
        <f>IF(HA29=Meta!$D$3,Meta!$Q14,"")</f>
        <v>Laura</v>
      </c>
      <c r="C13" s="574" t="s">
        <v>252</v>
      </c>
      <c r="D13" s="567">
        <f>IF(AND(C13="S",B13&lt;&gt;""),LL_Jan1[[#Totals],[Total Nota]],"")</f>
        <v>0</v>
      </c>
      <c r="E13" s="568" t="s">
        <v>250</v>
      </c>
      <c r="F13" s="567">
        <f>IF(AND(C13="S",B13&lt;&gt;""),LL_Jan1[[#Totals],[Comissão]],"")</f>
        <v>0</v>
      </c>
      <c r="G13" s="568" t="s">
        <v>244</v>
      </c>
      <c r="H13" s="567">
        <f t="shared" si="0"/>
        <v>0</v>
      </c>
      <c r="I13" s="569" t="s">
        <v>248</v>
      </c>
      <c r="J13" s="555" t="str">
        <f t="shared" si="1"/>
        <v/>
      </c>
      <c r="K13" s="582" t="str">
        <f>IF(J13&lt;&gt;"",Meta!$X$3,IF(Q28&lt;0,Q28,""))</f>
        <v/>
      </c>
      <c r="L13" s="582"/>
      <c r="M13" s="520" t="str">
        <f>IF(K13&lt;&gt;"",IF(K13&lt;0,Meta!$X$4,""),"")</f>
        <v/>
      </c>
      <c r="N13" s="545"/>
      <c r="O13" s="535"/>
      <c r="P13" s="133" t="str">
        <f>IF(HA29=Meta!$D$3,Meta!$Q$14,"")</f>
        <v>Laura</v>
      </c>
      <c r="Q13" s="141">
        <f>IF(HA29=Meta!$D$3,SUMIF(LL_Jan1[Tipo],Q$1,LL_Jan1[Entregue]),"")</f>
        <v>0</v>
      </c>
      <c r="R13" s="142">
        <f>IF(HA29=Meta!$D$3,SUMIF(LL_Jan1[Tipo],R$1,LL_Jan1[Entregue]),"")</f>
        <v>0</v>
      </c>
      <c r="S13" s="142">
        <f>IF(HA29=Meta!$D$3,SUMIF(LL_Jan1[Tipo],S$1,LL_Jan1[Entregue]),"")</f>
        <v>0</v>
      </c>
      <c r="T13" s="142">
        <f>IF(HA29=Meta!$D$3,SUMIF(LL_Jan1[Tipo],T$1,LL_Jan1[Entregue]),"")</f>
        <v>0</v>
      </c>
      <c r="U13" s="142">
        <f>IF(HA29=Meta!$D$3,SUMIF(LL_Jan1[Tipo],U$1,LL_Jan1[Entregue]),"")</f>
        <v>0</v>
      </c>
      <c r="V13" s="142">
        <f>IF(HA29=Meta!$D$3,SUMIF(LL_Jan1[Tipo],V$1,LL_Jan1[Entregue]),"")</f>
        <v>0</v>
      </c>
      <c r="W13" s="142">
        <f>IF(HA29=Meta!$D$3,SUMIF(LL_Jan1[Tipo],W$1,LL_Jan1[Entregue]),"")</f>
        <v>0</v>
      </c>
      <c r="X13" s="143">
        <f>IF(HA29=Meta!$D$3,SUMIF(LL_Jan1[Tipo],X$1,LL_Jan1[Entregue]),"")</f>
        <v>0</v>
      </c>
      <c r="Y13" s="144">
        <f>IF(HA29=Meta!$D$3,SUMIF(LL_Jan1[Tipo],"",LL_Jan1[Entregue]),"")</f>
        <v>0</v>
      </c>
      <c r="Z13" s="145">
        <f>IF(HA29=Meta!$D$3,ROUND(SUM(Q13:Y13),2),"")</f>
        <v>0</v>
      </c>
      <c r="AA13" s="80"/>
      <c r="AB13" s="73"/>
      <c r="AC13" s="81" t="str">
        <f>IFERROR(VLOOKUP(AA_Jan1[[#This Row],[Emols.]],Meta!$AK$3:$AN$256,3,FALSE),"")</f>
        <v/>
      </c>
      <c r="AD13" s="325"/>
      <c r="AE13" s="324"/>
      <c r="AF13" s="494" t="str">
        <f>IF(AA_Jan1[[#This Row],[Total Nota]]="",TEXT(IFERROR(VLOOKUP(AA_Jan1[[#This Row],[Emols.]],Meta!$AK$3:$AN$256,2,FALSE)+AA_Jan1[[#This Row],[ITBI/ITCMD]],""),"#.##0,00"),"")</f>
        <v/>
      </c>
      <c r="AG13" s="482">
        <f>AA_Jan1[[#This Row],[Emols.]]-AA_Jan1[[#This Row],[Comissão]]</f>
        <v>0</v>
      </c>
      <c r="AH13" s="83">
        <f>VLOOKUP($AE$29,Meta!$Q$3:$R$16,2,FALSE)*AD13</f>
        <v>0</v>
      </c>
      <c r="AI13" s="83">
        <f>AA_Jan1[[#This Row],[Total Nota]]-AA_Jan1[[#This Row],[Comissão]]</f>
        <v>0</v>
      </c>
      <c r="AJ13" s="42"/>
      <c r="AK13" s="324"/>
      <c r="AL13" s="494" t="str">
        <f>IF(AND(AA_Jan1[[#This Row],[Total Nota]]&lt;&gt;"",AA_Jan1[[#This Row],[ITBI/ITCMD]]="",AA_Jan1[[#This Row],[Total Nota]]-IFERROR(VLOOKUP(AA_Jan1[[#This Row],[Emols.]],Meta!$AK$3:$AN$256,2,FALSE),0)&lt;&gt;0),TEXT(IFERROR(AA_Jan1[[#This Row],[Total Nota]]-VLOOKUP(AA_Jan1[[#This Row],[Emols.]],Meta!$AK$3:$AN$256,2,FALSE),""),"#.##0,00"),"")</f>
        <v/>
      </c>
      <c r="AM13" s="484"/>
      <c r="AN13" s="40"/>
      <c r="AO13" s="325"/>
      <c r="AP13" s="326"/>
      <c r="AQ13" s="85"/>
      <c r="AR13" s="86"/>
      <c r="AS13" s="87" t="str">
        <f>IFERROR(VLOOKUP(BB_Jan1[[#This Row],[Emols.]],Meta!$AK$3:$AN$256,3,FALSE),"")</f>
        <v/>
      </c>
      <c r="AT13" s="325"/>
      <c r="AU13" s="324"/>
      <c r="AV13" s="494" t="str">
        <f>IF(BB_Jan1[[#This Row],[Total Nota]]="",TEXT(IFERROR(VLOOKUP(BB_Jan1[[#This Row],[Emols.]],Meta!$AK$3:$AN$256,2,FALSE)+BB_Jan1[[#This Row],[ITBI/ITCMD]],""),"#.##0,00"),"")</f>
        <v/>
      </c>
      <c r="AW13" s="482">
        <f>BB_Jan1[[#This Row],[Emols.]]-BB_Jan1[[#This Row],[Comissão]]</f>
        <v>0</v>
      </c>
      <c r="AX13" s="83">
        <f>VLOOKUP($AU$29,Meta!$Q$3:$R$16,2,FALSE)*AT13</f>
        <v>0</v>
      </c>
      <c r="AY13" s="83">
        <f>BB_Jan1[[#This Row],[Total Nota]]-BB_Jan1[[#This Row],[Comissão]]</f>
        <v>0</v>
      </c>
      <c r="AZ13" s="43"/>
      <c r="BA13" s="324"/>
      <c r="BB13" s="494" t="str">
        <f>IF(AND(BB_Jan1[[#This Row],[Total Nota]]&lt;&gt;"",BB_Jan1[[#This Row],[ITBI/ITCMD]]="",BB_Jan1[[#This Row],[Total Nota]]-IFERROR(VLOOKUP(BB_Jan1[[#This Row],[Emols.]],Meta!$AK$3:$AN$256,2,FALSE),0)&lt;&gt;0),TEXT(IFERROR(BB_Jan1[[#This Row],[Total Nota]]-VLOOKUP(BB_Jan1[[#This Row],[Emols.]],Meta!$AK$3:$AN$256,2,FALSE),""),"#.##0,00"),"")</f>
        <v/>
      </c>
      <c r="BC13" s="484"/>
      <c r="BD13" s="41"/>
      <c r="BE13" s="325"/>
      <c r="BF13" s="326"/>
      <c r="BG13" s="89"/>
      <c r="BH13" s="86"/>
      <c r="BI13" s="90" t="str">
        <f>IFERROR(VLOOKUP(CC_Jan1[[#This Row],[Emols.]],Meta!$AK$3:$AN$256,3,FALSE),"")</f>
        <v/>
      </c>
      <c r="BJ13" s="325"/>
      <c r="BK13" s="324"/>
      <c r="BL13" s="494" t="str">
        <f>IF(CC_Jan1[[#This Row],[Total Nota]]="",TEXT(IFERROR(VLOOKUP(CC_Jan1[[#This Row],[Emols.]],Meta!$AK$3:$AN$256,2,FALSE)+CC_Jan1[[#This Row],[ITBI/ITCMD]],""),"#.##0,00"),"")</f>
        <v/>
      </c>
      <c r="BM13" s="482">
        <f>CC_Jan1[[#This Row],[Emols.]]-CC_Jan1[[#This Row],[Comissão]]</f>
        <v>0</v>
      </c>
      <c r="BN13" s="83">
        <f>VLOOKUP($BK$29,Meta!$Q$3:$R$16,2,FALSE)*BJ13</f>
        <v>0</v>
      </c>
      <c r="BO13" s="83">
        <f>CC_Jan1[[#This Row],[Total Nota]]-CC_Jan1[[#This Row],[Comissão]]</f>
        <v>0</v>
      </c>
      <c r="BP13" s="44"/>
      <c r="BQ13" s="324"/>
      <c r="BR13" s="494" t="str">
        <f>IF(AND(CC_Jan1[[#This Row],[Total Nota]]&lt;&gt;"",CC_Jan1[[#This Row],[ITBI/ITCMD]]="",CC_Jan1[[#This Row],[Total Nota]]-IFERROR(VLOOKUP(CC_Jan1[[#This Row],[Emols.]],Meta!$AK$3:$AN$256,2,FALSE),0)&lt;&gt;0),TEXT(IFERROR(CC_Jan1[[#This Row],[Total Nota]]-VLOOKUP(CC_Jan1[[#This Row],[Emols.]],Meta!$AK$3:$AN$256,2,FALSE),""),"#.##0,00"),"")</f>
        <v/>
      </c>
      <c r="BS13" s="484"/>
      <c r="BT13" s="47"/>
      <c r="BU13" s="325"/>
      <c r="BV13" s="326"/>
      <c r="BW13" s="91"/>
      <c r="BX13" s="86"/>
      <c r="BY13" s="92" t="str">
        <f>IFERROR(VLOOKUP(DD_Jan1[[#This Row],[Emols.]],Meta!$AK$3:$AN$256,3,FALSE),"")</f>
        <v/>
      </c>
      <c r="BZ13" s="325"/>
      <c r="CA13" s="324"/>
      <c r="CB13" s="494" t="str">
        <f>IF(DD_Jan1[[#This Row],[Total Nota]]="",TEXT(IFERROR(VLOOKUP(DD_Jan1[[#This Row],[Emols.]],Meta!$AK$3:$AN$256,2,FALSE)+DD_Jan1[[#This Row],[ITBI/ITCMD]],""),"#.##0,00"),"")</f>
        <v/>
      </c>
      <c r="CC13" s="482">
        <f>DD_Jan1[[#This Row],[Emols.]]-DD_Jan1[[#This Row],[Comissão]]</f>
        <v>0</v>
      </c>
      <c r="CD13" s="83">
        <f>VLOOKUP($CA$29,Meta!$Q$3:$R$16,2,FALSE)*BZ13</f>
        <v>0</v>
      </c>
      <c r="CE13" s="83">
        <f>DD_Jan1[[#This Row],[Total Nota]]-DD_Jan1[[#This Row],[Comissão]]</f>
        <v>0</v>
      </c>
      <c r="CF13" s="139"/>
      <c r="CG13" s="324"/>
      <c r="CH13" s="494" t="str">
        <f>IF(AND(DD_Jan1[[#This Row],[Total Nota]]&lt;&gt;"",DD_Jan1[[#This Row],[ITBI/ITCMD]]="",DD_Jan1[[#This Row],[Total Nota]]-IFERROR(VLOOKUP(DD_Jan1[[#This Row],[Emols.]],Meta!$AK$3:$AN$256,2,FALSE),0)&lt;&gt;0),TEXT(IFERROR(DD_Jan1[[#This Row],[Total Nota]]-VLOOKUP(DD_Jan1[[#This Row],[Emols.]],Meta!$AK$3:$AN$256,2,FALSE),""),"#.##0,00"),"")</f>
        <v/>
      </c>
      <c r="CI13" s="484"/>
      <c r="CJ13" s="93"/>
      <c r="CK13" s="325"/>
      <c r="CL13" s="326"/>
      <c r="CM13" s="94"/>
      <c r="CN13" s="86"/>
      <c r="CO13" s="95" t="str">
        <f>IFERROR(VLOOKUP(EE_Jan1[[#This Row],[Emols.]],Meta!$AK$3:$AN$256,3,FALSE),"")</f>
        <v/>
      </c>
      <c r="CP13" s="325"/>
      <c r="CQ13" s="324"/>
      <c r="CR13" s="494" t="str">
        <f>IF(EE_Jan1[[#This Row],[Total Nota]]="",TEXT(IFERROR(VLOOKUP(EE_Jan1[[#This Row],[Emols.]],Meta!$AK$3:$AN$256,2,FALSE)+EE_Jan1[[#This Row],[ITBI/ITCMD]],""),"#.##0,00"),"")</f>
        <v/>
      </c>
      <c r="CS13" s="482">
        <f>EE_Jan1[[#This Row],[Emols.]]-EE_Jan1[[#This Row],[Comissão]]</f>
        <v>0</v>
      </c>
      <c r="CT13" s="83">
        <f>VLOOKUP($CQ$29,Meta!$Q$3:$R$16,2,FALSE)*CP13</f>
        <v>0</v>
      </c>
      <c r="CU13" s="83">
        <f>EE_Jan1[[#This Row],[Total Nota]]-EE_Jan1[[#This Row],[Comissão]]</f>
        <v>0</v>
      </c>
      <c r="CV13" s="140"/>
      <c r="CW13" s="324"/>
      <c r="CX13" s="494" t="str">
        <f>IF(AND(EE_Jan1[[#This Row],[Total Nota]]&lt;&gt;"",EE_Jan1[[#This Row],[ITBI/ITCMD]]="",EE_Jan1[[#This Row],[Total Nota]]-IFERROR(VLOOKUP(EE_Jan1[[#This Row],[Emols.]],Meta!$AK$3:$AN$256,2,FALSE),0)&lt;&gt;0),TEXT(IFERROR(EE_Jan1[[#This Row],[Total Nota]]-VLOOKUP(EE_Jan1[[#This Row],[Emols.]],Meta!$AK$3:$AN$256,2,FALSE),""),"#.##0,00"),"")</f>
        <v/>
      </c>
      <c r="CY13" s="484"/>
      <c r="CZ13" s="140"/>
      <c r="DA13" s="325"/>
      <c r="DB13" s="326"/>
      <c r="DC13" s="97"/>
      <c r="DD13" s="86"/>
      <c r="DE13" s="87" t="str">
        <f>IFERROR(VLOOKUP(FF_Jan1[[#This Row],[Emols.]],Meta!$AK$3:$AN$256,3,FALSE),"")</f>
        <v/>
      </c>
      <c r="DF13" s="325"/>
      <c r="DG13" s="324"/>
      <c r="DH13" s="494" t="str">
        <f>IF(FF_Jan1[[#This Row],[Total Nota]]="",TEXT(IFERROR(VLOOKUP(FF_Jan1[[#This Row],[Emols.]],Meta!$AK$3:$AN$256,2,FALSE)+FF_Jan1[[#This Row],[ITBI/ITCMD]],""),"#.##0,00"),"")</f>
        <v/>
      </c>
      <c r="DI13" s="482">
        <f>FF_Jan1[[#This Row],[Emols.]]-FF_Jan1[[#This Row],[Comissão]]</f>
        <v>0</v>
      </c>
      <c r="DJ13" s="83">
        <f>VLOOKUP($DG$29,Meta!$Q$3:$R$16,2,FALSE)*DF13</f>
        <v>0</v>
      </c>
      <c r="DK13" s="83">
        <f>FF_Jan1[[#This Row],[Total Nota]]-FF_Jan1[[#This Row],[Comissão]]</f>
        <v>0</v>
      </c>
      <c r="DL13" s="43"/>
      <c r="DM13" s="324"/>
      <c r="DN13" s="494" t="str">
        <f>IF(AND(FF_Jan1[[#This Row],[Total Nota]]&lt;&gt;"",FF_Jan1[[#This Row],[ITBI/ITCMD]]="",FF_Jan1[[#This Row],[Total Nota]]-IFERROR(VLOOKUP(FF_Jan1[[#This Row],[Emols.]],Meta!$AK$3:$AN$256,2,FALSE),0)&lt;&gt;0),TEXT(IFERROR(FF_Jan1[[#This Row],[Total Nota]]-VLOOKUP(FF_Jan1[[#This Row],[Emols.]],Meta!$AK$3:$AN$256,2,FALSE),""),"#.##0,00"),"")</f>
        <v/>
      </c>
      <c r="DO13" s="484"/>
      <c r="DP13" s="41"/>
      <c r="DQ13" s="325"/>
      <c r="DR13" s="326"/>
      <c r="DS13" s="98"/>
      <c r="DT13" s="73"/>
      <c r="DU13" s="99" t="str">
        <f>IFERROR(VLOOKUP(GG_Jan1[[#This Row],[Emols.]],Meta!$AK$3:$AN$256,3,FALSE),"")</f>
        <v/>
      </c>
      <c r="DV13" s="330"/>
      <c r="DW13" s="332"/>
      <c r="DX13" s="494" t="str">
        <f>IF(GG_Jan1[[#This Row],[Total Nota]]="",TEXT(IFERROR(VLOOKUP(GG_Jan1[[#This Row],[Emols.]],Meta!$AK$3:$AN$256,2,FALSE)+GG_Jan1[[#This Row],[ITBI/ITCMD]],""),"#.##0,00"),"")</f>
        <v/>
      </c>
      <c r="DY13" s="485">
        <f>GG_Jan1[[#This Row],[Emols.]]-GG_Jan1[[#This Row],[Comissão]]</f>
        <v>0</v>
      </c>
      <c r="DZ13" s="101">
        <f>VLOOKUP($DW$29,Meta!$Q$3:$R$16,2,FALSE)*DV13</f>
        <v>0</v>
      </c>
      <c r="EA13" s="101">
        <f>GG_Jan1[[#This Row],[Total Nota]]-GG_Jan1[[#This Row],[Comissão]]</f>
        <v>0</v>
      </c>
      <c r="EB13" s="132"/>
      <c r="EC13" s="332"/>
      <c r="ED13" s="494" t="str">
        <f>IF(AND(GG_Jan1[[#This Row],[Total Nota]]&lt;&gt;"",GG_Jan1[[#This Row],[ITBI/ITCMD]]="",GG_Jan1[[#This Row],[Total Nota]]-IFERROR(VLOOKUP(GG_Jan1[[#This Row],[Emols.]],Meta!$AK$3:$AN$256,2,FALSE),0)&lt;&gt;0),TEXT(IFERROR(GG_Jan1[[#This Row],[Total Nota]]-VLOOKUP(GG_Jan1[[#This Row],[Emols.]],Meta!$AK$3:$AN$256,2,FALSE),""),"#.##0,00"),"")</f>
        <v/>
      </c>
      <c r="EE13" s="487"/>
      <c r="EF13" s="102"/>
      <c r="EG13" s="330"/>
      <c r="EH13" s="326"/>
      <c r="EI13" s="104"/>
      <c r="EJ13" s="73"/>
      <c r="EK13" s="99" t="str">
        <f>IFERROR(VLOOKUP(HH_Jan1[[#This Row],[Emols.]],Meta!$AK$3:$AN$256,3,FALSE),"")</f>
        <v/>
      </c>
      <c r="EL13" s="330"/>
      <c r="EM13" s="332"/>
      <c r="EN13" s="494" t="str">
        <f>IF(HH_Jan1[[#This Row],[Total Nota]]="",TEXT(IFERROR(VLOOKUP(HH_Jan1[[#This Row],[Emols.]],Meta!$AK$3:$AN$256,2,FALSE)+HH_Jan1[[#This Row],[ITBI/ITCMD]],""),"#.##0,00"),"")</f>
        <v/>
      </c>
      <c r="EO13" s="485">
        <f>HH_Jan1[[#This Row],[Emols.]]-HH_Jan1[[#This Row],[Comissão]]</f>
        <v>0</v>
      </c>
      <c r="EP13" s="101">
        <f>VLOOKUP($EM$29,Meta!$Q$3:$R$16,2,FALSE)*EL13</f>
        <v>0</v>
      </c>
      <c r="EQ13" s="101">
        <f>HH_Jan1[[#This Row],[Total Nota]]-HH_Jan1[[#This Row],[Comissão]]</f>
        <v>0</v>
      </c>
      <c r="ER13" s="132"/>
      <c r="ES13" s="332"/>
      <c r="ET13" s="494" t="str">
        <f>IF(AND(HH_Jan1[[#This Row],[Total Nota]]&lt;&gt;"",HH_Jan1[[#This Row],[ITBI/ITCMD]]="",HH_Jan1[[#This Row],[Total Nota]]-IFERROR(VLOOKUP(HH_Jan1[[#This Row],[Emols.]],Meta!$AK$3:$AN$256,2,FALSE),0)&lt;&gt;0),TEXT(IFERROR(HH_Jan1[[#This Row],[Total Nota]]-VLOOKUP(HH_Jan1[[#This Row],[Emols.]],Meta!$AK$3:$AN$256,2,FALSE),""),"#.##0,00"),"")</f>
        <v/>
      </c>
      <c r="EU13" s="487"/>
      <c r="EV13" s="102"/>
      <c r="EW13" s="330"/>
      <c r="EX13" s="326"/>
      <c r="EY13" s="104"/>
      <c r="EZ13" s="73"/>
      <c r="FA13" s="99" t="str">
        <f>IFERROR(VLOOKUP(II_Jan1[[#This Row],[Emols.]],Meta!$AK$3:$AN$256,3,FALSE),"")</f>
        <v/>
      </c>
      <c r="FB13" s="330"/>
      <c r="FC13" s="332"/>
      <c r="FD13" s="494" t="str">
        <f>IF(II_Jan1[[#This Row],[Total Nota]]="",TEXT(IFERROR(VLOOKUP(II_Jan1[[#This Row],[Emols.]],Meta!$AK$3:$AN$256,2,FALSE)+II_Jan1[[#This Row],[ITBI/ITCMD]],""),"#.##0,00"),"")</f>
        <v/>
      </c>
      <c r="FE13" s="485">
        <f>II_Jan1[[#This Row],[Emols.]]-II_Jan1[[#This Row],[Comissão]]</f>
        <v>0</v>
      </c>
      <c r="FF13" s="101">
        <f>VLOOKUP($FC$29,Meta!$Q$3:$R$16,2,FALSE)*FB13</f>
        <v>0</v>
      </c>
      <c r="FG13" s="101">
        <f>II_Jan1[[#This Row],[Total Nota]]-II_Jan1[[#This Row],[Comissão]]</f>
        <v>0</v>
      </c>
      <c r="FH13" s="132"/>
      <c r="FI13" s="332"/>
      <c r="FJ13" s="494" t="str">
        <f>IF(AND(II_Jan1[[#This Row],[Total Nota]]&lt;&gt;"",II_Jan1[[#This Row],[ITBI/ITCMD]]="",II_Jan1[[#This Row],[Total Nota]]-IFERROR(VLOOKUP(II_Jan1[[#This Row],[Emols.]],Meta!$AK$3:$AN$256,2,FALSE),0)&lt;&gt;0),TEXT(IFERROR(II_Jan1[[#This Row],[Total Nota]]-VLOOKUP(II_Jan1[[#This Row],[Emols.]],Meta!$AK$3:$AN$256,2,FALSE),""),"#.##0,00"),"")</f>
        <v/>
      </c>
      <c r="FK13" s="487"/>
      <c r="FL13" s="102"/>
      <c r="FM13" s="330"/>
      <c r="FN13" s="326"/>
      <c r="FO13" s="104"/>
      <c r="FP13" s="73"/>
      <c r="FQ13" s="99" t="str">
        <f>IFERROR(VLOOKUP(JJ_Jan1[[#This Row],[Emols.]],Meta!$AK$3:$AN$256,3,FALSE),"")</f>
        <v/>
      </c>
      <c r="FR13" s="330"/>
      <c r="FS13" s="332"/>
      <c r="FT13" s="494" t="str">
        <f>IF(JJ_Jan1[[#This Row],[Total Nota]]="",TEXT(IFERROR(VLOOKUP(JJ_Jan1[[#This Row],[Emols.]],Meta!$AK$3:$AN$256,2,FALSE)+JJ_Jan1[[#This Row],[ITBI/ITCMD]],""),"#.##0,00"),"")</f>
        <v/>
      </c>
      <c r="FU13" s="485">
        <f>JJ_Jan1[[#This Row],[Emols.]]-JJ_Jan1[[#This Row],[Comissão]]</f>
        <v>0</v>
      </c>
      <c r="FV13" s="101">
        <f>VLOOKUP($FS$29,Meta!$Q$3:$R$16,2,FALSE)*FR13</f>
        <v>0</v>
      </c>
      <c r="FW13" s="101">
        <f>JJ_Jan1[[#This Row],[Total Nota]]-JJ_Jan1[[#This Row],[Comissão]]</f>
        <v>0</v>
      </c>
      <c r="FX13" s="132"/>
      <c r="FY13" s="332"/>
      <c r="FZ13" s="494" t="str">
        <f>IF(AND(JJ_Jan1[[#This Row],[Total Nota]]&lt;&gt;"",JJ_Jan1[[#This Row],[ITBI/ITCMD]]="",JJ_Jan1[[#This Row],[Total Nota]]-IFERROR(VLOOKUP(JJ_Jan1[[#This Row],[Emols.]],Meta!$AK$3:$AN$256,2,FALSE),0)&lt;&gt;0),TEXT(IFERROR(JJ_Jan1[[#This Row],[Total Nota]]-VLOOKUP(JJ_Jan1[[#This Row],[Emols.]],Meta!$AK$3:$AN$256,2,FALSE),""),"#.##0,00"),"")</f>
        <v/>
      </c>
      <c r="GA13" s="487"/>
      <c r="GB13" s="102"/>
      <c r="GC13" s="330"/>
      <c r="GD13" s="326"/>
      <c r="GE13" s="104"/>
      <c r="GF13" s="73"/>
      <c r="GG13" s="99" t="str">
        <f>IFERROR(VLOOKUP(KK_Jan1[[#This Row],[Emols.]],Meta!$AK$3:$AN$256,3,FALSE),"")</f>
        <v/>
      </c>
      <c r="GH13" s="330"/>
      <c r="GI13" s="332"/>
      <c r="GJ13" s="494" t="str">
        <f>IF(KK_Jan1[[#This Row],[Total Nota]]="",TEXT(IFERROR(VLOOKUP(KK_Jan1[[#This Row],[Emols.]],Meta!$AK$3:$AN$256,2,FALSE)+KK_Jan1[[#This Row],[ITBI/ITCMD]],""),"#.##0,00"),"")</f>
        <v/>
      </c>
      <c r="GK13" s="485">
        <f>KK_Jan1[[#This Row],[Emols.]]-KK_Jan1[[#This Row],[Comissão]]</f>
        <v>0</v>
      </c>
      <c r="GL13" s="101">
        <f>VLOOKUP($GI$29,Meta!$Q$3:$R$16,2,FALSE)*GH13</f>
        <v>0</v>
      </c>
      <c r="GM13" s="101">
        <f>KK_Jan1[[#This Row],[Total Nota]]-KK_Jan1[[#This Row],[Comissão]]</f>
        <v>0</v>
      </c>
      <c r="GN13" s="132"/>
      <c r="GO13" s="332"/>
      <c r="GP13" s="494" t="str">
        <f>IF(AND(KK_Jan1[[#This Row],[Total Nota]]&lt;&gt;"",KK_Jan1[[#This Row],[ITBI/ITCMD]]="",KK_Jan1[[#This Row],[Total Nota]]-IFERROR(VLOOKUP(KK_Jan1[[#This Row],[Emols.]],Meta!$AK$3:$AN$256,2,FALSE),0)&lt;&gt;0),TEXT(IFERROR(KK_Jan1[[#This Row],[Total Nota]]-VLOOKUP(KK_Jan1[[#This Row],[Emols.]],Meta!$AK$3:$AN$256,2,FALSE),""),"#.##0,00"),"")</f>
        <v/>
      </c>
      <c r="GQ13" s="487"/>
      <c r="GR13" s="102"/>
      <c r="GS13" s="330"/>
      <c r="GT13" s="326"/>
      <c r="GU13" s="104"/>
      <c r="GV13" s="73"/>
      <c r="GW13" s="99" t="str">
        <f>IFERROR(VLOOKUP(LL_Jan1[[#This Row],[Emols.]],Meta!$AK$3:$AN$256,3,FALSE),"")</f>
        <v/>
      </c>
      <c r="GX13" s="330"/>
      <c r="GY13" s="332"/>
      <c r="GZ13" s="494" t="str">
        <f>IF(LL_Jan1[[#This Row],[Total Nota]]="",TEXT(IFERROR(VLOOKUP(LL_Jan1[[#This Row],[Emols.]],Meta!$AK$3:$AN$256,2,FALSE)+LL_Jan1[[#This Row],[ITBI/ITCMD]],""),"#.##0,00"),"")</f>
        <v/>
      </c>
      <c r="HA13" s="485">
        <f>LL_Jan1[[#This Row],[Emols.]]-LL_Jan1[[#This Row],[Comissão]]</f>
        <v>0</v>
      </c>
      <c r="HB13" s="101">
        <f>VLOOKUP($GY$29,Meta!$Q$3:$R$16,2,FALSE)*GX13</f>
        <v>0</v>
      </c>
      <c r="HC13" s="101">
        <f>LL_Jan1[[#This Row],[Total Nota]]-LL_Jan1[[#This Row],[Comissão]]</f>
        <v>0</v>
      </c>
      <c r="HD13" s="132"/>
      <c r="HE13" s="332"/>
      <c r="HF13" s="494" t="str">
        <f>IF(AND(LL_Jan1[[#This Row],[Total Nota]]&lt;&gt;"",LL_Jan1[[#This Row],[ITBI/ITCMD]]="",LL_Jan1[[#This Row],[Total Nota]]-IFERROR(VLOOKUP(LL_Jan1[[#This Row],[Emols.]],Meta!$AK$3:$AN$256,2,FALSE),0)&lt;&gt;0),TEXT(IFERROR(LL_Jan1[[#This Row],[Total Nota]]-VLOOKUP(LL_Jan1[[#This Row],[Emols.]],Meta!$AK$3:$AN$256,2,FALSE),""),"#.##0,00"),"")</f>
        <v/>
      </c>
      <c r="HG13" s="487"/>
      <c r="HH13" s="102"/>
      <c r="HI13" s="330"/>
      <c r="HJ13" s="326"/>
      <c r="HK13" s="104"/>
      <c r="HL13" s="105"/>
    </row>
    <row r="14" spans="1:220" s="10" customFormat="1" ht="14.45" customHeight="1" x14ac:dyDescent="0.25">
      <c r="A14" s="580"/>
      <c r="B14" s="511" t="s">
        <v>2</v>
      </c>
      <c r="C14" s="511"/>
      <c r="D14" s="512">
        <f>SUM(D2:D13)</f>
        <v>0</v>
      </c>
      <c r="E14" s="542" t="s">
        <v>245</v>
      </c>
      <c r="F14" s="512">
        <f>SUM(F2:F13)</f>
        <v>0</v>
      </c>
      <c r="G14" s="542" t="s">
        <v>244</v>
      </c>
      <c r="H14" s="512">
        <f>SUM(H2:H13)</f>
        <v>0</v>
      </c>
      <c r="I14" s="542" t="s">
        <v>248</v>
      </c>
      <c r="J14" s="513">
        <f>SUM(J2:J13)</f>
        <v>0</v>
      </c>
      <c r="K14" s="583">
        <f>SUM(K2:L13)</f>
        <v>0</v>
      </c>
      <c r="L14" s="583"/>
      <c r="M14" s="514"/>
      <c r="N14" s="515"/>
      <c r="O14" s="535"/>
      <c r="P14" s="146" t="s">
        <v>2</v>
      </c>
      <c r="Q14" s="147">
        <f>SUM(Q2:Q13)</f>
        <v>0</v>
      </c>
      <c r="R14" s="148">
        <f t="shared" ref="R14:Z14" si="2">SUM(R2:R13)</f>
        <v>0</v>
      </c>
      <c r="S14" s="148">
        <f t="shared" si="2"/>
        <v>0</v>
      </c>
      <c r="T14" s="148">
        <f t="shared" si="2"/>
        <v>0</v>
      </c>
      <c r="U14" s="148">
        <f t="shared" si="2"/>
        <v>0</v>
      </c>
      <c r="V14" s="148">
        <f t="shared" si="2"/>
        <v>0</v>
      </c>
      <c r="W14" s="148">
        <f t="shared" si="2"/>
        <v>0</v>
      </c>
      <c r="X14" s="149">
        <f t="shared" si="2"/>
        <v>0</v>
      </c>
      <c r="Y14" s="150">
        <f t="shared" si="2"/>
        <v>0</v>
      </c>
      <c r="Z14" s="148">
        <f t="shared" si="2"/>
        <v>0</v>
      </c>
      <c r="AA14" s="151"/>
      <c r="AB14" s="152"/>
      <c r="AC14" s="81" t="str">
        <f>IFERROR(VLOOKUP(AA_Jan1[[#This Row],[Emols.]],Meta!$AK$3:$AN$256,3,FALSE),"")</f>
        <v/>
      </c>
      <c r="AD14" s="325"/>
      <c r="AE14" s="324"/>
      <c r="AF14" s="493" t="str">
        <f>IF(AA_Jan1[[#This Row],[Total Nota]]="",TEXT(IFERROR(VLOOKUP(AA_Jan1[[#This Row],[Emols.]],Meta!$AK$3:$AN$256,2,FALSE)+AA_Jan1[[#This Row],[ITBI/ITCMD]],""),"#.##0,00"),"")</f>
        <v/>
      </c>
      <c r="AG14" s="482">
        <f>AA_Jan1[[#This Row],[Emols.]]-AA_Jan1[[#This Row],[Comissão]]</f>
        <v>0</v>
      </c>
      <c r="AH14" s="83">
        <f>VLOOKUP($AE$29,Meta!$Q$3:$R$16,2,FALSE)*AD14</f>
        <v>0</v>
      </c>
      <c r="AI14" s="83">
        <f>AA_Jan1[[#This Row],[Total Nota]]-AA_Jan1[[#This Row],[Comissão]]</f>
        <v>0</v>
      </c>
      <c r="AJ14" s="42"/>
      <c r="AK14" s="324"/>
      <c r="AL14" s="493" t="str">
        <f>IF(AND(AA_Jan1[[#This Row],[Total Nota]]&lt;&gt;"",AA_Jan1[[#This Row],[ITBI/ITCMD]]="",AA_Jan1[[#This Row],[Total Nota]]-IFERROR(VLOOKUP(AA_Jan1[[#This Row],[Emols.]],Meta!$AK$3:$AN$256,2,FALSE),0)&lt;&gt;0),TEXT(IFERROR(AA_Jan1[[#This Row],[Total Nota]]-VLOOKUP(AA_Jan1[[#This Row],[Emols.]],Meta!$AK$3:$AN$256,2,FALSE),""),"#.##0,00"),"")</f>
        <v/>
      </c>
      <c r="AM14" s="484"/>
      <c r="AN14" s="40"/>
      <c r="AO14" s="325"/>
      <c r="AP14" s="326"/>
      <c r="AQ14" s="85"/>
      <c r="AR14" s="86"/>
      <c r="AS14" s="87" t="str">
        <f>IFERROR(VLOOKUP(BB_Jan1[[#This Row],[Emols.]],Meta!$AK$3:$AN$256,3,FALSE),"")</f>
        <v/>
      </c>
      <c r="AT14" s="325"/>
      <c r="AU14" s="489"/>
      <c r="AV14" s="494" t="str">
        <f>IF(BB_Jan1[[#This Row],[Total Nota]]="",TEXT(IFERROR(VLOOKUP(BB_Jan1[[#This Row],[Emols.]],Meta!$AK$3:$AN$256,2,FALSE)+BB_Jan1[[#This Row],[ITBI/ITCMD]],""),"#.##0,00"),"")</f>
        <v/>
      </c>
      <c r="AW14" s="482">
        <f>BB_Jan1[[#This Row],[Emols.]]-BB_Jan1[[#This Row],[Comissão]]</f>
        <v>0</v>
      </c>
      <c r="AX14" s="83">
        <f>VLOOKUP($AU$29,Meta!$Q$3:$R$16,2,FALSE)*AT14</f>
        <v>0</v>
      </c>
      <c r="AY14" s="83">
        <f>BB_Jan1[[#This Row],[Total Nota]]-BB_Jan1[[#This Row],[Comissão]]</f>
        <v>0</v>
      </c>
      <c r="AZ14" s="43"/>
      <c r="BA14" s="324"/>
      <c r="BB14" s="493" t="str">
        <f>IF(AND(BB_Jan1[[#This Row],[Total Nota]]&lt;&gt;"",BB_Jan1[[#This Row],[ITBI/ITCMD]]="",BB_Jan1[[#This Row],[Total Nota]]-IFERROR(VLOOKUP(BB_Jan1[[#This Row],[Emols.]],Meta!$AK$3:$AN$256,2,FALSE),0)&lt;&gt;0),TEXT(IFERROR(BB_Jan1[[#This Row],[Total Nota]]-VLOOKUP(BB_Jan1[[#This Row],[Emols.]],Meta!$AK$3:$AN$256,2,FALSE),""),"#.##0,00"),"")</f>
        <v/>
      </c>
      <c r="BC14" s="484"/>
      <c r="BD14" s="41"/>
      <c r="BE14" s="325"/>
      <c r="BF14" s="326"/>
      <c r="BG14" s="89"/>
      <c r="BH14" s="86"/>
      <c r="BI14" s="90" t="str">
        <f>IFERROR(VLOOKUP(CC_Jan1[[#This Row],[Emols.]],Meta!$AK$3:$AN$256,3,FALSE),"")</f>
        <v/>
      </c>
      <c r="BJ14" s="325"/>
      <c r="BK14" s="489"/>
      <c r="BL14" s="494" t="str">
        <f>IF(CC_Jan1[[#This Row],[Total Nota]]="",TEXT(IFERROR(VLOOKUP(CC_Jan1[[#This Row],[Emols.]],Meta!$AK$3:$AN$256,2,FALSE)+CC_Jan1[[#This Row],[ITBI/ITCMD]],""),"#.##0,00"),"")</f>
        <v/>
      </c>
      <c r="BM14" s="482">
        <f>CC_Jan1[[#This Row],[Emols.]]-CC_Jan1[[#This Row],[Comissão]]</f>
        <v>0</v>
      </c>
      <c r="BN14" s="83">
        <f>VLOOKUP($BK$29,Meta!$Q$3:$R$16,2,FALSE)*BJ14</f>
        <v>0</v>
      </c>
      <c r="BO14" s="83">
        <f>CC_Jan1[[#This Row],[Total Nota]]-CC_Jan1[[#This Row],[Comissão]]</f>
        <v>0</v>
      </c>
      <c r="BP14" s="44"/>
      <c r="BQ14" s="324"/>
      <c r="BR14" s="493" t="str">
        <f>IF(AND(CC_Jan1[[#This Row],[Total Nota]]&lt;&gt;"",CC_Jan1[[#This Row],[ITBI/ITCMD]]="",CC_Jan1[[#This Row],[Total Nota]]-IFERROR(VLOOKUP(CC_Jan1[[#This Row],[Emols.]],Meta!$AK$3:$AN$256,2,FALSE),0)&lt;&gt;0),TEXT(IFERROR(CC_Jan1[[#This Row],[Total Nota]]-VLOOKUP(CC_Jan1[[#This Row],[Emols.]],Meta!$AK$3:$AN$256,2,FALSE),""),"#.##0,00"),"")</f>
        <v/>
      </c>
      <c r="BS14" s="484"/>
      <c r="BT14" s="47"/>
      <c r="BU14" s="325"/>
      <c r="BV14" s="326"/>
      <c r="BW14" s="91"/>
      <c r="BX14" s="86"/>
      <c r="BY14" s="92" t="str">
        <f>IFERROR(VLOOKUP(DD_Jan1[[#This Row],[Emols.]],Meta!$AK$3:$AN$256,3,FALSE),"")</f>
        <v/>
      </c>
      <c r="BZ14" s="325"/>
      <c r="CA14" s="324"/>
      <c r="CB14" s="493" t="str">
        <f>IF(DD_Jan1[[#This Row],[Total Nota]]="",TEXT(IFERROR(VLOOKUP(DD_Jan1[[#This Row],[Emols.]],Meta!$AK$3:$AN$256,2,FALSE)+DD_Jan1[[#This Row],[ITBI/ITCMD]],""),"#.##0,00"),"")</f>
        <v/>
      </c>
      <c r="CC14" s="482">
        <f>DD_Jan1[[#This Row],[Emols.]]-DD_Jan1[[#This Row],[Comissão]]</f>
        <v>0</v>
      </c>
      <c r="CD14" s="83">
        <f>VLOOKUP($CA$29,Meta!$Q$3:$R$16,2,FALSE)*BZ14</f>
        <v>0</v>
      </c>
      <c r="CE14" s="83">
        <f>DD_Jan1[[#This Row],[Total Nota]]-DD_Jan1[[#This Row],[Comissão]]</f>
        <v>0</v>
      </c>
      <c r="CF14" s="139"/>
      <c r="CG14" s="324"/>
      <c r="CH14" s="493" t="str">
        <f>IF(AND(DD_Jan1[[#This Row],[Total Nota]]&lt;&gt;"",DD_Jan1[[#This Row],[ITBI/ITCMD]]="",DD_Jan1[[#This Row],[Total Nota]]-IFERROR(VLOOKUP(DD_Jan1[[#This Row],[Emols.]],Meta!$AK$3:$AN$256,2,FALSE),0)&lt;&gt;0),TEXT(IFERROR(DD_Jan1[[#This Row],[Total Nota]]-VLOOKUP(DD_Jan1[[#This Row],[Emols.]],Meta!$AK$3:$AN$256,2,FALSE),""),"#.##0,00"),"")</f>
        <v/>
      </c>
      <c r="CI14" s="484"/>
      <c r="CJ14" s="93"/>
      <c r="CK14" s="325"/>
      <c r="CL14" s="326"/>
      <c r="CM14" s="94"/>
      <c r="CN14" s="86"/>
      <c r="CO14" s="95" t="str">
        <f>IFERROR(VLOOKUP(EE_Jan1[[#This Row],[Emols.]],Meta!$AK$3:$AN$256,3,FALSE),"")</f>
        <v/>
      </c>
      <c r="CP14" s="325"/>
      <c r="CQ14" s="489"/>
      <c r="CR14" s="494" t="str">
        <f>IF(EE_Jan1[[#This Row],[Total Nota]]="",TEXT(IFERROR(VLOOKUP(EE_Jan1[[#This Row],[Emols.]],Meta!$AK$3:$AN$256,2,FALSE)+EE_Jan1[[#This Row],[ITBI/ITCMD]],""),"#.##0,00"),"")</f>
        <v/>
      </c>
      <c r="CS14" s="482">
        <f>EE_Jan1[[#This Row],[Emols.]]-EE_Jan1[[#This Row],[Comissão]]</f>
        <v>0</v>
      </c>
      <c r="CT14" s="83">
        <f>VLOOKUP($CQ$29,Meta!$Q$3:$R$16,2,FALSE)*CP14</f>
        <v>0</v>
      </c>
      <c r="CU14" s="83">
        <f>EE_Jan1[[#This Row],[Total Nota]]-EE_Jan1[[#This Row],[Comissão]]</f>
        <v>0</v>
      </c>
      <c r="CV14" s="140"/>
      <c r="CW14" s="324"/>
      <c r="CX14" s="493" t="str">
        <f>IF(AND(EE_Jan1[[#This Row],[Total Nota]]&lt;&gt;"",EE_Jan1[[#This Row],[ITBI/ITCMD]]="",EE_Jan1[[#This Row],[Total Nota]]-IFERROR(VLOOKUP(EE_Jan1[[#This Row],[Emols.]],Meta!$AK$3:$AN$256,2,FALSE),0)&lt;&gt;0),TEXT(IFERROR(EE_Jan1[[#This Row],[Total Nota]]-VLOOKUP(EE_Jan1[[#This Row],[Emols.]],Meta!$AK$3:$AN$256,2,FALSE),""),"#.##0,00"),"")</f>
        <v/>
      </c>
      <c r="CY14" s="484"/>
      <c r="CZ14" s="96"/>
      <c r="DA14" s="325"/>
      <c r="DB14" s="326"/>
      <c r="DC14" s="97"/>
      <c r="DD14" s="86"/>
      <c r="DE14" s="87" t="str">
        <f>IFERROR(VLOOKUP(FF_Jan1[[#This Row],[Emols.]],Meta!$AK$3:$AN$256,3,FALSE),"")</f>
        <v/>
      </c>
      <c r="DF14" s="325"/>
      <c r="DG14" s="489"/>
      <c r="DH14" s="494" t="str">
        <f>IF(FF_Jan1[[#This Row],[Total Nota]]="",TEXT(IFERROR(VLOOKUP(FF_Jan1[[#This Row],[Emols.]],Meta!$AK$3:$AN$256,2,FALSE)+FF_Jan1[[#This Row],[ITBI/ITCMD]],""),"#.##0,00"),"")</f>
        <v/>
      </c>
      <c r="DI14" s="482">
        <f>FF_Jan1[[#This Row],[Emols.]]-FF_Jan1[[#This Row],[Comissão]]</f>
        <v>0</v>
      </c>
      <c r="DJ14" s="83">
        <f>VLOOKUP($DG$29,Meta!$Q$3:$R$16,2,FALSE)*DF14</f>
        <v>0</v>
      </c>
      <c r="DK14" s="83">
        <f>FF_Jan1[[#This Row],[Total Nota]]-FF_Jan1[[#This Row],[Comissão]]</f>
        <v>0</v>
      </c>
      <c r="DL14" s="43"/>
      <c r="DM14" s="489"/>
      <c r="DN14" s="494" t="str">
        <f>IF(AND(FF_Jan1[[#This Row],[Total Nota]]&lt;&gt;"",FF_Jan1[[#This Row],[ITBI/ITCMD]]="",FF_Jan1[[#This Row],[Total Nota]]-IFERROR(VLOOKUP(FF_Jan1[[#This Row],[Emols.]],Meta!$AK$3:$AN$256,2,FALSE),0)&lt;&gt;0),TEXT(IFERROR(FF_Jan1[[#This Row],[Total Nota]]-VLOOKUP(FF_Jan1[[#This Row],[Emols.]],Meta!$AK$3:$AN$256,2,FALSE),""),"#.##0,00"),"")</f>
        <v/>
      </c>
      <c r="DO14" s="484"/>
      <c r="DP14" s="41"/>
      <c r="DQ14" s="325"/>
      <c r="DR14" s="326"/>
      <c r="DS14" s="153"/>
      <c r="DT14" s="152"/>
      <c r="DU14" s="99" t="str">
        <f>IFERROR(VLOOKUP(GG_Jan1[[#This Row],[Emols.]],Meta!$AK$3:$AN$256,3,FALSE),"")</f>
        <v/>
      </c>
      <c r="DV14" s="330"/>
      <c r="DW14" s="492"/>
      <c r="DX14" s="494" t="str">
        <f>IF(GG_Jan1[[#This Row],[Total Nota]]="",TEXT(IFERROR(VLOOKUP(GG_Jan1[[#This Row],[Emols.]],Meta!$AK$3:$AN$256,2,FALSE)+GG_Jan1[[#This Row],[ITBI/ITCMD]],""),"#.##0,00"),"")</f>
        <v/>
      </c>
      <c r="DY14" s="485">
        <f>GG_Jan1[[#This Row],[Emols.]]-GG_Jan1[[#This Row],[Comissão]]</f>
        <v>0</v>
      </c>
      <c r="DZ14" s="101">
        <f>VLOOKUP($DW$29,Meta!$Q$3:$R$16,2,FALSE)*DV14</f>
        <v>0</v>
      </c>
      <c r="EA14" s="101">
        <f>GG_Jan1[[#This Row],[Total Nota]]-GG_Jan1[[#This Row],[Comissão]]</f>
        <v>0</v>
      </c>
      <c r="EB14" s="132"/>
      <c r="EC14" s="332"/>
      <c r="ED14" s="493" t="str">
        <f>IF(AND(GG_Jan1[[#This Row],[Total Nota]]&lt;&gt;"",GG_Jan1[[#This Row],[ITBI/ITCMD]]="",GG_Jan1[[#This Row],[Total Nota]]-IFERROR(VLOOKUP(GG_Jan1[[#This Row],[Emols.]],Meta!$AK$3:$AN$256,2,FALSE),0)&lt;&gt;0),TEXT(IFERROR(GG_Jan1[[#This Row],[Total Nota]]-VLOOKUP(GG_Jan1[[#This Row],[Emols.]],Meta!$AK$3:$AN$256,2,FALSE),""),"#.##0,00"),"")</f>
        <v/>
      </c>
      <c r="EE14" s="487"/>
      <c r="EF14" s="102"/>
      <c r="EG14" s="330"/>
      <c r="EH14" s="326"/>
      <c r="EI14" s="154"/>
      <c r="EJ14" s="152"/>
      <c r="EK14" s="99" t="str">
        <f>IFERROR(VLOOKUP(HH_Jan1[[#This Row],[Emols.]],Meta!$AK$3:$AN$256,3,FALSE),"")</f>
        <v/>
      </c>
      <c r="EL14" s="330"/>
      <c r="EM14" s="332"/>
      <c r="EN14" s="493" t="str">
        <f>IF(HH_Jan1[[#This Row],[Total Nota]]="",TEXT(IFERROR(VLOOKUP(HH_Jan1[[#This Row],[Emols.]],Meta!$AK$3:$AN$256,2,FALSE)+HH_Jan1[[#This Row],[ITBI/ITCMD]],""),"#.##0,00"),"")</f>
        <v/>
      </c>
      <c r="EO14" s="485">
        <f>HH_Jan1[[#This Row],[Emols.]]-HH_Jan1[[#This Row],[Comissão]]</f>
        <v>0</v>
      </c>
      <c r="EP14" s="101">
        <f>VLOOKUP($EM$29,Meta!$Q$3:$R$16,2,FALSE)*EL14</f>
        <v>0</v>
      </c>
      <c r="EQ14" s="101">
        <f>HH_Jan1[[#This Row],[Total Nota]]-HH_Jan1[[#This Row],[Comissão]]</f>
        <v>0</v>
      </c>
      <c r="ER14" s="132"/>
      <c r="ES14" s="332"/>
      <c r="ET14" s="493" t="str">
        <f>IF(AND(HH_Jan1[[#This Row],[Total Nota]]&lt;&gt;"",HH_Jan1[[#This Row],[ITBI/ITCMD]]="",HH_Jan1[[#This Row],[Total Nota]]-IFERROR(VLOOKUP(HH_Jan1[[#This Row],[Emols.]],Meta!$AK$3:$AN$256,2,FALSE),0)&lt;&gt;0),TEXT(IFERROR(HH_Jan1[[#This Row],[Total Nota]]-VLOOKUP(HH_Jan1[[#This Row],[Emols.]],Meta!$AK$3:$AN$256,2,FALSE),""),"#.##0,00"),"")</f>
        <v/>
      </c>
      <c r="EU14" s="487"/>
      <c r="EV14" s="102"/>
      <c r="EW14" s="330"/>
      <c r="EX14" s="326"/>
      <c r="EY14" s="154"/>
      <c r="EZ14" s="152"/>
      <c r="FA14" s="99" t="str">
        <f>IFERROR(VLOOKUP(II_Jan1[[#This Row],[Emols.]],Meta!$AK$3:$AN$256,3,FALSE),"")</f>
        <v/>
      </c>
      <c r="FB14" s="330"/>
      <c r="FC14" s="492"/>
      <c r="FD14" s="494" t="str">
        <f>IF(II_Jan1[[#This Row],[Total Nota]]="",TEXT(IFERROR(VLOOKUP(II_Jan1[[#This Row],[Emols.]],Meta!$AK$3:$AN$256,2,FALSE)+II_Jan1[[#This Row],[ITBI/ITCMD]],""),"#.##0,00"),"")</f>
        <v/>
      </c>
      <c r="FE14" s="485">
        <f>II_Jan1[[#This Row],[Emols.]]-II_Jan1[[#This Row],[Comissão]]</f>
        <v>0</v>
      </c>
      <c r="FF14" s="101">
        <f>VLOOKUP($FC$29,Meta!$Q$3:$R$16,2,FALSE)*FB14</f>
        <v>0</v>
      </c>
      <c r="FG14" s="101">
        <f>II_Jan1[[#This Row],[Total Nota]]-II_Jan1[[#This Row],[Comissão]]</f>
        <v>0</v>
      </c>
      <c r="FH14" s="132"/>
      <c r="FI14" s="492"/>
      <c r="FJ14" s="494" t="str">
        <f>IF(AND(II_Jan1[[#This Row],[Total Nota]]&lt;&gt;"",II_Jan1[[#This Row],[ITBI/ITCMD]]="",II_Jan1[[#This Row],[Total Nota]]-IFERROR(VLOOKUP(II_Jan1[[#This Row],[Emols.]],Meta!$AK$3:$AN$256,2,FALSE),0)&lt;&gt;0),TEXT(IFERROR(II_Jan1[[#This Row],[Total Nota]]-VLOOKUP(II_Jan1[[#This Row],[Emols.]],Meta!$AK$3:$AN$256,2,FALSE),""),"#.##0,00"),"")</f>
        <v/>
      </c>
      <c r="FK14" s="487"/>
      <c r="FL14" s="102"/>
      <c r="FM14" s="330"/>
      <c r="FN14" s="326"/>
      <c r="FO14" s="154"/>
      <c r="FP14" s="152"/>
      <c r="FQ14" s="99" t="str">
        <f>IFERROR(VLOOKUP(JJ_Jan1[[#This Row],[Emols.]],Meta!$AK$3:$AN$256,3,FALSE),"")</f>
        <v/>
      </c>
      <c r="FR14" s="330"/>
      <c r="FS14" s="332"/>
      <c r="FT14" s="493" t="str">
        <f>IF(JJ_Jan1[[#This Row],[Total Nota]]="",TEXT(IFERROR(VLOOKUP(JJ_Jan1[[#This Row],[Emols.]],Meta!$AK$3:$AN$256,2,FALSE)+JJ_Jan1[[#This Row],[ITBI/ITCMD]],""),"#.##0,00"),"")</f>
        <v/>
      </c>
      <c r="FU14" s="485">
        <f>JJ_Jan1[[#This Row],[Emols.]]-JJ_Jan1[[#This Row],[Comissão]]</f>
        <v>0</v>
      </c>
      <c r="FV14" s="101">
        <f>VLOOKUP($FS$29,Meta!$Q$3:$R$16,2,FALSE)*FR14</f>
        <v>0</v>
      </c>
      <c r="FW14" s="101">
        <f>JJ_Jan1[[#This Row],[Total Nota]]-JJ_Jan1[[#This Row],[Comissão]]</f>
        <v>0</v>
      </c>
      <c r="FX14" s="132"/>
      <c r="FY14" s="332"/>
      <c r="FZ14" s="493" t="str">
        <f>IF(AND(JJ_Jan1[[#This Row],[Total Nota]]&lt;&gt;"",JJ_Jan1[[#This Row],[ITBI/ITCMD]]="",JJ_Jan1[[#This Row],[Total Nota]]-IFERROR(VLOOKUP(JJ_Jan1[[#This Row],[Emols.]],Meta!$AK$3:$AN$256,2,FALSE),0)&lt;&gt;0),TEXT(IFERROR(JJ_Jan1[[#This Row],[Total Nota]]-VLOOKUP(JJ_Jan1[[#This Row],[Emols.]],Meta!$AK$3:$AN$256,2,FALSE),""),"#.##0,00"),"")</f>
        <v/>
      </c>
      <c r="GA14" s="487"/>
      <c r="GB14" s="102"/>
      <c r="GC14" s="330"/>
      <c r="GD14" s="326"/>
      <c r="GE14" s="154"/>
      <c r="GF14" s="152"/>
      <c r="GG14" s="99" t="str">
        <f>IFERROR(VLOOKUP(KK_Jan1[[#This Row],[Emols.]],Meta!$AK$3:$AN$256,3,FALSE),"")</f>
        <v/>
      </c>
      <c r="GH14" s="330"/>
      <c r="GI14" s="332"/>
      <c r="GJ14" s="493" t="str">
        <f>IF(KK_Jan1[[#This Row],[Total Nota]]="",TEXT(IFERROR(VLOOKUP(KK_Jan1[[#This Row],[Emols.]],Meta!$AK$3:$AN$256,2,FALSE)+KK_Jan1[[#This Row],[ITBI/ITCMD]],""),"#.##0,00"),"")</f>
        <v/>
      </c>
      <c r="GK14" s="485">
        <f>KK_Jan1[[#This Row],[Emols.]]-KK_Jan1[[#This Row],[Comissão]]</f>
        <v>0</v>
      </c>
      <c r="GL14" s="101">
        <f>VLOOKUP($GI$29,Meta!$Q$3:$R$16,2,FALSE)*GH14</f>
        <v>0</v>
      </c>
      <c r="GM14" s="101">
        <f>KK_Jan1[[#This Row],[Total Nota]]-KK_Jan1[[#This Row],[Comissão]]</f>
        <v>0</v>
      </c>
      <c r="GN14" s="132"/>
      <c r="GO14" s="492"/>
      <c r="GP14" s="494" t="str">
        <f>IF(AND(KK_Jan1[[#This Row],[Total Nota]]&lt;&gt;"",KK_Jan1[[#This Row],[ITBI/ITCMD]]="",KK_Jan1[[#This Row],[Total Nota]]-IFERROR(VLOOKUP(KK_Jan1[[#This Row],[Emols.]],Meta!$AK$3:$AN$256,2,FALSE),0)&lt;&gt;0),TEXT(IFERROR(KK_Jan1[[#This Row],[Total Nota]]-VLOOKUP(KK_Jan1[[#This Row],[Emols.]],Meta!$AK$3:$AN$256,2,FALSE),""),"#.##0,00"),"")</f>
        <v/>
      </c>
      <c r="GQ14" s="487"/>
      <c r="GR14" s="102"/>
      <c r="GS14" s="330"/>
      <c r="GT14" s="326"/>
      <c r="GU14" s="154"/>
      <c r="GV14" s="152"/>
      <c r="GW14" s="99" t="str">
        <f>IFERROR(VLOOKUP(LL_Jan1[[#This Row],[Emols.]],Meta!$AK$3:$AN$256,3,FALSE),"")</f>
        <v/>
      </c>
      <c r="GX14" s="330"/>
      <c r="GY14" s="332"/>
      <c r="GZ14" s="493" t="str">
        <f>IF(LL_Jan1[[#This Row],[Total Nota]]="",TEXT(IFERROR(VLOOKUP(LL_Jan1[[#This Row],[Emols.]],Meta!$AK$3:$AN$256,2,FALSE)+LL_Jan1[[#This Row],[ITBI/ITCMD]],""),"#.##0,00"),"")</f>
        <v/>
      </c>
      <c r="HA14" s="485">
        <f>LL_Jan1[[#This Row],[Emols.]]-LL_Jan1[[#This Row],[Comissão]]</f>
        <v>0</v>
      </c>
      <c r="HB14" s="101">
        <f>VLOOKUP($GY$29,Meta!$Q$3:$R$16,2,FALSE)*GX14</f>
        <v>0</v>
      </c>
      <c r="HC14" s="101">
        <f>LL_Jan1[[#This Row],[Total Nota]]-LL_Jan1[[#This Row],[Comissão]]</f>
        <v>0</v>
      </c>
      <c r="HD14" s="132"/>
      <c r="HE14" s="332"/>
      <c r="HF14" s="493" t="str">
        <f>IF(AND(LL_Jan1[[#This Row],[Total Nota]]&lt;&gt;"",LL_Jan1[[#This Row],[ITBI/ITCMD]]="",LL_Jan1[[#This Row],[Total Nota]]-IFERROR(VLOOKUP(LL_Jan1[[#This Row],[Emols.]],Meta!$AK$3:$AN$256,2,FALSE),0)&lt;&gt;0),TEXT(IFERROR(LL_Jan1[[#This Row],[Total Nota]]-VLOOKUP(LL_Jan1[[#This Row],[Emols.]],Meta!$AK$3:$AN$256,2,FALSE),""),"#.##0,00"),"")</f>
        <v/>
      </c>
      <c r="HG14" s="487"/>
      <c r="HH14" s="102"/>
      <c r="HI14" s="330"/>
      <c r="HJ14" s="326"/>
      <c r="HK14" s="154"/>
      <c r="HL14" s="155"/>
    </row>
    <row r="15" spans="1:220" ht="14.45" customHeight="1" x14ac:dyDescent="0.25">
      <c r="A15" s="581" t="s">
        <v>75</v>
      </c>
      <c r="B15" s="156"/>
      <c r="C15" s="156"/>
      <c r="D15" s="156"/>
      <c r="E15" s="156"/>
      <c r="F15" s="156"/>
      <c r="G15" s="156"/>
      <c r="H15" s="156"/>
      <c r="I15" s="156"/>
      <c r="J15" s="157"/>
      <c r="K15" s="157"/>
      <c r="L15" s="157"/>
      <c r="M15" s="157"/>
      <c r="N15" s="158"/>
      <c r="O15" s="536"/>
      <c r="P15" s="159" t="s">
        <v>27</v>
      </c>
      <c r="Q15" s="347" t="s">
        <v>26</v>
      </c>
      <c r="R15" s="347" t="s">
        <v>26</v>
      </c>
      <c r="S15" s="347" t="s">
        <v>26</v>
      </c>
      <c r="T15" s="347" t="s">
        <v>26</v>
      </c>
      <c r="U15" s="347" t="s">
        <v>26</v>
      </c>
      <c r="V15" s="347" t="s">
        <v>26</v>
      </c>
      <c r="W15" s="347" t="s">
        <v>26</v>
      </c>
      <c r="X15" s="347" t="s">
        <v>26</v>
      </c>
      <c r="Y15" s="347" t="s">
        <v>26</v>
      </c>
      <c r="Z15" s="160"/>
      <c r="AA15" s="158"/>
      <c r="AB15" s="161"/>
      <c r="AC15" s="81" t="str">
        <f>IFERROR(VLOOKUP(AA_Jan1[[#This Row],[Emols.]],Meta!$AK$3:$AN$256,3,FALSE),"")</f>
        <v/>
      </c>
      <c r="AD15" s="325"/>
      <c r="AE15" s="324"/>
      <c r="AF15" s="494" t="str">
        <f>IF(AA_Jan1[[#This Row],[Total Nota]]="",TEXT(IFERROR(VLOOKUP(AA_Jan1[[#This Row],[Emols.]],Meta!$AK$3:$AN$256,2,FALSE)+AA_Jan1[[#This Row],[ITBI/ITCMD]],""),"#.##0,00"),"")</f>
        <v/>
      </c>
      <c r="AG15" s="482">
        <f>AA_Jan1[[#This Row],[Emols.]]-AA_Jan1[[#This Row],[Comissão]]</f>
        <v>0</v>
      </c>
      <c r="AH15" s="83">
        <f>VLOOKUP($AE$29,Meta!$Q$3:$R$16,2,FALSE)*AD15</f>
        <v>0</v>
      </c>
      <c r="AI15" s="83">
        <f>AA_Jan1[[#This Row],[Total Nota]]-AA_Jan1[[#This Row],[Comissão]]</f>
        <v>0</v>
      </c>
      <c r="AJ15" s="42"/>
      <c r="AK15" s="324"/>
      <c r="AL15" s="494" t="str">
        <f>IF(AND(AA_Jan1[[#This Row],[Total Nota]]&lt;&gt;"",AA_Jan1[[#This Row],[ITBI/ITCMD]]="",AA_Jan1[[#This Row],[Total Nota]]-IFERROR(VLOOKUP(AA_Jan1[[#This Row],[Emols.]],Meta!$AK$3:$AN$256,2,FALSE),0)&lt;&gt;0),TEXT(IFERROR(AA_Jan1[[#This Row],[Total Nota]]-VLOOKUP(AA_Jan1[[#This Row],[Emols.]],Meta!$AK$3:$AN$256,2,FALSE),""),"#.##0,00"),"")</f>
        <v/>
      </c>
      <c r="AM15" s="484"/>
      <c r="AN15" s="40"/>
      <c r="AO15" s="325"/>
      <c r="AP15" s="326"/>
      <c r="AQ15" s="85"/>
      <c r="AR15" s="86"/>
      <c r="AS15" s="87" t="str">
        <f>IFERROR(VLOOKUP(BB_Jan1[[#This Row],[Emols.]],Meta!$AK$3:$AN$256,3,FALSE),"")</f>
        <v/>
      </c>
      <c r="AT15" s="325"/>
      <c r="AU15" s="324"/>
      <c r="AV15" s="494" t="str">
        <f>IF(BB_Jan1[[#This Row],[Total Nota]]="",TEXT(IFERROR(VLOOKUP(BB_Jan1[[#This Row],[Emols.]],Meta!$AK$3:$AN$256,2,FALSE)+BB_Jan1[[#This Row],[ITBI/ITCMD]],""),"#.##0,00"),"")</f>
        <v/>
      </c>
      <c r="AW15" s="482">
        <f>BB_Jan1[[#This Row],[Emols.]]-BB_Jan1[[#This Row],[Comissão]]</f>
        <v>0</v>
      </c>
      <c r="AX15" s="83">
        <f>VLOOKUP($AU$29,Meta!$Q$3:$R$16,2,FALSE)*AT15</f>
        <v>0</v>
      </c>
      <c r="AY15" s="83">
        <f>BB_Jan1[[#This Row],[Total Nota]]-BB_Jan1[[#This Row],[Comissão]]</f>
        <v>0</v>
      </c>
      <c r="AZ15" s="43"/>
      <c r="BA15" s="324"/>
      <c r="BB15" s="494" t="str">
        <f>IF(AND(BB_Jan1[[#This Row],[Total Nota]]&lt;&gt;"",BB_Jan1[[#This Row],[ITBI/ITCMD]]="",BB_Jan1[[#This Row],[Total Nota]]-IFERROR(VLOOKUP(BB_Jan1[[#This Row],[Emols.]],Meta!$AK$3:$AN$256,2,FALSE),0)&lt;&gt;0),TEXT(IFERROR(BB_Jan1[[#This Row],[Total Nota]]-VLOOKUP(BB_Jan1[[#This Row],[Emols.]],Meta!$AK$3:$AN$256,2,FALSE),""),"#.##0,00"),"")</f>
        <v/>
      </c>
      <c r="BC15" s="484"/>
      <c r="BD15" s="41"/>
      <c r="BE15" s="325"/>
      <c r="BF15" s="326"/>
      <c r="BG15" s="89"/>
      <c r="BH15" s="86"/>
      <c r="BI15" s="90" t="str">
        <f>IFERROR(VLOOKUP(CC_Jan1[[#This Row],[Emols.]],Meta!$AK$3:$AN$256,3,FALSE),"")</f>
        <v/>
      </c>
      <c r="BJ15" s="325"/>
      <c r="BK15" s="324"/>
      <c r="BL15" s="494" t="str">
        <f>IF(CC_Jan1[[#This Row],[Total Nota]]="",TEXT(IFERROR(VLOOKUP(CC_Jan1[[#This Row],[Emols.]],Meta!$AK$3:$AN$256,2,FALSE)+CC_Jan1[[#This Row],[ITBI/ITCMD]],""),"#.##0,00"),"")</f>
        <v/>
      </c>
      <c r="BM15" s="482">
        <f>CC_Jan1[[#This Row],[Emols.]]-CC_Jan1[[#This Row],[Comissão]]</f>
        <v>0</v>
      </c>
      <c r="BN15" s="83">
        <f>VLOOKUP($BK$29,Meta!$Q$3:$R$16,2,FALSE)*BJ15</f>
        <v>0</v>
      </c>
      <c r="BO15" s="83">
        <f>CC_Jan1[[#This Row],[Total Nota]]-CC_Jan1[[#This Row],[Comissão]]</f>
        <v>0</v>
      </c>
      <c r="BP15" s="44"/>
      <c r="BQ15" s="324"/>
      <c r="BR15" s="494" t="str">
        <f>IF(AND(CC_Jan1[[#This Row],[Total Nota]]&lt;&gt;"",CC_Jan1[[#This Row],[ITBI/ITCMD]]="",CC_Jan1[[#This Row],[Total Nota]]-IFERROR(VLOOKUP(CC_Jan1[[#This Row],[Emols.]],Meta!$AK$3:$AN$256,2,FALSE),0)&lt;&gt;0),TEXT(IFERROR(CC_Jan1[[#This Row],[Total Nota]]-VLOOKUP(CC_Jan1[[#This Row],[Emols.]],Meta!$AK$3:$AN$256,2,FALSE),""),"#.##0,00"),"")</f>
        <v/>
      </c>
      <c r="BS15" s="484"/>
      <c r="BT15" s="47"/>
      <c r="BU15" s="325"/>
      <c r="BV15" s="326"/>
      <c r="BW15" s="91"/>
      <c r="BX15" s="86"/>
      <c r="BY15" s="92" t="str">
        <f>IFERROR(VLOOKUP(DD_Jan1[[#This Row],[Emols.]],Meta!$AK$3:$AN$256,3,FALSE),"")</f>
        <v/>
      </c>
      <c r="BZ15" s="325"/>
      <c r="CA15" s="324"/>
      <c r="CB15" s="494" t="str">
        <f>IF(DD_Jan1[[#This Row],[Total Nota]]="",TEXT(IFERROR(VLOOKUP(DD_Jan1[[#This Row],[Emols.]],Meta!$AK$3:$AN$256,2,FALSE)+DD_Jan1[[#This Row],[ITBI/ITCMD]],""),"#.##0,00"),"")</f>
        <v/>
      </c>
      <c r="CC15" s="482">
        <f>DD_Jan1[[#This Row],[Emols.]]-DD_Jan1[[#This Row],[Comissão]]</f>
        <v>0</v>
      </c>
      <c r="CD15" s="83">
        <f>VLOOKUP($CA$29,Meta!$Q$3:$R$16,2,FALSE)*BZ15</f>
        <v>0</v>
      </c>
      <c r="CE15" s="83">
        <f>DD_Jan1[[#This Row],[Total Nota]]-DD_Jan1[[#This Row],[Comissão]]</f>
        <v>0</v>
      </c>
      <c r="CF15" s="139"/>
      <c r="CG15" s="324"/>
      <c r="CH15" s="494" t="str">
        <f>IF(AND(DD_Jan1[[#This Row],[Total Nota]]&lt;&gt;"",DD_Jan1[[#This Row],[ITBI/ITCMD]]="",DD_Jan1[[#This Row],[Total Nota]]-IFERROR(VLOOKUP(DD_Jan1[[#This Row],[Emols.]],Meta!$AK$3:$AN$256,2,FALSE),0)&lt;&gt;0),TEXT(IFERROR(DD_Jan1[[#This Row],[Total Nota]]-VLOOKUP(DD_Jan1[[#This Row],[Emols.]],Meta!$AK$3:$AN$256,2,FALSE),""),"#.##0,00"),"")</f>
        <v/>
      </c>
      <c r="CI15" s="484"/>
      <c r="CJ15" s="93"/>
      <c r="CK15" s="325"/>
      <c r="CL15" s="326"/>
      <c r="CM15" s="94"/>
      <c r="CN15" s="86"/>
      <c r="CO15" s="95" t="str">
        <f>IFERROR(VLOOKUP(EE_Jan1[[#This Row],[Emols.]],Meta!$AK$3:$AN$256,3,FALSE),"")</f>
        <v/>
      </c>
      <c r="CP15" s="325"/>
      <c r="CQ15" s="324"/>
      <c r="CR15" s="494" t="str">
        <f>IF(EE_Jan1[[#This Row],[Total Nota]]="",TEXT(IFERROR(VLOOKUP(EE_Jan1[[#This Row],[Emols.]],Meta!$AK$3:$AN$256,2,FALSE)+EE_Jan1[[#This Row],[ITBI/ITCMD]],""),"#.##0,00"),"")</f>
        <v/>
      </c>
      <c r="CS15" s="482">
        <f>EE_Jan1[[#This Row],[Emols.]]-EE_Jan1[[#This Row],[Comissão]]</f>
        <v>0</v>
      </c>
      <c r="CT15" s="83">
        <f>VLOOKUP($CQ$29,Meta!$Q$3:$R$16,2,FALSE)*CP15</f>
        <v>0</v>
      </c>
      <c r="CU15" s="83">
        <f>EE_Jan1[[#This Row],[Total Nota]]-EE_Jan1[[#This Row],[Comissão]]</f>
        <v>0</v>
      </c>
      <c r="CV15" s="140"/>
      <c r="CW15" s="324"/>
      <c r="CX15" s="494" t="str">
        <f>IF(AND(EE_Jan1[[#This Row],[Total Nota]]&lt;&gt;"",EE_Jan1[[#This Row],[ITBI/ITCMD]]="",EE_Jan1[[#This Row],[Total Nota]]-IFERROR(VLOOKUP(EE_Jan1[[#This Row],[Emols.]],Meta!$AK$3:$AN$256,2,FALSE),0)&lt;&gt;0),TEXT(IFERROR(EE_Jan1[[#This Row],[Total Nota]]-VLOOKUP(EE_Jan1[[#This Row],[Emols.]],Meta!$AK$3:$AN$256,2,FALSE),""),"#.##0,00"),"")</f>
        <v/>
      </c>
      <c r="CY15" s="484"/>
      <c r="CZ15" s="96"/>
      <c r="DA15" s="325"/>
      <c r="DB15" s="326"/>
      <c r="DC15" s="97"/>
      <c r="DD15" s="86"/>
      <c r="DE15" s="87" t="str">
        <f>IFERROR(VLOOKUP(FF_Jan1[[#This Row],[Emols.]],Meta!$AK$3:$AN$256,3,FALSE),"")</f>
        <v/>
      </c>
      <c r="DF15" s="325"/>
      <c r="DG15" s="324"/>
      <c r="DH15" s="494" t="str">
        <f>IF(FF_Jan1[[#This Row],[Total Nota]]="",TEXT(IFERROR(VLOOKUP(FF_Jan1[[#This Row],[Emols.]],Meta!$AK$3:$AN$256,2,FALSE)+FF_Jan1[[#This Row],[ITBI/ITCMD]],""),"#.##0,00"),"")</f>
        <v/>
      </c>
      <c r="DI15" s="482">
        <f>FF_Jan1[[#This Row],[Emols.]]-FF_Jan1[[#This Row],[Comissão]]</f>
        <v>0</v>
      </c>
      <c r="DJ15" s="83">
        <f>VLOOKUP($DG$29,Meta!$Q$3:$R$16,2,FALSE)*DF15</f>
        <v>0</v>
      </c>
      <c r="DK15" s="83">
        <f>FF_Jan1[[#This Row],[Total Nota]]-FF_Jan1[[#This Row],[Comissão]]</f>
        <v>0</v>
      </c>
      <c r="DL15" s="43"/>
      <c r="DM15" s="324"/>
      <c r="DN15" s="494" t="str">
        <f>IF(AND(FF_Jan1[[#This Row],[Total Nota]]&lt;&gt;"",FF_Jan1[[#This Row],[ITBI/ITCMD]]="",FF_Jan1[[#This Row],[Total Nota]]-IFERROR(VLOOKUP(FF_Jan1[[#This Row],[Emols.]],Meta!$AK$3:$AN$256,2,FALSE),0)&lt;&gt;0),TEXT(IFERROR(FF_Jan1[[#This Row],[Total Nota]]-VLOOKUP(FF_Jan1[[#This Row],[Emols.]],Meta!$AK$3:$AN$256,2,FALSE),""),"#.##0,00"),"")</f>
        <v/>
      </c>
      <c r="DO15" s="484"/>
      <c r="DP15" s="41"/>
      <c r="DQ15" s="325"/>
      <c r="DR15" s="326"/>
      <c r="DS15" s="98"/>
      <c r="DT15" s="73"/>
      <c r="DU15" s="99" t="str">
        <f>IFERROR(VLOOKUP(GG_Jan1[[#This Row],[Emols.]],Meta!$AK$3:$AN$256,3,FALSE),"")</f>
        <v/>
      </c>
      <c r="DV15" s="330"/>
      <c r="DW15" s="332"/>
      <c r="DX15" s="494" t="str">
        <f>IF(GG_Jan1[[#This Row],[Total Nota]]="",TEXT(IFERROR(VLOOKUP(GG_Jan1[[#This Row],[Emols.]],Meta!$AK$3:$AN$256,2,FALSE)+GG_Jan1[[#This Row],[ITBI/ITCMD]],""),"#.##0,00"),"")</f>
        <v/>
      </c>
      <c r="DY15" s="485">
        <f>GG_Jan1[[#This Row],[Emols.]]-GG_Jan1[[#This Row],[Comissão]]</f>
        <v>0</v>
      </c>
      <c r="DZ15" s="101">
        <f>VLOOKUP($DW$29,Meta!$Q$3:$R$16,2,FALSE)*DV15</f>
        <v>0</v>
      </c>
      <c r="EA15" s="101">
        <f>GG_Jan1[[#This Row],[Total Nota]]-GG_Jan1[[#This Row],[Comissão]]</f>
        <v>0</v>
      </c>
      <c r="EB15" s="132"/>
      <c r="EC15" s="332"/>
      <c r="ED15" s="494" t="str">
        <f>IF(AND(GG_Jan1[[#This Row],[Total Nota]]&lt;&gt;"",GG_Jan1[[#This Row],[ITBI/ITCMD]]="",GG_Jan1[[#This Row],[Total Nota]]-IFERROR(VLOOKUP(GG_Jan1[[#This Row],[Emols.]],Meta!$AK$3:$AN$256,2,FALSE),0)&lt;&gt;0),TEXT(IFERROR(GG_Jan1[[#This Row],[Total Nota]]-VLOOKUP(GG_Jan1[[#This Row],[Emols.]],Meta!$AK$3:$AN$256,2,FALSE),""),"#.##0,00"),"")</f>
        <v/>
      </c>
      <c r="EE15" s="487"/>
      <c r="EF15" s="102"/>
      <c r="EG15" s="330"/>
      <c r="EH15" s="326"/>
      <c r="EI15" s="104"/>
      <c r="EJ15" s="73"/>
      <c r="EK15" s="99" t="str">
        <f>IFERROR(VLOOKUP(HH_Jan1[[#This Row],[Emols.]],Meta!$AK$3:$AN$256,3,FALSE),"")</f>
        <v/>
      </c>
      <c r="EL15" s="330"/>
      <c r="EM15" s="332"/>
      <c r="EN15" s="494" t="str">
        <f>IF(HH_Jan1[[#This Row],[Total Nota]]="",TEXT(IFERROR(VLOOKUP(HH_Jan1[[#This Row],[Emols.]],Meta!$AK$3:$AN$256,2,FALSE)+HH_Jan1[[#This Row],[ITBI/ITCMD]],""),"#.##0,00"),"")</f>
        <v/>
      </c>
      <c r="EO15" s="485">
        <f>HH_Jan1[[#This Row],[Emols.]]-HH_Jan1[[#This Row],[Comissão]]</f>
        <v>0</v>
      </c>
      <c r="EP15" s="101">
        <f>VLOOKUP($EM$29,Meta!$Q$3:$R$16,2,FALSE)*EL15</f>
        <v>0</v>
      </c>
      <c r="EQ15" s="101">
        <f>HH_Jan1[[#This Row],[Total Nota]]-HH_Jan1[[#This Row],[Comissão]]</f>
        <v>0</v>
      </c>
      <c r="ER15" s="132"/>
      <c r="ES15" s="332"/>
      <c r="ET15" s="494" t="str">
        <f>IF(AND(HH_Jan1[[#This Row],[Total Nota]]&lt;&gt;"",HH_Jan1[[#This Row],[ITBI/ITCMD]]="",HH_Jan1[[#This Row],[Total Nota]]-IFERROR(VLOOKUP(HH_Jan1[[#This Row],[Emols.]],Meta!$AK$3:$AN$256,2,FALSE),0)&lt;&gt;0),TEXT(IFERROR(HH_Jan1[[#This Row],[Total Nota]]-VLOOKUP(HH_Jan1[[#This Row],[Emols.]],Meta!$AK$3:$AN$256,2,FALSE),""),"#.##0,00"),"")</f>
        <v/>
      </c>
      <c r="EU15" s="487"/>
      <c r="EV15" s="102"/>
      <c r="EW15" s="330"/>
      <c r="EX15" s="326"/>
      <c r="EY15" s="104"/>
      <c r="EZ15" s="73"/>
      <c r="FA15" s="99" t="str">
        <f>IFERROR(VLOOKUP(II_Jan1[[#This Row],[Emols.]],Meta!$AK$3:$AN$256,3,FALSE),"")</f>
        <v/>
      </c>
      <c r="FB15" s="330"/>
      <c r="FC15" s="332"/>
      <c r="FD15" s="494" t="str">
        <f>IF(II_Jan1[[#This Row],[Total Nota]]="",TEXT(IFERROR(VLOOKUP(II_Jan1[[#This Row],[Emols.]],Meta!$AK$3:$AN$256,2,FALSE)+II_Jan1[[#This Row],[ITBI/ITCMD]],""),"#.##0,00"),"")</f>
        <v/>
      </c>
      <c r="FE15" s="485">
        <f>II_Jan1[[#This Row],[Emols.]]-II_Jan1[[#This Row],[Comissão]]</f>
        <v>0</v>
      </c>
      <c r="FF15" s="101">
        <f>VLOOKUP($FC$29,Meta!$Q$3:$R$16,2,FALSE)*FB15</f>
        <v>0</v>
      </c>
      <c r="FG15" s="101">
        <f>II_Jan1[[#This Row],[Total Nota]]-II_Jan1[[#This Row],[Comissão]]</f>
        <v>0</v>
      </c>
      <c r="FH15" s="132"/>
      <c r="FI15" s="332"/>
      <c r="FJ15" s="494" t="str">
        <f>IF(AND(II_Jan1[[#This Row],[Total Nota]]&lt;&gt;"",II_Jan1[[#This Row],[ITBI/ITCMD]]="",II_Jan1[[#This Row],[Total Nota]]-IFERROR(VLOOKUP(II_Jan1[[#This Row],[Emols.]],Meta!$AK$3:$AN$256,2,FALSE),0)&lt;&gt;0),TEXT(IFERROR(II_Jan1[[#This Row],[Total Nota]]-VLOOKUP(II_Jan1[[#This Row],[Emols.]],Meta!$AK$3:$AN$256,2,FALSE),""),"#.##0,00"),"")</f>
        <v/>
      </c>
      <c r="FK15" s="487"/>
      <c r="FL15" s="102"/>
      <c r="FM15" s="330"/>
      <c r="FN15" s="326"/>
      <c r="FO15" s="104"/>
      <c r="FP15" s="73"/>
      <c r="FQ15" s="99" t="str">
        <f>IFERROR(VLOOKUP(JJ_Jan1[[#This Row],[Emols.]],Meta!$AK$3:$AN$256,3,FALSE),"")</f>
        <v/>
      </c>
      <c r="FR15" s="330"/>
      <c r="FS15" s="332"/>
      <c r="FT15" s="494" t="str">
        <f>IF(JJ_Jan1[[#This Row],[Total Nota]]="",TEXT(IFERROR(VLOOKUP(JJ_Jan1[[#This Row],[Emols.]],Meta!$AK$3:$AN$256,2,FALSE)+JJ_Jan1[[#This Row],[ITBI/ITCMD]],""),"#.##0,00"),"")</f>
        <v/>
      </c>
      <c r="FU15" s="485">
        <f>JJ_Jan1[[#This Row],[Emols.]]-JJ_Jan1[[#This Row],[Comissão]]</f>
        <v>0</v>
      </c>
      <c r="FV15" s="101">
        <f>VLOOKUP($FS$29,Meta!$Q$3:$R$16,2,FALSE)*FR15</f>
        <v>0</v>
      </c>
      <c r="FW15" s="101">
        <f>JJ_Jan1[[#This Row],[Total Nota]]-JJ_Jan1[[#This Row],[Comissão]]</f>
        <v>0</v>
      </c>
      <c r="FX15" s="132"/>
      <c r="FY15" s="332"/>
      <c r="FZ15" s="494" t="str">
        <f>IF(AND(JJ_Jan1[[#This Row],[Total Nota]]&lt;&gt;"",JJ_Jan1[[#This Row],[ITBI/ITCMD]]="",JJ_Jan1[[#This Row],[Total Nota]]-IFERROR(VLOOKUP(JJ_Jan1[[#This Row],[Emols.]],Meta!$AK$3:$AN$256,2,FALSE),0)&lt;&gt;0),TEXT(IFERROR(JJ_Jan1[[#This Row],[Total Nota]]-VLOOKUP(JJ_Jan1[[#This Row],[Emols.]],Meta!$AK$3:$AN$256,2,FALSE),""),"#.##0,00"),"")</f>
        <v/>
      </c>
      <c r="GA15" s="487"/>
      <c r="GB15" s="102"/>
      <c r="GC15" s="330"/>
      <c r="GD15" s="326"/>
      <c r="GE15" s="104"/>
      <c r="GF15" s="73"/>
      <c r="GG15" s="99" t="str">
        <f>IFERROR(VLOOKUP(KK_Jan1[[#This Row],[Emols.]],Meta!$AK$3:$AN$256,3,FALSE),"")</f>
        <v/>
      </c>
      <c r="GH15" s="330"/>
      <c r="GI15" s="332"/>
      <c r="GJ15" s="494" t="str">
        <f>IF(KK_Jan1[[#This Row],[Total Nota]]="",TEXT(IFERROR(VLOOKUP(KK_Jan1[[#This Row],[Emols.]],Meta!$AK$3:$AN$256,2,FALSE)+KK_Jan1[[#This Row],[ITBI/ITCMD]],""),"#.##0,00"),"")</f>
        <v/>
      </c>
      <c r="GK15" s="485">
        <f>KK_Jan1[[#This Row],[Emols.]]-KK_Jan1[[#This Row],[Comissão]]</f>
        <v>0</v>
      </c>
      <c r="GL15" s="101">
        <f>VLOOKUP($GI$29,Meta!$Q$3:$R$16,2,FALSE)*GH15</f>
        <v>0</v>
      </c>
      <c r="GM15" s="101">
        <f>KK_Jan1[[#This Row],[Total Nota]]-KK_Jan1[[#This Row],[Comissão]]</f>
        <v>0</v>
      </c>
      <c r="GN15" s="132"/>
      <c r="GO15" s="332"/>
      <c r="GP15" s="494" t="str">
        <f>IF(AND(KK_Jan1[[#This Row],[Total Nota]]&lt;&gt;"",KK_Jan1[[#This Row],[ITBI/ITCMD]]="",KK_Jan1[[#This Row],[Total Nota]]-IFERROR(VLOOKUP(KK_Jan1[[#This Row],[Emols.]],Meta!$AK$3:$AN$256,2,FALSE),0)&lt;&gt;0),TEXT(IFERROR(KK_Jan1[[#This Row],[Total Nota]]-VLOOKUP(KK_Jan1[[#This Row],[Emols.]],Meta!$AK$3:$AN$256,2,FALSE),""),"#.##0,00"),"")</f>
        <v/>
      </c>
      <c r="GQ15" s="487"/>
      <c r="GR15" s="102"/>
      <c r="GS15" s="330"/>
      <c r="GT15" s="326"/>
      <c r="GU15" s="104"/>
      <c r="GV15" s="73"/>
      <c r="GW15" s="99" t="str">
        <f>IFERROR(VLOOKUP(LL_Jan1[[#This Row],[Emols.]],Meta!$AK$3:$AN$256,3,FALSE),"")</f>
        <v/>
      </c>
      <c r="GX15" s="330"/>
      <c r="GY15" s="332"/>
      <c r="GZ15" s="494" t="str">
        <f>IF(LL_Jan1[[#This Row],[Total Nota]]="",TEXT(IFERROR(VLOOKUP(LL_Jan1[[#This Row],[Emols.]],Meta!$AK$3:$AN$256,2,FALSE)+LL_Jan1[[#This Row],[ITBI/ITCMD]],""),"#.##0,00"),"")</f>
        <v/>
      </c>
      <c r="HA15" s="485">
        <f>LL_Jan1[[#This Row],[Emols.]]-LL_Jan1[[#This Row],[Comissão]]</f>
        <v>0</v>
      </c>
      <c r="HB15" s="101">
        <f>VLOOKUP($GY$29,Meta!$Q$3:$R$16,2,FALSE)*GX15</f>
        <v>0</v>
      </c>
      <c r="HC15" s="101">
        <f>LL_Jan1[[#This Row],[Total Nota]]-LL_Jan1[[#This Row],[Comissão]]</f>
        <v>0</v>
      </c>
      <c r="HD15" s="132"/>
      <c r="HE15" s="332"/>
      <c r="HF15" s="494" t="str">
        <f>IF(AND(LL_Jan1[[#This Row],[Total Nota]]&lt;&gt;"",LL_Jan1[[#This Row],[ITBI/ITCMD]]="",LL_Jan1[[#This Row],[Total Nota]]-IFERROR(VLOOKUP(LL_Jan1[[#This Row],[Emols.]],Meta!$AK$3:$AN$256,2,FALSE),0)&lt;&gt;0),TEXT(IFERROR(LL_Jan1[[#This Row],[Total Nota]]-VLOOKUP(LL_Jan1[[#This Row],[Emols.]],Meta!$AK$3:$AN$256,2,FALSE),""),"#.##0,00"),"")</f>
        <v/>
      </c>
      <c r="HG15" s="487"/>
      <c r="HH15" s="102"/>
      <c r="HI15" s="330"/>
      <c r="HJ15" s="326"/>
      <c r="HK15" s="104"/>
      <c r="HL15" s="105"/>
    </row>
    <row r="16" spans="1:220" ht="14.45" customHeight="1" x14ac:dyDescent="0.25">
      <c r="A16" s="581"/>
      <c r="B16" s="509"/>
      <c r="C16" s="509"/>
      <c r="D16" s="509"/>
      <c r="E16" s="509"/>
      <c r="F16" s="509"/>
      <c r="G16" s="509"/>
      <c r="H16" s="509"/>
      <c r="I16" s="509"/>
      <c r="J16" s="590" t="s">
        <v>268</v>
      </c>
      <c r="K16" s="590"/>
      <c r="L16" s="590"/>
      <c r="M16" s="590"/>
      <c r="N16" s="510"/>
      <c r="O16" s="537"/>
      <c r="P16" s="162"/>
      <c r="Q16" s="163" t="s">
        <v>43</v>
      </c>
      <c r="R16" s="164" t="s">
        <v>270</v>
      </c>
      <c r="S16" s="165" t="s">
        <v>16</v>
      </c>
      <c r="T16" s="165" t="s">
        <v>271</v>
      </c>
      <c r="U16" s="166" t="s">
        <v>43</v>
      </c>
      <c r="V16" s="164" t="s">
        <v>45</v>
      </c>
      <c r="W16" s="165" t="s">
        <v>227</v>
      </c>
      <c r="X16" s="165" t="s">
        <v>46</v>
      </c>
      <c r="Y16" s="165" t="s">
        <v>47</v>
      </c>
      <c r="Z16" s="165" t="s">
        <v>213</v>
      </c>
      <c r="AA16" s="167"/>
      <c r="AB16" s="73"/>
      <c r="AC16" s="81" t="str">
        <f>IFERROR(VLOOKUP(AA_Jan1[[#This Row],[Emols.]],Meta!$AK$3:$AN$256,3,FALSE),"")</f>
        <v/>
      </c>
      <c r="AD16" s="325"/>
      <c r="AE16" s="324"/>
      <c r="AF16" s="493" t="str">
        <f>IF(AA_Jan1[[#This Row],[Total Nota]]="",TEXT(IFERROR(VLOOKUP(AA_Jan1[[#This Row],[Emols.]],Meta!$AK$3:$AN$256,2,FALSE)+AA_Jan1[[#This Row],[ITBI/ITCMD]],""),"#.##0,00"),"")</f>
        <v/>
      </c>
      <c r="AG16" s="482">
        <f>AA_Jan1[[#This Row],[Emols.]]-AA_Jan1[[#This Row],[Comissão]]</f>
        <v>0</v>
      </c>
      <c r="AH16" s="83">
        <f>VLOOKUP($AE$29,Meta!$Q$3:$R$16,2,FALSE)*AD16</f>
        <v>0</v>
      </c>
      <c r="AI16" s="83">
        <f>AA_Jan1[[#This Row],[Total Nota]]-AA_Jan1[[#This Row],[Comissão]]</f>
        <v>0</v>
      </c>
      <c r="AJ16" s="42"/>
      <c r="AK16" s="489"/>
      <c r="AL16" s="494" t="str">
        <f>IF(AND(AA_Jan1[[#This Row],[Total Nota]]&lt;&gt;"",AA_Jan1[[#This Row],[ITBI/ITCMD]]="",AA_Jan1[[#This Row],[Total Nota]]-IFERROR(VLOOKUP(AA_Jan1[[#This Row],[Emols.]],Meta!$AK$3:$AN$256,2,FALSE),0)&lt;&gt;0),TEXT(IFERROR(AA_Jan1[[#This Row],[Total Nota]]-VLOOKUP(AA_Jan1[[#This Row],[Emols.]],Meta!$AK$3:$AN$256,2,FALSE),""),"#.##0,00"),"")</f>
        <v/>
      </c>
      <c r="AM16" s="484"/>
      <c r="AN16" s="40"/>
      <c r="AO16" s="325"/>
      <c r="AP16" s="326"/>
      <c r="AQ16" s="85"/>
      <c r="AR16" s="86"/>
      <c r="AS16" s="87" t="str">
        <f>IFERROR(VLOOKUP(BB_Jan1[[#This Row],[Emols.]],Meta!$AK$3:$AN$256,3,FALSE),"")</f>
        <v/>
      </c>
      <c r="AT16" s="325"/>
      <c r="AU16" s="489"/>
      <c r="AV16" s="494" t="str">
        <f>IF(BB_Jan1[[#This Row],[Total Nota]]="",TEXT(IFERROR(VLOOKUP(BB_Jan1[[#This Row],[Emols.]],Meta!$AK$3:$AN$256,2,FALSE)+BB_Jan1[[#This Row],[ITBI/ITCMD]],""),"#.##0,00"),"")</f>
        <v/>
      </c>
      <c r="AW16" s="482">
        <f>BB_Jan1[[#This Row],[Emols.]]-BB_Jan1[[#This Row],[Comissão]]</f>
        <v>0</v>
      </c>
      <c r="AX16" s="83">
        <f>VLOOKUP($AU$29,Meta!$Q$3:$R$16,2,FALSE)*AT16</f>
        <v>0</v>
      </c>
      <c r="AY16" s="83">
        <f>BB_Jan1[[#This Row],[Total Nota]]-BB_Jan1[[#This Row],[Comissão]]</f>
        <v>0</v>
      </c>
      <c r="AZ16" s="43"/>
      <c r="BA16" s="324"/>
      <c r="BB16" s="493" t="str">
        <f>IF(AND(BB_Jan1[[#This Row],[Total Nota]]&lt;&gt;"",BB_Jan1[[#This Row],[ITBI/ITCMD]]="",BB_Jan1[[#This Row],[Total Nota]]-IFERROR(VLOOKUP(BB_Jan1[[#This Row],[Emols.]],Meta!$AK$3:$AN$256,2,FALSE),0)&lt;&gt;0),TEXT(IFERROR(BB_Jan1[[#This Row],[Total Nota]]-VLOOKUP(BB_Jan1[[#This Row],[Emols.]],Meta!$AK$3:$AN$256,2,FALSE),""),"#.##0,00"),"")</f>
        <v/>
      </c>
      <c r="BC16" s="484"/>
      <c r="BD16" s="41"/>
      <c r="BE16" s="325"/>
      <c r="BF16" s="326"/>
      <c r="BG16" s="89"/>
      <c r="BH16" s="86"/>
      <c r="BI16" s="90" t="str">
        <f>IFERROR(VLOOKUP(CC_Jan1[[#This Row],[Emols.]],Meta!$AK$3:$AN$256,3,FALSE),"")</f>
        <v/>
      </c>
      <c r="BJ16" s="325"/>
      <c r="BK16" s="489"/>
      <c r="BL16" s="494" t="str">
        <f>IF(CC_Jan1[[#This Row],[Total Nota]]="",TEXT(IFERROR(VLOOKUP(CC_Jan1[[#This Row],[Emols.]],Meta!$AK$3:$AN$256,2,FALSE)+CC_Jan1[[#This Row],[ITBI/ITCMD]],""),"#.##0,00"),"")</f>
        <v/>
      </c>
      <c r="BM16" s="482">
        <f>CC_Jan1[[#This Row],[Emols.]]-CC_Jan1[[#This Row],[Comissão]]</f>
        <v>0</v>
      </c>
      <c r="BN16" s="83">
        <f>VLOOKUP($BK$29,Meta!$Q$3:$R$16,2,FALSE)*BJ16</f>
        <v>0</v>
      </c>
      <c r="BO16" s="83">
        <f>CC_Jan1[[#This Row],[Total Nota]]-CC_Jan1[[#This Row],[Comissão]]</f>
        <v>0</v>
      </c>
      <c r="BP16" s="44"/>
      <c r="BQ16" s="489"/>
      <c r="BR16" s="494" t="str">
        <f>IF(AND(CC_Jan1[[#This Row],[Total Nota]]&lt;&gt;"",CC_Jan1[[#This Row],[ITBI/ITCMD]]="",CC_Jan1[[#This Row],[Total Nota]]-IFERROR(VLOOKUP(CC_Jan1[[#This Row],[Emols.]],Meta!$AK$3:$AN$256,2,FALSE),0)&lt;&gt;0),TEXT(IFERROR(CC_Jan1[[#This Row],[Total Nota]]-VLOOKUP(CC_Jan1[[#This Row],[Emols.]],Meta!$AK$3:$AN$256,2,FALSE),""),"#.##0,00"),"")</f>
        <v/>
      </c>
      <c r="BS16" s="484"/>
      <c r="BT16" s="47"/>
      <c r="BU16" s="325"/>
      <c r="BV16" s="326"/>
      <c r="BW16" s="91"/>
      <c r="BX16" s="86"/>
      <c r="BY16" s="92" t="str">
        <f>IFERROR(VLOOKUP(DD_Jan1[[#This Row],[Emols.]],Meta!$AK$3:$AN$256,3,FALSE),"")</f>
        <v/>
      </c>
      <c r="BZ16" s="325"/>
      <c r="CA16" s="324"/>
      <c r="CB16" s="493" t="str">
        <f>IF(DD_Jan1[[#This Row],[Total Nota]]="",TEXT(IFERROR(VLOOKUP(DD_Jan1[[#This Row],[Emols.]],Meta!$AK$3:$AN$256,2,FALSE)+DD_Jan1[[#This Row],[ITBI/ITCMD]],""),"#.##0,00"),"")</f>
        <v/>
      </c>
      <c r="CC16" s="482">
        <f>DD_Jan1[[#This Row],[Emols.]]-DD_Jan1[[#This Row],[Comissão]]</f>
        <v>0</v>
      </c>
      <c r="CD16" s="83">
        <f>VLOOKUP($CA$29,Meta!$Q$3:$R$16,2,FALSE)*BZ16</f>
        <v>0</v>
      </c>
      <c r="CE16" s="83">
        <f>DD_Jan1[[#This Row],[Total Nota]]-DD_Jan1[[#This Row],[Comissão]]</f>
        <v>0</v>
      </c>
      <c r="CF16" s="139"/>
      <c r="CG16" s="324"/>
      <c r="CH16" s="493" t="str">
        <f>IF(AND(DD_Jan1[[#This Row],[Total Nota]]&lt;&gt;"",DD_Jan1[[#This Row],[ITBI/ITCMD]]="",DD_Jan1[[#This Row],[Total Nota]]-IFERROR(VLOOKUP(DD_Jan1[[#This Row],[Emols.]],Meta!$AK$3:$AN$256,2,FALSE),0)&lt;&gt;0),TEXT(IFERROR(DD_Jan1[[#This Row],[Total Nota]]-VLOOKUP(DD_Jan1[[#This Row],[Emols.]],Meta!$AK$3:$AN$256,2,FALSE),""),"#.##0,00"),"")</f>
        <v/>
      </c>
      <c r="CI16" s="484"/>
      <c r="CJ16" s="93"/>
      <c r="CK16" s="325"/>
      <c r="CL16" s="326"/>
      <c r="CM16" s="94"/>
      <c r="CN16" s="86"/>
      <c r="CO16" s="95" t="str">
        <f>IFERROR(VLOOKUP(EE_Jan1[[#This Row],[Emols.]],Meta!$AK$3:$AN$256,3,FALSE),"")</f>
        <v/>
      </c>
      <c r="CP16" s="325"/>
      <c r="CQ16" s="489"/>
      <c r="CR16" s="494" t="str">
        <f>IF(EE_Jan1[[#This Row],[Total Nota]]="",TEXT(IFERROR(VLOOKUP(EE_Jan1[[#This Row],[Emols.]],Meta!$AK$3:$AN$256,2,FALSE)+EE_Jan1[[#This Row],[ITBI/ITCMD]],""),"#.##0,00"),"")</f>
        <v/>
      </c>
      <c r="CS16" s="482">
        <f>EE_Jan1[[#This Row],[Emols.]]-EE_Jan1[[#This Row],[Comissão]]</f>
        <v>0</v>
      </c>
      <c r="CT16" s="83">
        <f>VLOOKUP($CQ$29,Meta!$Q$3:$R$16,2,FALSE)*CP16</f>
        <v>0</v>
      </c>
      <c r="CU16" s="83">
        <f>EE_Jan1[[#This Row],[Total Nota]]-EE_Jan1[[#This Row],[Comissão]]</f>
        <v>0</v>
      </c>
      <c r="CV16" s="140"/>
      <c r="CW16" s="324"/>
      <c r="CX16" s="493" t="str">
        <f>IF(AND(EE_Jan1[[#This Row],[Total Nota]]&lt;&gt;"",EE_Jan1[[#This Row],[ITBI/ITCMD]]="",EE_Jan1[[#This Row],[Total Nota]]-IFERROR(VLOOKUP(EE_Jan1[[#This Row],[Emols.]],Meta!$AK$3:$AN$256,2,FALSE),0)&lt;&gt;0),TEXT(IFERROR(EE_Jan1[[#This Row],[Total Nota]]-VLOOKUP(EE_Jan1[[#This Row],[Emols.]],Meta!$AK$3:$AN$256,2,FALSE),""),"#.##0,00"),"")</f>
        <v/>
      </c>
      <c r="CY16" s="484"/>
      <c r="CZ16" s="96"/>
      <c r="DA16" s="325"/>
      <c r="DB16" s="326"/>
      <c r="DC16" s="97"/>
      <c r="DD16" s="86"/>
      <c r="DE16" s="87" t="str">
        <f>IFERROR(VLOOKUP(FF_Jan1[[#This Row],[Emols.]],Meta!$AK$3:$AN$256,3,FALSE),"")</f>
        <v/>
      </c>
      <c r="DF16" s="325"/>
      <c r="DG16" s="489"/>
      <c r="DH16" s="494" t="str">
        <f>IF(FF_Jan1[[#This Row],[Total Nota]]="",TEXT(IFERROR(VLOOKUP(FF_Jan1[[#This Row],[Emols.]],Meta!$AK$3:$AN$256,2,FALSE)+FF_Jan1[[#This Row],[ITBI/ITCMD]],""),"#.##0,00"),"")</f>
        <v/>
      </c>
      <c r="DI16" s="482">
        <f>FF_Jan1[[#This Row],[Emols.]]-FF_Jan1[[#This Row],[Comissão]]</f>
        <v>0</v>
      </c>
      <c r="DJ16" s="83">
        <f>VLOOKUP($DG$29,Meta!$Q$3:$R$16,2,FALSE)*DF16</f>
        <v>0</v>
      </c>
      <c r="DK16" s="83">
        <f>FF_Jan1[[#This Row],[Total Nota]]-FF_Jan1[[#This Row],[Comissão]]</f>
        <v>0</v>
      </c>
      <c r="DL16" s="43"/>
      <c r="DM16" s="324"/>
      <c r="DN16" s="493" t="str">
        <f>IF(AND(FF_Jan1[[#This Row],[Total Nota]]&lt;&gt;"",FF_Jan1[[#This Row],[ITBI/ITCMD]]="",FF_Jan1[[#This Row],[Total Nota]]-IFERROR(VLOOKUP(FF_Jan1[[#This Row],[Emols.]],Meta!$AK$3:$AN$256,2,FALSE),0)&lt;&gt;0),TEXT(IFERROR(FF_Jan1[[#This Row],[Total Nota]]-VLOOKUP(FF_Jan1[[#This Row],[Emols.]],Meta!$AK$3:$AN$256,2,FALSE),""),"#.##0,00"),"")</f>
        <v/>
      </c>
      <c r="DO16" s="484"/>
      <c r="DP16" s="41"/>
      <c r="DQ16" s="325"/>
      <c r="DR16" s="326"/>
      <c r="DS16" s="98"/>
      <c r="DT16" s="73"/>
      <c r="DU16" s="99" t="str">
        <f>IFERROR(VLOOKUP(GG_Jan1[[#This Row],[Emols.]],Meta!$AK$3:$AN$256,3,FALSE),"")</f>
        <v/>
      </c>
      <c r="DV16" s="330"/>
      <c r="DW16" s="332"/>
      <c r="DX16" s="493" t="str">
        <f>IF(GG_Jan1[[#This Row],[Total Nota]]="",TEXT(IFERROR(VLOOKUP(GG_Jan1[[#This Row],[Emols.]],Meta!$AK$3:$AN$256,2,FALSE)+GG_Jan1[[#This Row],[ITBI/ITCMD]],""),"#.##0,00"),"")</f>
        <v/>
      </c>
      <c r="DY16" s="485">
        <f>GG_Jan1[[#This Row],[Emols.]]-GG_Jan1[[#This Row],[Comissão]]</f>
        <v>0</v>
      </c>
      <c r="DZ16" s="101">
        <f>VLOOKUP($DW$29,Meta!$Q$3:$R$16,2,FALSE)*DV16</f>
        <v>0</v>
      </c>
      <c r="EA16" s="101">
        <f>GG_Jan1[[#This Row],[Total Nota]]-GG_Jan1[[#This Row],[Comissão]]</f>
        <v>0</v>
      </c>
      <c r="EB16" s="132"/>
      <c r="EC16" s="492"/>
      <c r="ED16" s="494" t="str">
        <f>IF(AND(GG_Jan1[[#This Row],[Total Nota]]&lt;&gt;"",GG_Jan1[[#This Row],[ITBI/ITCMD]]="",GG_Jan1[[#This Row],[Total Nota]]-IFERROR(VLOOKUP(GG_Jan1[[#This Row],[Emols.]],Meta!$AK$3:$AN$256,2,FALSE),0)&lt;&gt;0),TEXT(IFERROR(GG_Jan1[[#This Row],[Total Nota]]-VLOOKUP(GG_Jan1[[#This Row],[Emols.]],Meta!$AK$3:$AN$256,2,FALSE),""),"#.##0,00"),"")</f>
        <v/>
      </c>
      <c r="EE16" s="487"/>
      <c r="EF16" s="102"/>
      <c r="EG16" s="330"/>
      <c r="EH16" s="326"/>
      <c r="EI16" s="104"/>
      <c r="EJ16" s="73"/>
      <c r="EK16" s="99" t="str">
        <f>IFERROR(VLOOKUP(HH_Jan1[[#This Row],[Emols.]],Meta!$AK$3:$AN$256,3,FALSE),"")</f>
        <v/>
      </c>
      <c r="EL16" s="330"/>
      <c r="EM16" s="492"/>
      <c r="EN16" s="494" t="str">
        <f>IF(HH_Jan1[[#This Row],[Total Nota]]="",TEXT(IFERROR(VLOOKUP(HH_Jan1[[#This Row],[Emols.]],Meta!$AK$3:$AN$256,2,FALSE)+HH_Jan1[[#This Row],[ITBI/ITCMD]],""),"#.##0,00"),"")</f>
        <v/>
      </c>
      <c r="EO16" s="485">
        <f>HH_Jan1[[#This Row],[Emols.]]-HH_Jan1[[#This Row],[Comissão]]</f>
        <v>0</v>
      </c>
      <c r="EP16" s="101">
        <f>VLOOKUP($EM$29,Meta!$Q$3:$R$16,2,FALSE)*EL16</f>
        <v>0</v>
      </c>
      <c r="EQ16" s="101">
        <f>HH_Jan1[[#This Row],[Total Nota]]-HH_Jan1[[#This Row],[Comissão]]</f>
        <v>0</v>
      </c>
      <c r="ER16" s="132"/>
      <c r="ES16" s="332"/>
      <c r="ET16" s="493" t="str">
        <f>IF(AND(HH_Jan1[[#This Row],[Total Nota]]&lt;&gt;"",HH_Jan1[[#This Row],[ITBI/ITCMD]]="",HH_Jan1[[#This Row],[Total Nota]]-IFERROR(VLOOKUP(HH_Jan1[[#This Row],[Emols.]],Meta!$AK$3:$AN$256,2,FALSE),0)&lt;&gt;0),TEXT(IFERROR(HH_Jan1[[#This Row],[Total Nota]]-VLOOKUP(HH_Jan1[[#This Row],[Emols.]],Meta!$AK$3:$AN$256,2,FALSE),""),"#.##0,00"),"")</f>
        <v/>
      </c>
      <c r="EU16" s="487"/>
      <c r="EV16" s="102"/>
      <c r="EW16" s="330"/>
      <c r="EX16" s="326"/>
      <c r="EY16" s="104"/>
      <c r="EZ16" s="73"/>
      <c r="FA16" s="99" t="str">
        <f>IFERROR(VLOOKUP(II_Jan1[[#This Row],[Emols.]],Meta!$AK$3:$AN$256,3,FALSE),"")</f>
        <v/>
      </c>
      <c r="FB16" s="330"/>
      <c r="FC16" s="332"/>
      <c r="FD16" s="493" t="str">
        <f>IF(II_Jan1[[#This Row],[Total Nota]]="",TEXT(IFERROR(VLOOKUP(II_Jan1[[#This Row],[Emols.]],Meta!$AK$3:$AN$256,2,FALSE)+II_Jan1[[#This Row],[ITBI/ITCMD]],""),"#.##0,00"),"")</f>
        <v/>
      </c>
      <c r="FE16" s="485">
        <f>II_Jan1[[#This Row],[Emols.]]-II_Jan1[[#This Row],[Comissão]]</f>
        <v>0</v>
      </c>
      <c r="FF16" s="101">
        <f>VLOOKUP($FC$29,Meta!$Q$3:$R$16,2,FALSE)*FB16</f>
        <v>0</v>
      </c>
      <c r="FG16" s="101">
        <f>II_Jan1[[#This Row],[Total Nota]]-II_Jan1[[#This Row],[Comissão]]</f>
        <v>0</v>
      </c>
      <c r="FH16" s="132"/>
      <c r="FI16" s="332"/>
      <c r="FJ16" s="493" t="str">
        <f>IF(AND(II_Jan1[[#This Row],[Total Nota]]&lt;&gt;"",II_Jan1[[#This Row],[ITBI/ITCMD]]="",II_Jan1[[#This Row],[Total Nota]]-IFERROR(VLOOKUP(II_Jan1[[#This Row],[Emols.]],Meta!$AK$3:$AN$256,2,FALSE),0)&lt;&gt;0),TEXT(IFERROR(II_Jan1[[#This Row],[Total Nota]]-VLOOKUP(II_Jan1[[#This Row],[Emols.]],Meta!$AK$3:$AN$256,2,FALSE),""),"#.##0,00"),"")</f>
        <v/>
      </c>
      <c r="FK16" s="487"/>
      <c r="FL16" s="102"/>
      <c r="FM16" s="330"/>
      <c r="FN16" s="326"/>
      <c r="FO16" s="104"/>
      <c r="FP16" s="73"/>
      <c r="FQ16" s="99" t="str">
        <f>IFERROR(VLOOKUP(JJ_Jan1[[#This Row],[Emols.]],Meta!$AK$3:$AN$256,3,FALSE),"")</f>
        <v/>
      </c>
      <c r="FR16" s="330"/>
      <c r="FS16" s="492"/>
      <c r="FT16" s="494" t="str">
        <f>IF(JJ_Jan1[[#This Row],[Total Nota]]="",TEXT(IFERROR(VLOOKUP(JJ_Jan1[[#This Row],[Emols.]],Meta!$AK$3:$AN$256,2,FALSE)+JJ_Jan1[[#This Row],[ITBI/ITCMD]],""),"#.##0,00"),"")</f>
        <v/>
      </c>
      <c r="FU16" s="485">
        <f>JJ_Jan1[[#This Row],[Emols.]]-JJ_Jan1[[#This Row],[Comissão]]</f>
        <v>0</v>
      </c>
      <c r="FV16" s="101">
        <f>VLOOKUP($FS$29,Meta!$Q$3:$R$16,2,FALSE)*FR16</f>
        <v>0</v>
      </c>
      <c r="FW16" s="101">
        <f>JJ_Jan1[[#This Row],[Total Nota]]-JJ_Jan1[[#This Row],[Comissão]]</f>
        <v>0</v>
      </c>
      <c r="FX16" s="132"/>
      <c r="FY16" s="332"/>
      <c r="FZ16" s="493" t="str">
        <f>IF(AND(JJ_Jan1[[#This Row],[Total Nota]]&lt;&gt;"",JJ_Jan1[[#This Row],[ITBI/ITCMD]]="",JJ_Jan1[[#This Row],[Total Nota]]-IFERROR(VLOOKUP(JJ_Jan1[[#This Row],[Emols.]],Meta!$AK$3:$AN$256,2,FALSE),0)&lt;&gt;0),TEXT(IFERROR(JJ_Jan1[[#This Row],[Total Nota]]-VLOOKUP(JJ_Jan1[[#This Row],[Emols.]],Meta!$AK$3:$AN$256,2,FALSE),""),"#.##0,00"),"")</f>
        <v/>
      </c>
      <c r="GA16" s="487"/>
      <c r="GB16" s="102"/>
      <c r="GC16" s="330"/>
      <c r="GD16" s="326"/>
      <c r="GE16" s="104"/>
      <c r="GF16" s="73"/>
      <c r="GG16" s="99" t="str">
        <f>IFERROR(VLOOKUP(KK_Jan1[[#This Row],[Emols.]],Meta!$AK$3:$AN$256,3,FALSE),"")</f>
        <v/>
      </c>
      <c r="GH16" s="330"/>
      <c r="GI16" s="492"/>
      <c r="GJ16" s="494" t="str">
        <f>IF(KK_Jan1[[#This Row],[Total Nota]]="",TEXT(IFERROR(VLOOKUP(KK_Jan1[[#This Row],[Emols.]],Meta!$AK$3:$AN$256,2,FALSE)+KK_Jan1[[#This Row],[ITBI/ITCMD]],""),"#.##0,00"),"")</f>
        <v/>
      </c>
      <c r="GK16" s="485">
        <f>KK_Jan1[[#This Row],[Emols.]]-KK_Jan1[[#This Row],[Comissão]]</f>
        <v>0</v>
      </c>
      <c r="GL16" s="101">
        <f>VLOOKUP($GI$29,Meta!$Q$3:$R$16,2,FALSE)*GH16</f>
        <v>0</v>
      </c>
      <c r="GM16" s="101">
        <f>KK_Jan1[[#This Row],[Total Nota]]-KK_Jan1[[#This Row],[Comissão]]</f>
        <v>0</v>
      </c>
      <c r="GN16" s="132"/>
      <c r="GO16" s="332"/>
      <c r="GP16" s="493" t="str">
        <f>IF(AND(KK_Jan1[[#This Row],[Total Nota]]&lt;&gt;"",KK_Jan1[[#This Row],[ITBI/ITCMD]]="",KK_Jan1[[#This Row],[Total Nota]]-IFERROR(VLOOKUP(KK_Jan1[[#This Row],[Emols.]],Meta!$AK$3:$AN$256,2,FALSE),0)&lt;&gt;0),TEXT(IFERROR(KK_Jan1[[#This Row],[Total Nota]]-VLOOKUP(KK_Jan1[[#This Row],[Emols.]],Meta!$AK$3:$AN$256,2,FALSE),""),"#.##0,00"),"")</f>
        <v/>
      </c>
      <c r="GQ16" s="487"/>
      <c r="GR16" s="102"/>
      <c r="GS16" s="330"/>
      <c r="GT16" s="326"/>
      <c r="GU16" s="104"/>
      <c r="GV16" s="73"/>
      <c r="GW16" s="99" t="str">
        <f>IFERROR(VLOOKUP(LL_Jan1[[#This Row],[Emols.]],Meta!$AK$3:$AN$256,3,FALSE),"")</f>
        <v/>
      </c>
      <c r="GX16" s="330"/>
      <c r="GY16" s="492"/>
      <c r="GZ16" s="494" t="str">
        <f>IF(LL_Jan1[[#This Row],[Total Nota]]="",TEXT(IFERROR(VLOOKUP(LL_Jan1[[#This Row],[Emols.]],Meta!$AK$3:$AN$256,2,FALSE)+LL_Jan1[[#This Row],[ITBI/ITCMD]],""),"#.##0,00"),"")</f>
        <v/>
      </c>
      <c r="HA16" s="485">
        <f>LL_Jan1[[#This Row],[Emols.]]-LL_Jan1[[#This Row],[Comissão]]</f>
        <v>0</v>
      </c>
      <c r="HB16" s="101">
        <f>VLOOKUP($GY$29,Meta!$Q$3:$R$16,2,FALSE)*GX16</f>
        <v>0</v>
      </c>
      <c r="HC16" s="101">
        <f>LL_Jan1[[#This Row],[Total Nota]]-LL_Jan1[[#This Row],[Comissão]]</f>
        <v>0</v>
      </c>
      <c r="HD16" s="132"/>
      <c r="HE16" s="332"/>
      <c r="HF16" s="493" t="str">
        <f>IF(AND(LL_Jan1[[#This Row],[Total Nota]]&lt;&gt;"",LL_Jan1[[#This Row],[ITBI/ITCMD]]="",LL_Jan1[[#This Row],[Total Nota]]-IFERROR(VLOOKUP(LL_Jan1[[#This Row],[Emols.]],Meta!$AK$3:$AN$256,2,FALSE),0)&lt;&gt;0),TEXT(IFERROR(LL_Jan1[[#This Row],[Total Nota]]-VLOOKUP(LL_Jan1[[#This Row],[Emols.]],Meta!$AK$3:$AN$256,2,FALSE),""),"#.##0,00"),"")</f>
        <v/>
      </c>
      <c r="HG16" s="487"/>
      <c r="HH16" s="102"/>
      <c r="HI16" s="330"/>
      <c r="HJ16" s="326"/>
      <c r="HK16" s="104"/>
      <c r="HL16" s="105"/>
    </row>
    <row r="17" spans="1:220" ht="14.45" customHeight="1" x14ac:dyDescent="0.25">
      <c r="A17" s="581"/>
      <c r="B17" s="532" t="str">
        <f>IF(AG29=Meta!$D$3,Meta!$Q$3,"")</f>
        <v>Alice</v>
      </c>
      <c r="C17" s="533"/>
      <c r="D17" s="533"/>
      <c r="E17" s="533"/>
      <c r="F17" s="533"/>
      <c r="G17" s="533"/>
      <c r="H17" s="533"/>
      <c r="I17" s="560"/>
      <c r="J17" s="548">
        <f>IF(AG29=Meta!$D$3,Y17-Z17,"")</f>
        <v>0</v>
      </c>
      <c r="K17" s="521" t="str">
        <f>IF(L17="","","+")</f>
        <v/>
      </c>
      <c r="L17" s="522" t="str">
        <f>IF(Z17=0,"",Z17)</f>
        <v/>
      </c>
      <c r="M17" s="523" t="str">
        <f>IF(L17="","","ausentes")</f>
        <v/>
      </c>
      <c r="N17" s="508"/>
      <c r="O17" s="535"/>
      <c r="P17" s="168" t="str">
        <f>IF(AG29=Meta!$D$3,Meta!$Q$3,"")</f>
        <v>Alice</v>
      </c>
      <c r="Q17" s="169">
        <f>IF(AG29=Meta!$D$3,-($S17-$R17),"")</f>
        <v>0</v>
      </c>
      <c r="R17" s="170">
        <f>IF(AG29=Meta!$D$3,ROUND($Q2*VLOOKUP($Q15,Meta!$E$3:$F$4,2,FALSE)+R2*VLOOKUP($R15,Meta!$E$3:$F$4,2,FALSE)+S2*VLOOKUP($S15,Meta!$E$3:$F$4,2,FALSE)+T2*VLOOKUP($T15,Meta!$E$3:$F$4,2,FALSE)+U2*VLOOKUP($U15,Meta!$E$3:$F$4,2,FALSE)+V2*VLOOKUP($V15,Meta!$E$3:$F$4,2,FALSE)+W2*VLOOKUP($W15,Meta!$E$3:$F$4,2,FALSE)+X2*VLOOKUP($X15,Meta!$E$3:$F$4,2,FALSE)+Y2*VLOOKUP($Y15,Meta!$E$3:$F$4,2,FALSE),2),"")</f>
        <v>0</v>
      </c>
      <c r="S17" s="171">
        <f>IF(AG29=Meta!$D$3,AA_Jan1[[#Totals],[A Receber]]*VLOOKUP(AG29,Meta!$D$3:$F$4,3,FALSE),"")</f>
        <v>0</v>
      </c>
      <c r="T17" s="170">
        <f>IF(AG29=Meta!$D$3,$Z2-$R17,"")</f>
        <v>0</v>
      </c>
      <c r="U17" s="172">
        <f>IF(AG29=Meta!$D$3,IF(Q17&lt;0,Q17+T17,-1*(AO29+Q17)),"")</f>
        <v>0</v>
      </c>
      <c r="V17" s="173">
        <f>IF(AG29=Meta!$D$3,SUMIF(AA_Jan1[[ ]],"",AA_Jan1[ITBI/ITCMD]),"")</f>
        <v>0</v>
      </c>
      <c r="W17" s="170">
        <f>IF(AG29=Meta!$D$3,SUMIF(AA_Jan1[[ ]],Meta!$AA$4,AA_Jan1[ITBI/ITCMD]),"")</f>
        <v>0</v>
      </c>
      <c r="X17" s="170">
        <f>IF(AG29=Meta!$D$3,SUMIF(AA_Jan1[[ ]],Meta!$AA$3,AA_Jan1[ITBI/ITCMD]),"")</f>
        <v>0</v>
      </c>
      <c r="Y17" s="171">
        <f>IF(AG29=Meta!$D$3,SUM($V17:$X17),"")</f>
        <v>0</v>
      </c>
      <c r="Z17" s="174">
        <f>IF(AG29=Meta!$D$3,$Y17-$V17*VLOOKUP($V30,Meta!$E$2:$F$4,2,FALSE)-$W17*VLOOKUP($W30,Meta!$E$2:$F$4,2,FALSE)-$X17*VLOOKUP($X30,Meta!$E$2:$F$4,2,FALSE),"")</f>
        <v>0</v>
      </c>
      <c r="AA17" s="175"/>
      <c r="AB17" s="73"/>
      <c r="AC17" s="81" t="str">
        <f>IFERROR(VLOOKUP(AA_Jan1[[#This Row],[Emols.]],Meta!$AK$3:$AN$256,3,FALSE),"")</f>
        <v/>
      </c>
      <c r="AD17" s="325"/>
      <c r="AE17" s="324"/>
      <c r="AF17" s="494" t="str">
        <f>IF(AA_Jan1[[#This Row],[Total Nota]]="",TEXT(IFERROR(VLOOKUP(AA_Jan1[[#This Row],[Emols.]],Meta!$AK$3:$AN$256,2,FALSE)+AA_Jan1[[#This Row],[ITBI/ITCMD]],""),"#.##0,00"),"")</f>
        <v/>
      </c>
      <c r="AG17" s="482">
        <f>AA_Jan1[[#This Row],[Emols.]]-AA_Jan1[[#This Row],[Comissão]]</f>
        <v>0</v>
      </c>
      <c r="AH17" s="83">
        <f>VLOOKUP($AE$29,Meta!$Q$3:$R$16,2,FALSE)*AD17</f>
        <v>0</v>
      </c>
      <c r="AI17" s="83">
        <f>AA_Jan1[[#This Row],[Total Nota]]-AA_Jan1[[#This Row],[Comissão]]</f>
        <v>0</v>
      </c>
      <c r="AJ17" s="42"/>
      <c r="AK17" s="324"/>
      <c r="AL17" s="494" t="str">
        <f>IF(AND(AA_Jan1[[#This Row],[Total Nota]]&lt;&gt;"",AA_Jan1[[#This Row],[ITBI/ITCMD]]="",AA_Jan1[[#This Row],[Total Nota]]-IFERROR(VLOOKUP(AA_Jan1[[#This Row],[Emols.]],Meta!$AK$3:$AN$256,2,FALSE),0)&lt;&gt;0),TEXT(IFERROR(AA_Jan1[[#This Row],[Total Nota]]-VLOOKUP(AA_Jan1[[#This Row],[Emols.]],Meta!$AK$3:$AN$256,2,FALSE),""),"#.##0,00"),"")</f>
        <v/>
      </c>
      <c r="AM17" s="484"/>
      <c r="AN17" s="40"/>
      <c r="AO17" s="325"/>
      <c r="AP17" s="326"/>
      <c r="AQ17" s="85"/>
      <c r="AR17" s="86"/>
      <c r="AS17" s="87" t="str">
        <f>IFERROR(VLOOKUP(BB_Jan1[[#This Row],[Emols.]],Meta!$AK$3:$AN$256,3,FALSE),"")</f>
        <v/>
      </c>
      <c r="AT17" s="325"/>
      <c r="AU17" s="324"/>
      <c r="AV17" s="494" t="str">
        <f>IF(BB_Jan1[[#This Row],[Total Nota]]="",TEXT(IFERROR(VLOOKUP(BB_Jan1[[#This Row],[Emols.]],Meta!$AK$3:$AN$256,2,FALSE)+BB_Jan1[[#This Row],[ITBI/ITCMD]],""),"#.##0,00"),"")</f>
        <v/>
      </c>
      <c r="AW17" s="482">
        <f>BB_Jan1[[#This Row],[Emols.]]-BB_Jan1[[#This Row],[Comissão]]</f>
        <v>0</v>
      </c>
      <c r="AX17" s="83">
        <f>VLOOKUP($AU$29,Meta!$Q$3:$R$16,2,FALSE)*AT17</f>
        <v>0</v>
      </c>
      <c r="AY17" s="83">
        <f>BB_Jan1[[#This Row],[Total Nota]]-BB_Jan1[[#This Row],[Comissão]]</f>
        <v>0</v>
      </c>
      <c r="AZ17" s="43"/>
      <c r="BA17" s="324"/>
      <c r="BB17" s="494" t="str">
        <f>IF(AND(BB_Jan1[[#This Row],[Total Nota]]&lt;&gt;"",BB_Jan1[[#This Row],[ITBI/ITCMD]]="",BB_Jan1[[#This Row],[Total Nota]]-IFERROR(VLOOKUP(BB_Jan1[[#This Row],[Emols.]],Meta!$AK$3:$AN$256,2,FALSE),0)&lt;&gt;0),TEXT(IFERROR(BB_Jan1[[#This Row],[Total Nota]]-VLOOKUP(BB_Jan1[[#This Row],[Emols.]],Meta!$AK$3:$AN$256,2,FALSE),""),"#.##0,00"),"")</f>
        <v/>
      </c>
      <c r="BC17" s="484"/>
      <c r="BD17" s="41"/>
      <c r="BE17" s="325"/>
      <c r="BF17" s="326"/>
      <c r="BG17" s="89"/>
      <c r="BH17" s="86"/>
      <c r="BI17" s="90" t="str">
        <f>IFERROR(VLOOKUP(CC_Jan1[[#This Row],[Emols.]],Meta!$AK$3:$AN$256,3,FALSE),"")</f>
        <v/>
      </c>
      <c r="BJ17" s="325"/>
      <c r="BK17" s="324"/>
      <c r="BL17" s="494" t="str">
        <f>IF(CC_Jan1[[#This Row],[Total Nota]]="",TEXT(IFERROR(VLOOKUP(CC_Jan1[[#This Row],[Emols.]],Meta!$AK$3:$AN$256,2,FALSE)+CC_Jan1[[#This Row],[ITBI/ITCMD]],""),"#.##0,00"),"")</f>
        <v/>
      </c>
      <c r="BM17" s="482">
        <f>CC_Jan1[[#This Row],[Emols.]]-CC_Jan1[[#This Row],[Comissão]]</f>
        <v>0</v>
      </c>
      <c r="BN17" s="83">
        <f>VLOOKUP($BK$29,Meta!$Q$3:$R$16,2,FALSE)*BJ17</f>
        <v>0</v>
      </c>
      <c r="BO17" s="83">
        <f>CC_Jan1[[#This Row],[Total Nota]]-CC_Jan1[[#This Row],[Comissão]]</f>
        <v>0</v>
      </c>
      <c r="BP17" s="44"/>
      <c r="BQ17" s="324"/>
      <c r="BR17" s="494" t="str">
        <f>IF(AND(CC_Jan1[[#This Row],[Total Nota]]&lt;&gt;"",CC_Jan1[[#This Row],[ITBI/ITCMD]]="",CC_Jan1[[#This Row],[Total Nota]]-IFERROR(VLOOKUP(CC_Jan1[[#This Row],[Emols.]],Meta!$AK$3:$AN$256,2,FALSE),0)&lt;&gt;0),TEXT(IFERROR(CC_Jan1[[#This Row],[Total Nota]]-VLOOKUP(CC_Jan1[[#This Row],[Emols.]],Meta!$AK$3:$AN$256,2,FALSE),""),"#.##0,00"),"")</f>
        <v/>
      </c>
      <c r="BS17" s="484"/>
      <c r="BT17" s="47"/>
      <c r="BU17" s="325"/>
      <c r="BV17" s="326"/>
      <c r="BW17" s="91"/>
      <c r="BX17" s="86"/>
      <c r="BY17" s="92" t="str">
        <f>IFERROR(VLOOKUP(DD_Jan1[[#This Row],[Emols.]],Meta!$AK$3:$AN$256,3,FALSE),"")</f>
        <v/>
      </c>
      <c r="BZ17" s="325"/>
      <c r="CA17" s="324"/>
      <c r="CB17" s="494" t="str">
        <f>IF(DD_Jan1[[#This Row],[Total Nota]]="",TEXT(IFERROR(VLOOKUP(DD_Jan1[[#This Row],[Emols.]],Meta!$AK$3:$AN$256,2,FALSE)+DD_Jan1[[#This Row],[ITBI/ITCMD]],""),"#.##0,00"),"")</f>
        <v/>
      </c>
      <c r="CC17" s="482">
        <f>DD_Jan1[[#This Row],[Emols.]]-DD_Jan1[[#This Row],[Comissão]]</f>
        <v>0</v>
      </c>
      <c r="CD17" s="83">
        <f>VLOOKUP($CA$29,Meta!$Q$3:$R$16,2,FALSE)*BZ17</f>
        <v>0</v>
      </c>
      <c r="CE17" s="83">
        <f>DD_Jan1[[#This Row],[Total Nota]]-DD_Jan1[[#This Row],[Comissão]]</f>
        <v>0</v>
      </c>
      <c r="CF17" s="139"/>
      <c r="CG17" s="324"/>
      <c r="CH17" s="494" t="str">
        <f>IF(AND(DD_Jan1[[#This Row],[Total Nota]]&lt;&gt;"",DD_Jan1[[#This Row],[ITBI/ITCMD]]="",DD_Jan1[[#This Row],[Total Nota]]-IFERROR(VLOOKUP(DD_Jan1[[#This Row],[Emols.]],Meta!$AK$3:$AN$256,2,FALSE),0)&lt;&gt;0),TEXT(IFERROR(DD_Jan1[[#This Row],[Total Nota]]-VLOOKUP(DD_Jan1[[#This Row],[Emols.]],Meta!$AK$3:$AN$256,2,FALSE),""),"#.##0,00"),"")</f>
        <v/>
      </c>
      <c r="CI17" s="484"/>
      <c r="CJ17" s="93"/>
      <c r="CK17" s="325"/>
      <c r="CL17" s="326"/>
      <c r="CM17" s="94"/>
      <c r="CN17" s="86"/>
      <c r="CO17" s="95" t="str">
        <f>IFERROR(VLOOKUP(EE_Jan1[[#This Row],[Emols.]],Meta!$AK$3:$AN$256,3,FALSE),"")</f>
        <v/>
      </c>
      <c r="CP17" s="325"/>
      <c r="CQ17" s="324"/>
      <c r="CR17" s="494" t="str">
        <f>IF(EE_Jan1[[#This Row],[Total Nota]]="",TEXT(IFERROR(VLOOKUP(EE_Jan1[[#This Row],[Emols.]],Meta!$AK$3:$AN$256,2,FALSE)+EE_Jan1[[#This Row],[ITBI/ITCMD]],""),"#.##0,00"),"")</f>
        <v/>
      </c>
      <c r="CS17" s="482">
        <f>EE_Jan1[[#This Row],[Emols.]]-EE_Jan1[[#This Row],[Comissão]]</f>
        <v>0</v>
      </c>
      <c r="CT17" s="83">
        <f>VLOOKUP($CQ$29,Meta!$Q$3:$R$16,2,FALSE)*CP17</f>
        <v>0</v>
      </c>
      <c r="CU17" s="83">
        <f>EE_Jan1[[#This Row],[Total Nota]]-EE_Jan1[[#This Row],[Comissão]]</f>
        <v>0</v>
      </c>
      <c r="CV17" s="140"/>
      <c r="CW17" s="324"/>
      <c r="CX17" s="494" t="str">
        <f>IF(AND(EE_Jan1[[#This Row],[Total Nota]]&lt;&gt;"",EE_Jan1[[#This Row],[ITBI/ITCMD]]="",EE_Jan1[[#This Row],[Total Nota]]-IFERROR(VLOOKUP(EE_Jan1[[#This Row],[Emols.]],Meta!$AK$3:$AN$256,2,FALSE),0)&lt;&gt;0),TEXT(IFERROR(EE_Jan1[[#This Row],[Total Nota]]-VLOOKUP(EE_Jan1[[#This Row],[Emols.]],Meta!$AK$3:$AN$256,2,FALSE),""),"#.##0,00"),"")</f>
        <v/>
      </c>
      <c r="CY17" s="484"/>
      <c r="CZ17" s="96"/>
      <c r="DA17" s="325"/>
      <c r="DB17" s="326"/>
      <c r="DC17" s="97"/>
      <c r="DD17" s="86"/>
      <c r="DE17" s="87" t="str">
        <f>IFERROR(VLOOKUP(FF_Jan1[[#This Row],[Emols.]],Meta!$AK$3:$AN$256,3,FALSE),"")</f>
        <v/>
      </c>
      <c r="DF17" s="325"/>
      <c r="DG17" s="324"/>
      <c r="DH17" s="494" t="str">
        <f>IF(FF_Jan1[[#This Row],[Total Nota]]="",TEXT(IFERROR(VLOOKUP(FF_Jan1[[#This Row],[Emols.]],Meta!$AK$3:$AN$256,2,FALSE)+FF_Jan1[[#This Row],[ITBI/ITCMD]],""),"#.##0,00"),"")</f>
        <v/>
      </c>
      <c r="DI17" s="482">
        <f>FF_Jan1[[#This Row],[Emols.]]-FF_Jan1[[#This Row],[Comissão]]</f>
        <v>0</v>
      </c>
      <c r="DJ17" s="83">
        <f>VLOOKUP($DG$29,Meta!$Q$3:$R$16,2,FALSE)*DF17</f>
        <v>0</v>
      </c>
      <c r="DK17" s="83">
        <f>FF_Jan1[[#This Row],[Total Nota]]-FF_Jan1[[#This Row],[Comissão]]</f>
        <v>0</v>
      </c>
      <c r="DL17" s="43"/>
      <c r="DM17" s="324"/>
      <c r="DN17" s="494" t="str">
        <f>IF(AND(FF_Jan1[[#This Row],[Total Nota]]&lt;&gt;"",FF_Jan1[[#This Row],[ITBI/ITCMD]]="",FF_Jan1[[#This Row],[Total Nota]]-IFERROR(VLOOKUP(FF_Jan1[[#This Row],[Emols.]],Meta!$AK$3:$AN$256,2,FALSE),0)&lt;&gt;0),TEXT(IFERROR(FF_Jan1[[#This Row],[Total Nota]]-VLOOKUP(FF_Jan1[[#This Row],[Emols.]],Meta!$AK$3:$AN$256,2,FALSE),""),"#.##0,00"),"")</f>
        <v/>
      </c>
      <c r="DO17" s="484"/>
      <c r="DP17" s="41"/>
      <c r="DQ17" s="325"/>
      <c r="DR17" s="326"/>
      <c r="DS17" s="98"/>
      <c r="DT17" s="73"/>
      <c r="DU17" s="99" t="str">
        <f>IFERROR(VLOOKUP(GG_Jan1[[#This Row],[Emols.]],Meta!$AK$3:$AN$256,3,FALSE),"")</f>
        <v/>
      </c>
      <c r="DV17" s="330"/>
      <c r="DW17" s="332"/>
      <c r="DX17" s="494" t="str">
        <f>IF(GG_Jan1[[#This Row],[Total Nota]]="",TEXT(IFERROR(VLOOKUP(GG_Jan1[[#This Row],[Emols.]],Meta!$AK$3:$AN$256,2,FALSE)+GG_Jan1[[#This Row],[ITBI/ITCMD]],""),"#.##0,00"),"")</f>
        <v/>
      </c>
      <c r="DY17" s="485">
        <f>GG_Jan1[[#This Row],[Emols.]]-GG_Jan1[[#This Row],[Comissão]]</f>
        <v>0</v>
      </c>
      <c r="DZ17" s="101">
        <f>VLOOKUP($DW$29,Meta!$Q$3:$R$16,2,FALSE)*DV17</f>
        <v>0</v>
      </c>
      <c r="EA17" s="101">
        <f>GG_Jan1[[#This Row],[Total Nota]]-GG_Jan1[[#This Row],[Comissão]]</f>
        <v>0</v>
      </c>
      <c r="EB17" s="132"/>
      <c r="EC17" s="332"/>
      <c r="ED17" s="494" t="str">
        <f>IF(AND(GG_Jan1[[#This Row],[Total Nota]]&lt;&gt;"",GG_Jan1[[#This Row],[ITBI/ITCMD]]="",GG_Jan1[[#This Row],[Total Nota]]-IFERROR(VLOOKUP(GG_Jan1[[#This Row],[Emols.]],Meta!$AK$3:$AN$256,2,FALSE),0)&lt;&gt;0),TEXT(IFERROR(GG_Jan1[[#This Row],[Total Nota]]-VLOOKUP(GG_Jan1[[#This Row],[Emols.]],Meta!$AK$3:$AN$256,2,FALSE),""),"#.##0,00"),"")</f>
        <v/>
      </c>
      <c r="EE17" s="487"/>
      <c r="EF17" s="102"/>
      <c r="EG17" s="330"/>
      <c r="EH17" s="326"/>
      <c r="EI17" s="104"/>
      <c r="EJ17" s="73"/>
      <c r="EK17" s="99" t="str">
        <f>IFERROR(VLOOKUP(HH_Jan1[[#This Row],[Emols.]],Meta!$AK$3:$AN$256,3,FALSE),"")</f>
        <v/>
      </c>
      <c r="EL17" s="330"/>
      <c r="EM17" s="332"/>
      <c r="EN17" s="494" t="str">
        <f>IF(HH_Jan1[[#This Row],[Total Nota]]="",TEXT(IFERROR(VLOOKUP(HH_Jan1[[#This Row],[Emols.]],Meta!$AK$3:$AN$256,2,FALSE)+HH_Jan1[[#This Row],[ITBI/ITCMD]],""),"#.##0,00"),"")</f>
        <v/>
      </c>
      <c r="EO17" s="485">
        <f>HH_Jan1[[#This Row],[Emols.]]-HH_Jan1[[#This Row],[Comissão]]</f>
        <v>0</v>
      </c>
      <c r="EP17" s="101">
        <f>VLOOKUP($EM$29,Meta!$Q$3:$R$16,2,FALSE)*EL17</f>
        <v>0</v>
      </c>
      <c r="EQ17" s="101">
        <f>HH_Jan1[[#This Row],[Total Nota]]-HH_Jan1[[#This Row],[Comissão]]</f>
        <v>0</v>
      </c>
      <c r="ER17" s="132"/>
      <c r="ES17" s="332"/>
      <c r="ET17" s="494" t="str">
        <f>IF(AND(HH_Jan1[[#This Row],[Total Nota]]&lt;&gt;"",HH_Jan1[[#This Row],[ITBI/ITCMD]]="",HH_Jan1[[#This Row],[Total Nota]]-IFERROR(VLOOKUP(HH_Jan1[[#This Row],[Emols.]],Meta!$AK$3:$AN$256,2,FALSE),0)&lt;&gt;0),TEXT(IFERROR(HH_Jan1[[#This Row],[Total Nota]]-VLOOKUP(HH_Jan1[[#This Row],[Emols.]],Meta!$AK$3:$AN$256,2,FALSE),""),"#.##0,00"),"")</f>
        <v/>
      </c>
      <c r="EU17" s="487"/>
      <c r="EV17" s="102"/>
      <c r="EW17" s="330"/>
      <c r="EX17" s="326"/>
      <c r="EY17" s="104"/>
      <c r="EZ17" s="73"/>
      <c r="FA17" s="99" t="str">
        <f>IFERROR(VLOOKUP(II_Jan1[[#This Row],[Emols.]],Meta!$AK$3:$AN$256,3,FALSE),"")</f>
        <v/>
      </c>
      <c r="FB17" s="330"/>
      <c r="FC17" s="332"/>
      <c r="FD17" s="494" t="str">
        <f>IF(II_Jan1[[#This Row],[Total Nota]]="",TEXT(IFERROR(VLOOKUP(II_Jan1[[#This Row],[Emols.]],Meta!$AK$3:$AN$256,2,FALSE)+II_Jan1[[#This Row],[ITBI/ITCMD]],""),"#.##0,00"),"")</f>
        <v/>
      </c>
      <c r="FE17" s="485">
        <f>II_Jan1[[#This Row],[Emols.]]-II_Jan1[[#This Row],[Comissão]]</f>
        <v>0</v>
      </c>
      <c r="FF17" s="101">
        <f>VLOOKUP($FC$29,Meta!$Q$3:$R$16,2,FALSE)*FB17</f>
        <v>0</v>
      </c>
      <c r="FG17" s="101">
        <f>II_Jan1[[#This Row],[Total Nota]]-II_Jan1[[#This Row],[Comissão]]</f>
        <v>0</v>
      </c>
      <c r="FH17" s="132"/>
      <c r="FI17" s="332"/>
      <c r="FJ17" s="494" t="str">
        <f>IF(AND(II_Jan1[[#This Row],[Total Nota]]&lt;&gt;"",II_Jan1[[#This Row],[ITBI/ITCMD]]="",II_Jan1[[#This Row],[Total Nota]]-IFERROR(VLOOKUP(II_Jan1[[#This Row],[Emols.]],Meta!$AK$3:$AN$256,2,FALSE),0)&lt;&gt;0),TEXT(IFERROR(II_Jan1[[#This Row],[Total Nota]]-VLOOKUP(II_Jan1[[#This Row],[Emols.]],Meta!$AK$3:$AN$256,2,FALSE),""),"#.##0,00"),"")</f>
        <v/>
      </c>
      <c r="FK17" s="487"/>
      <c r="FL17" s="102"/>
      <c r="FM17" s="330"/>
      <c r="FN17" s="326"/>
      <c r="FO17" s="104"/>
      <c r="FP17" s="73"/>
      <c r="FQ17" s="99" t="str">
        <f>IFERROR(VLOOKUP(JJ_Jan1[[#This Row],[Emols.]],Meta!$AK$3:$AN$256,3,FALSE),"")</f>
        <v/>
      </c>
      <c r="FR17" s="330"/>
      <c r="FS17" s="332"/>
      <c r="FT17" s="494" t="str">
        <f>IF(JJ_Jan1[[#This Row],[Total Nota]]="",TEXT(IFERROR(VLOOKUP(JJ_Jan1[[#This Row],[Emols.]],Meta!$AK$3:$AN$256,2,FALSE)+JJ_Jan1[[#This Row],[ITBI/ITCMD]],""),"#.##0,00"),"")</f>
        <v/>
      </c>
      <c r="FU17" s="485">
        <f>JJ_Jan1[[#This Row],[Emols.]]-JJ_Jan1[[#This Row],[Comissão]]</f>
        <v>0</v>
      </c>
      <c r="FV17" s="101">
        <f>VLOOKUP($FS$29,Meta!$Q$3:$R$16,2,FALSE)*FR17</f>
        <v>0</v>
      </c>
      <c r="FW17" s="101">
        <f>JJ_Jan1[[#This Row],[Total Nota]]-JJ_Jan1[[#This Row],[Comissão]]</f>
        <v>0</v>
      </c>
      <c r="FX17" s="132"/>
      <c r="FY17" s="332"/>
      <c r="FZ17" s="494" t="str">
        <f>IF(AND(JJ_Jan1[[#This Row],[Total Nota]]&lt;&gt;"",JJ_Jan1[[#This Row],[ITBI/ITCMD]]="",JJ_Jan1[[#This Row],[Total Nota]]-IFERROR(VLOOKUP(JJ_Jan1[[#This Row],[Emols.]],Meta!$AK$3:$AN$256,2,FALSE),0)&lt;&gt;0),TEXT(IFERROR(JJ_Jan1[[#This Row],[Total Nota]]-VLOOKUP(JJ_Jan1[[#This Row],[Emols.]],Meta!$AK$3:$AN$256,2,FALSE),""),"#.##0,00"),"")</f>
        <v/>
      </c>
      <c r="GA17" s="487"/>
      <c r="GB17" s="102"/>
      <c r="GC17" s="330"/>
      <c r="GD17" s="326"/>
      <c r="GE17" s="104"/>
      <c r="GF17" s="73"/>
      <c r="GG17" s="99" t="str">
        <f>IFERROR(VLOOKUP(KK_Jan1[[#This Row],[Emols.]],Meta!$AK$3:$AN$256,3,FALSE),"")</f>
        <v/>
      </c>
      <c r="GH17" s="330"/>
      <c r="GI17" s="332"/>
      <c r="GJ17" s="494" t="str">
        <f>IF(KK_Jan1[[#This Row],[Total Nota]]="",TEXT(IFERROR(VLOOKUP(KK_Jan1[[#This Row],[Emols.]],Meta!$AK$3:$AN$256,2,FALSE)+KK_Jan1[[#This Row],[ITBI/ITCMD]],""),"#.##0,00"),"")</f>
        <v/>
      </c>
      <c r="GK17" s="485">
        <f>KK_Jan1[[#This Row],[Emols.]]-KK_Jan1[[#This Row],[Comissão]]</f>
        <v>0</v>
      </c>
      <c r="GL17" s="101">
        <f>VLOOKUP($GI$29,Meta!$Q$3:$R$16,2,FALSE)*GH17</f>
        <v>0</v>
      </c>
      <c r="GM17" s="101">
        <f>KK_Jan1[[#This Row],[Total Nota]]-KK_Jan1[[#This Row],[Comissão]]</f>
        <v>0</v>
      </c>
      <c r="GN17" s="132"/>
      <c r="GO17" s="332"/>
      <c r="GP17" s="494" t="str">
        <f>IF(AND(KK_Jan1[[#This Row],[Total Nota]]&lt;&gt;"",KK_Jan1[[#This Row],[ITBI/ITCMD]]="",KK_Jan1[[#This Row],[Total Nota]]-IFERROR(VLOOKUP(KK_Jan1[[#This Row],[Emols.]],Meta!$AK$3:$AN$256,2,FALSE),0)&lt;&gt;0),TEXT(IFERROR(KK_Jan1[[#This Row],[Total Nota]]-VLOOKUP(KK_Jan1[[#This Row],[Emols.]],Meta!$AK$3:$AN$256,2,FALSE),""),"#.##0,00"),"")</f>
        <v/>
      </c>
      <c r="GQ17" s="487"/>
      <c r="GR17" s="102"/>
      <c r="GS17" s="330"/>
      <c r="GT17" s="326"/>
      <c r="GU17" s="104"/>
      <c r="GV17" s="73"/>
      <c r="GW17" s="99" t="str">
        <f>IFERROR(VLOOKUP(LL_Jan1[[#This Row],[Emols.]],Meta!$AK$3:$AN$256,3,FALSE),"")</f>
        <v/>
      </c>
      <c r="GX17" s="330"/>
      <c r="GY17" s="332"/>
      <c r="GZ17" s="494" t="str">
        <f>IF(LL_Jan1[[#This Row],[Total Nota]]="",TEXT(IFERROR(VLOOKUP(LL_Jan1[[#This Row],[Emols.]],Meta!$AK$3:$AN$256,2,FALSE)+LL_Jan1[[#This Row],[ITBI/ITCMD]],""),"#.##0,00"),"")</f>
        <v/>
      </c>
      <c r="HA17" s="485">
        <f>LL_Jan1[[#This Row],[Emols.]]-LL_Jan1[[#This Row],[Comissão]]</f>
        <v>0</v>
      </c>
      <c r="HB17" s="101">
        <f>VLOOKUP($GY$29,Meta!$Q$3:$R$16,2,FALSE)*GX17</f>
        <v>0</v>
      </c>
      <c r="HC17" s="101">
        <f>LL_Jan1[[#This Row],[Total Nota]]-LL_Jan1[[#This Row],[Comissão]]</f>
        <v>0</v>
      </c>
      <c r="HD17" s="132"/>
      <c r="HE17" s="332"/>
      <c r="HF17" s="494" t="str">
        <f>IF(AND(LL_Jan1[[#This Row],[Total Nota]]&lt;&gt;"",LL_Jan1[[#This Row],[ITBI/ITCMD]]="",LL_Jan1[[#This Row],[Total Nota]]-IFERROR(VLOOKUP(LL_Jan1[[#This Row],[Emols.]],Meta!$AK$3:$AN$256,2,FALSE),0)&lt;&gt;0),TEXT(IFERROR(LL_Jan1[[#This Row],[Total Nota]]-VLOOKUP(LL_Jan1[[#This Row],[Emols.]],Meta!$AK$3:$AN$256,2,FALSE),""),"#.##0,00"),"")</f>
        <v/>
      </c>
      <c r="HG17" s="487"/>
      <c r="HH17" s="102"/>
      <c r="HI17" s="330"/>
      <c r="HJ17" s="326"/>
      <c r="HK17" s="104"/>
      <c r="HL17" s="105"/>
    </row>
    <row r="18" spans="1:220" ht="14.45" customHeight="1" x14ac:dyDescent="0.25">
      <c r="A18" s="581"/>
      <c r="B18" s="539" t="str">
        <f>IF(AW29=Meta!$D$3,Meta!$Q$4,"")</f>
        <v>Beto</v>
      </c>
      <c r="C18" s="539"/>
      <c r="D18" s="539"/>
      <c r="E18" s="539"/>
      <c r="F18" s="539"/>
      <c r="G18" s="539"/>
      <c r="H18" s="539"/>
      <c r="I18" s="546"/>
      <c r="J18" s="549">
        <f>IF(AW29=Meta!$D$3,Y18-Z18,"")</f>
        <v>0</v>
      </c>
      <c r="K18" s="176" t="str">
        <f t="shared" ref="K18:K29" si="3">IF(L18="","","+")</f>
        <v/>
      </c>
      <c r="L18" s="500" t="str">
        <f t="shared" ref="L18:L29" si="4">IF(Z18=0,"",Z18)</f>
        <v/>
      </c>
      <c r="M18" s="524" t="str">
        <f t="shared" ref="M18:M29" si="5">IF(L18="","","ausentes")</f>
        <v/>
      </c>
      <c r="N18" s="508"/>
      <c r="O18" s="535"/>
      <c r="P18" s="177" t="str">
        <f>IF(AW29=Meta!$D$3,Meta!$Q$4,"")</f>
        <v>Beto</v>
      </c>
      <c r="Q18" s="178">
        <f>IF(AW29=Meta!$D$3,-($S18-$R18),"")</f>
        <v>0</v>
      </c>
      <c r="R18" s="179">
        <f>IF(AW29=Meta!$D$3,ROUND($Q3*VLOOKUP($Q15,Meta!$E$3:$F$4,2,FALSE)+R3*VLOOKUP($R15,Meta!$E$3:$F$4,2,FALSE)+S3*VLOOKUP($S15,Meta!$E$3:$F$4,2,FALSE)+T3*VLOOKUP($T15,Meta!$E$3:$F$4,2,FALSE)+U3*VLOOKUP($U15,Meta!$E$3:$F$4,2,FALSE)+V3*VLOOKUP($V15,Meta!$E$3:$F$4,2,FALSE)+W3*VLOOKUP($W15,Meta!$E$3:$F$4,2,FALSE)+X3*VLOOKUP($X15,Meta!$E$3:$F$4,2,FALSE)+Y3*VLOOKUP($Y15,Meta!$E$3:$F$4,2,FALSE),2),"")</f>
        <v>0</v>
      </c>
      <c r="S18" s="180">
        <f>IF(AW29=Meta!$D$3,BB_Jan1[[#Totals],[A Receber]]*VLOOKUP(AW29,Meta!$D$3:$F$4,3,FALSE),"")</f>
        <v>0</v>
      </c>
      <c r="T18" s="179">
        <f>IF(AW29=Meta!$D$3,$Z3-$R18,"")</f>
        <v>0</v>
      </c>
      <c r="U18" s="181">
        <f>IF(AW29=Meta!$D$3,IF(Q18&lt;0,Q18+T18,-1*(BE29+Q18)),"")</f>
        <v>0</v>
      </c>
      <c r="V18" s="182">
        <f>IF(AW29=Meta!$D$3,SUMIF(BB_Jan1[[ ]],"",BB_Jan1[ITBI/ITCMD]),"")</f>
        <v>0</v>
      </c>
      <c r="W18" s="179">
        <f>IF(AW29=Meta!$D$3,SUMIF(BB_Jan1[[ ]],Meta!$AA$4,BB_Jan1[ITBI/ITCMD]),"")</f>
        <v>0</v>
      </c>
      <c r="X18" s="179">
        <f>IF(AW29=Meta!$D$3,SUMIF(BB_Jan1[[ ]],Meta!$AA$3,BB_Jan1[ITBI/ITCMD]),"")</f>
        <v>0</v>
      </c>
      <c r="Y18" s="180">
        <f>IF(AW29=Meta!$D$3,SUM($V18:$X18),"")</f>
        <v>0</v>
      </c>
      <c r="Z18" s="183">
        <f>IF(AW29=Meta!$D$3,$Y18-$V18*VLOOKUP($V30,Meta!$E$2:$F$4,2,FALSE)-$W18*VLOOKUP($W30,Meta!$E$2:$F$4,2,FALSE)-$X18*VLOOKUP($X30,Meta!$E$2:$F$4,2,FALSE),"")</f>
        <v>0</v>
      </c>
      <c r="AA18" s="175"/>
      <c r="AB18" s="73"/>
      <c r="AC18" s="81" t="str">
        <f>IFERROR(VLOOKUP(AA_Jan1[[#This Row],[Emols.]],Meta!$AK$3:$AN$256,3,FALSE),"")</f>
        <v/>
      </c>
      <c r="AD18" s="325"/>
      <c r="AE18" s="489"/>
      <c r="AF18" s="494" t="str">
        <f>IF(AA_Jan1[[#This Row],[Total Nota]]="",TEXT(IFERROR(VLOOKUP(AA_Jan1[[#This Row],[Emols.]],Meta!$AK$3:$AN$256,2,FALSE)+AA_Jan1[[#This Row],[ITBI/ITCMD]],""),"#.##0,00"),"")</f>
        <v/>
      </c>
      <c r="AG18" s="482">
        <f>AA_Jan1[[#This Row],[Emols.]]-AA_Jan1[[#This Row],[Comissão]]</f>
        <v>0</v>
      </c>
      <c r="AH18" s="83">
        <f>VLOOKUP($AE$29,Meta!$Q$3:$R$16,2,FALSE)*AD18</f>
        <v>0</v>
      </c>
      <c r="AI18" s="83">
        <f>AA_Jan1[[#This Row],[Total Nota]]-AA_Jan1[[#This Row],[Comissão]]</f>
        <v>0</v>
      </c>
      <c r="AJ18" s="42"/>
      <c r="AK18" s="489"/>
      <c r="AL18" s="494" t="str">
        <f>IF(AND(AA_Jan1[[#This Row],[Total Nota]]&lt;&gt;"",AA_Jan1[[#This Row],[ITBI/ITCMD]]="",AA_Jan1[[#This Row],[Total Nota]]-IFERROR(VLOOKUP(AA_Jan1[[#This Row],[Emols.]],Meta!$AK$3:$AN$256,2,FALSE),0)&lt;&gt;0),TEXT(IFERROR(AA_Jan1[[#This Row],[Total Nota]]-VLOOKUP(AA_Jan1[[#This Row],[Emols.]],Meta!$AK$3:$AN$256,2,FALSE),""),"#.##0,00"),"")</f>
        <v/>
      </c>
      <c r="AM18" s="484"/>
      <c r="AN18" s="40"/>
      <c r="AO18" s="325"/>
      <c r="AP18" s="326"/>
      <c r="AQ18" s="85"/>
      <c r="AR18" s="86"/>
      <c r="AS18" s="87" t="str">
        <f>IFERROR(VLOOKUP(BB_Jan1[[#This Row],[Emols.]],Meta!$AK$3:$AN$256,3,FALSE),"")</f>
        <v/>
      </c>
      <c r="AT18" s="325"/>
      <c r="AU18" s="489"/>
      <c r="AV18" s="494" t="str">
        <f>IF(BB_Jan1[[#This Row],[Total Nota]]="",TEXT(IFERROR(VLOOKUP(BB_Jan1[[#This Row],[Emols.]],Meta!$AK$3:$AN$256,2,FALSE)+BB_Jan1[[#This Row],[ITBI/ITCMD]],""),"#.##0,00"),"")</f>
        <v/>
      </c>
      <c r="AW18" s="482">
        <f>BB_Jan1[[#This Row],[Emols.]]-BB_Jan1[[#This Row],[Comissão]]</f>
        <v>0</v>
      </c>
      <c r="AX18" s="83">
        <f>VLOOKUP($AU$29,Meta!$Q$3:$R$16,2,FALSE)*AT18</f>
        <v>0</v>
      </c>
      <c r="AY18" s="83">
        <f>BB_Jan1[[#This Row],[Total Nota]]-BB_Jan1[[#This Row],[Comissão]]</f>
        <v>0</v>
      </c>
      <c r="AZ18" s="43"/>
      <c r="BA18" s="324"/>
      <c r="BB18" s="493" t="str">
        <f>IF(AND(BB_Jan1[[#This Row],[Total Nota]]&lt;&gt;"",BB_Jan1[[#This Row],[ITBI/ITCMD]]="",BB_Jan1[[#This Row],[Total Nota]]-IFERROR(VLOOKUP(BB_Jan1[[#This Row],[Emols.]],Meta!$AK$3:$AN$256,2,FALSE),0)&lt;&gt;0),TEXT(IFERROR(BB_Jan1[[#This Row],[Total Nota]]-VLOOKUP(BB_Jan1[[#This Row],[Emols.]],Meta!$AK$3:$AN$256,2,FALSE),""),"#.##0,00"),"")</f>
        <v/>
      </c>
      <c r="BC18" s="484"/>
      <c r="BD18" s="41"/>
      <c r="BE18" s="325"/>
      <c r="BF18" s="326"/>
      <c r="BG18" s="89"/>
      <c r="BH18" s="86"/>
      <c r="BI18" s="90" t="str">
        <f>IFERROR(VLOOKUP(CC_Jan1[[#This Row],[Emols.]],Meta!$AK$3:$AN$256,3,FALSE),"")</f>
        <v/>
      </c>
      <c r="BJ18" s="325"/>
      <c r="BK18" s="489"/>
      <c r="BL18" s="494" t="str">
        <f>IF(CC_Jan1[[#This Row],[Total Nota]]="",TEXT(IFERROR(VLOOKUP(CC_Jan1[[#This Row],[Emols.]],Meta!$AK$3:$AN$256,2,FALSE)+CC_Jan1[[#This Row],[ITBI/ITCMD]],""),"#.##0,00"),"")</f>
        <v/>
      </c>
      <c r="BM18" s="482">
        <f>CC_Jan1[[#This Row],[Emols.]]-CC_Jan1[[#This Row],[Comissão]]</f>
        <v>0</v>
      </c>
      <c r="BN18" s="83">
        <f>VLOOKUP($BK$29,Meta!$Q$3:$R$16,2,FALSE)*BJ18</f>
        <v>0</v>
      </c>
      <c r="BO18" s="83">
        <f>CC_Jan1[[#This Row],[Total Nota]]-CC_Jan1[[#This Row],[Comissão]]</f>
        <v>0</v>
      </c>
      <c r="BP18" s="44"/>
      <c r="BQ18" s="324"/>
      <c r="BR18" s="493" t="str">
        <f>IF(AND(CC_Jan1[[#This Row],[Total Nota]]&lt;&gt;"",CC_Jan1[[#This Row],[ITBI/ITCMD]]="",CC_Jan1[[#This Row],[Total Nota]]-IFERROR(VLOOKUP(CC_Jan1[[#This Row],[Emols.]],Meta!$AK$3:$AN$256,2,FALSE),0)&lt;&gt;0),TEXT(IFERROR(CC_Jan1[[#This Row],[Total Nota]]-VLOOKUP(CC_Jan1[[#This Row],[Emols.]],Meta!$AK$3:$AN$256,2,FALSE),""),"#.##0,00"),"")</f>
        <v/>
      </c>
      <c r="BS18" s="484"/>
      <c r="BT18" s="47"/>
      <c r="BU18" s="325"/>
      <c r="BV18" s="326"/>
      <c r="BW18" s="91"/>
      <c r="BX18" s="86"/>
      <c r="BY18" s="92" t="str">
        <f>IFERROR(VLOOKUP(DD_Jan1[[#This Row],[Emols.]],Meta!$AK$3:$AN$256,3,FALSE),"")</f>
        <v/>
      </c>
      <c r="BZ18" s="325"/>
      <c r="CA18" s="324"/>
      <c r="CB18" s="493" t="str">
        <f>IF(DD_Jan1[[#This Row],[Total Nota]]="",TEXT(IFERROR(VLOOKUP(DD_Jan1[[#This Row],[Emols.]],Meta!$AK$3:$AN$256,2,FALSE)+DD_Jan1[[#This Row],[ITBI/ITCMD]],""),"#.##0,00"),"")</f>
        <v/>
      </c>
      <c r="CC18" s="482">
        <f>DD_Jan1[[#This Row],[Emols.]]-DD_Jan1[[#This Row],[Comissão]]</f>
        <v>0</v>
      </c>
      <c r="CD18" s="83">
        <f>VLOOKUP($CA$29,Meta!$Q$3:$R$16,2,FALSE)*BZ18</f>
        <v>0</v>
      </c>
      <c r="CE18" s="83">
        <f>DD_Jan1[[#This Row],[Total Nota]]-DD_Jan1[[#This Row],[Comissão]]</f>
        <v>0</v>
      </c>
      <c r="CF18" s="139"/>
      <c r="CG18" s="324"/>
      <c r="CH18" s="493" t="str">
        <f>IF(AND(DD_Jan1[[#This Row],[Total Nota]]&lt;&gt;"",DD_Jan1[[#This Row],[ITBI/ITCMD]]="",DD_Jan1[[#This Row],[Total Nota]]-IFERROR(VLOOKUP(DD_Jan1[[#This Row],[Emols.]],Meta!$AK$3:$AN$256,2,FALSE),0)&lt;&gt;0),TEXT(IFERROR(DD_Jan1[[#This Row],[Total Nota]]-VLOOKUP(DD_Jan1[[#This Row],[Emols.]],Meta!$AK$3:$AN$256,2,FALSE),""),"#.##0,00"),"")</f>
        <v/>
      </c>
      <c r="CI18" s="484"/>
      <c r="CJ18" s="93"/>
      <c r="CK18" s="325"/>
      <c r="CL18" s="326"/>
      <c r="CM18" s="94"/>
      <c r="CN18" s="86"/>
      <c r="CO18" s="95" t="str">
        <f>IFERROR(VLOOKUP(EE_Jan1[[#This Row],[Emols.]],Meta!$AK$3:$AN$256,3,FALSE),"")</f>
        <v/>
      </c>
      <c r="CP18" s="325"/>
      <c r="CQ18" s="324"/>
      <c r="CR18" s="493" t="str">
        <f>IF(EE_Jan1[[#This Row],[Total Nota]]="",TEXT(IFERROR(VLOOKUP(EE_Jan1[[#This Row],[Emols.]],Meta!$AK$3:$AN$256,2,FALSE)+EE_Jan1[[#This Row],[ITBI/ITCMD]],""),"#.##0,00"),"")</f>
        <v/>
      </c>
      <c r="CS18" s="482">
        <f>EE_Jan1[[#This Row],[Emols.]]-EE_Jan1[[#This Row],[Comissão]]</f>
        <v>0</v>
      </c>
      <c r="CT18" s="83">
        <f>VLOOKUP($CQ$29,Meta!$Q$3:$R$16,2,FALSE)*CP18</f>
        <v>0</v>
      </c>
      <c r="CU18" s="83">
        <f>EE_Jan1[[#This Row],[Total Nota]]-EE_Jan1[[#This Row],[Comissão]]</f>
        <v>0</v>
      </c>
      <c r="CV18" s="140"/>
      <c r="CW18" s="324"/>
      <c r="CX18" s="493" t="str">
        <f>IF(AND(EE_Jan1[[#This Row],[Total Nota]]&lt;&gt;"",EE_Jan1[[#This Row],[ITBI/ITCMD]]="",EE_Jan1[[#This Row],[Total Nota]]-IFERROR(VLOOKUP(EE_Jan1[[#This Row],[Emols.]],Meta!$AK$3:$AN$256,2,FALSE),0)&lt;&gt;0),TEXT(IFERROR(EE_Jan1[[#This Row],[Total Nota]]-VLOOKUP(EE_Jan1[[#This Row],[Emols.]],Meta!$AK$3:$AN$256,2,FALSE),""),"#.##0,00"),"")</f>
        <v/>
      </c>
      <c r="CY18" s="484"/>
      <c r="CZ18" s="96"/>
      <c r="DA18" s="325"/>
      <c r="DB18" s="326"/>
      <c r="DC18" s="97"/>
      <c r="DD18" s="86"/>
      <c r="DE18" s="87" t="str">
        <f>IFERROR(VLOOKUP(FF_Jan1[[#This Row],[Emols.]],Meta!$AK$3:$AN$256,3,FALSE),"")</f>
        <v/>
      </c>
      <c r="DF18" s="325"/>
      <c r="DG18" s="324"/>
      <c r="DH18" s="493" t="str">
        <f>IF(FF_Jan1[[#This Row],[Total Nota]]="",TEXT(IFERROR(VLOOKUP(FF_Jan1[[#This Row],[Emols.]],Meta!$AK$3:$AN$256,2,FALSE)+FF_Jan1[[#This Row],[ITBI/ITCMD]],""),"#.##0,00"),"")</f>
        <v/>
      </c>
      <c r="DI18" s="482">
        <f>FF_Jan1[[#This Row],[Emols.]]-FF_Jan1[[#This Row],[Comissão]]</f>
        <v>0</v>
      </c>
      <c r="DJ18" s="83">
        <f>VLOOKUP($DG$29,Meta!$Q$3:$R$16,2,FALSE)*DF18</f>
        <v>0</v>
      </c>
      <c r="DK18" s="83">
        <f>FF_Jan1[[#This Row],[Total Nota]]-FF_Jan1[[#This Row],[Comissão]]</f>
        <v>0</v>
      </c>
      <c r="DL18" s="43"/>
      <c r="DM18" s="324"/>
      <c r="DN18" s="493" t="str">
        <f>IF(AND(FF_Jan1[[#This Row],[Total Nota]]&lt;&gt;"",FF_Jan1[[#This Row],[ITBI/ITCMD]]="",FF_Jan1[[#This Row],[Total Nota]]-IFERROR(VLOOKUP(FF_Jan1[[#This Row],[Emols.]],Meta!$AK$3:$AN$256,2,FALSE),0)&lt;&gt;0),TEXT(IFERROR(FF_Jan1[[#This Row],[Total Nota]]-VLOOKUP(FF_Jan1[[#This Row],[Emols.]],Meta!$AK$3:$AN$256,2,FALSE),""),"#.##0,00"),"")</f>
        <v/>
      </c>
      <c r="DO18" s="484"/>
      <c r="DP18" s="41"/>
      <c r="DQ18" s="325"/>
      <c r="DR18" s="326"/>
      <c r="DS18" s="98"/>
      <c r="DT18" s="73"/>
      <c r="DU18" s="99" t="str">
        <f>IFERROR(VLOOKUP(GG_Jan1[[#This Row],[Emols.]],Meta!$AK$3:$AN$256,3,FALSE),"")</f>
        <v/>
      </c>
      <c r="DV18" s="330"/>
      <c r="DW18" s="492"/>
      <c r="DX18" s="494" t="str">
        <f>IF(GG_Jan1[[#This Row],[Total Nota]]="",TEXT(IFERROR(VLOOKUP(GG_Jan1[[#This Row],[Emols.]],Meta!$AK$3:$AN$256,2,FALSE)+GG_Jan1[[#This Row],[ITBI/ITCMD]],""),"#.##0,00"),"")</f>
        <v/>
      </c>
      <c r="DY18" s="485">
        <f>GG_Jan1[[#This Row],[Emols.]]-GG_Jan1[[#This Row],[Comissão]]</f>
        <v>0</v>
      </c>
      <c r="DZ18" s="101">
        <f>VLOOKUP($DW$29,Meta!$Q$3:$R$16,2,FALSE)*DV18</f>
        <v>0</v>
      </c>
      <c r="EA18" s="101">
        <f>GG_Jan1[[#This Row],[Total Nota]]-GG_Jan1[[#This Row],[Comissão]]</f>
        <v>0</v>
      </c>
      <c r="EB18" s="132"/>
      <c r="EC18" s="492"/>
      <c r="ED18" s="494" t="str">
        <f>IF(AND(GG_Jan1[[#This Row],[Total Nota]]&lt;&gt;"",GG_Jan1[[#This Row],[ITBI/ITCMD]]="",GG_Jan1[[#This Row],[Total Nota]]-IFERROR(VLOOKUP(GG_Jan1[[#This Row],[Emols.]],Meta!$AK$3:$AN$256,2,FALSE),0)&lt;&gt;0),TEXT(IFERROR(GG_Jan1[[#This Row],[Total Nota]]-VLOOKUP(GG_Jan1[[#This Row],[Emols.]],Meta!$AK$3:$AN$256,2,FALSE),""),"#.##0,00"),"")</f>
        <v/>
      </c>
      <c r="EE18" s="487"/>
      <c r="EF18" s="102"/>
      <c r="EG18" s="330"/>
      <c r="EH18" s="326"/>
      <c r="EI18" s="104"/>
      <c r="EJ18" s="73"/>
      <c r="EK18" s="99" t="str">
        <f>IFERROR(VLOOKUP(HH_Jan1[[#This Row],[Emols.]],Meta!$AK$3:$AN$256,3,FALSE),"")</f>
        <v/>
      </c>
      <c r="EL18" s="330"/>
      <c r="EM18" s="332"/>
      <c r="EN18" s="493" t="str">
        <f>IF(HH_Jan1[[#This Row],[Total Nota]]="",TEXT(IFERROR(VLOOKUP(HH_Jan1[[#This Row],[Emols.]],Meta!$AK$3:$AN$256,2,FALSE)+HH_Jan1[[#This Row],[ITBI/ITCMD]],""),"#.##0,00"),"")</f>
        <v/>
      </c>
      <c r="EO18" s="485">
        <f>HH_Jan1[[#This Row],[Emols.]]-HH_Jan1[[#This Row],[Comissão]]</f>
        <v>0</v>
      </c>
      <c r="EP18" s="101">
        <f>VLOOKUP($EM$29,Meta!$Q$3:$R$16,2,FALSE)*EL18</f>
        <v>0</v>
      </c>
      <c r="EQ18" s="101">
        <f>HH_Jan1[[#This Row],[Total Nota]]-HH_Jan1[[#This Row],[Comissão]]</f>
        <v>0</v>
      </c>
      <c r="ER18" s="132"/>
      <c r="ES18" s="492"/>
      <c r="ET18" s="494" t="str">
        <f>IF(AND(HH_Jan1[[#This Row],[Total Nota]]&lt;&gt;"",HH_Jan1[[#This Row],[ITBI/ITCMD]]="",HH_Jan1[[#This Row],[Total Nota]]-IFERROR(VLOOKUP(HH_Jan1[[#This Row],[Emols.]],Meta!$AK$3:$AN$256,2,FALSE),0)&lt;&gt;0),TEXT(IFERROR(HH_Jan1[[#This Row],[Total Nota]]-VLOOKUP(HH_Jan1[[#This Row],[Emols.]],Meta!$AK$3:$AN$256,2,FALSE),""),"#.##0,00"),"")</f>
        <v/>
      </c>
      <c r="EU18" s="487"/>
      <c r="EV18" s="102"/>
      <c r="EW18" s="330"/>
      <c r="EX18" s="326"/>
      <c r="EY18" s="104"/>
      <c r="EZ18" s="73"/>
      <c r="FA18" s="99" t="str">
        <f>IFERROR(VLOOKUP(II_Jan1[[#This Row],[Emols.]],Meta!$AK$3:$AN$256,3,FALSE),"")</f>
        <v/>
      </c>
      <c r="FB18" s="330"/>
      <c r="FC18" s="332"/>
      <c r="FD18" s="493" t="str">
        <f>IF(II_Jan1[[#This Row],[Total Nota]]="",TEXT(IFERROR(VLOOKUP(II_Jan1[[#This Row],[Emols.]],Meta!$AK$3:$AN$256,2,FALSE)+II_Jan1[[#This Row],[ITBI/ITCMD]],""),"#.##0,00"),"")</f>
        <v/>
      </c>
      <c r="FE18" s="485">
        <f>II_Jan1[[#This Row],[Emols.]]-II_Jan1[[#This Row],[Comissão]]</f>
        <v>0</v>
      </c>
      <c r="FF18" s="101">
        <f>VLOOKUP($FC$29,Meta!$Q$3:$R$16,2,FALSE)*FB18</f>
        <v>0</v>
      </c>
      <c r="FG18" s="101">
        <f>II_Jan1[[#This Row],[Total Nota]]-II_Jan1[[#This Row],[Comissão]]</f>
        <v>0</v>
      </c>
      <c r="FH18" s="132"/>
      <c r="FI18" s="332"/>
      <c r="FJ18" s="493" t="str">
        <f>IF(AND(II_Jan1[[#This Row],[Total Nota]]&lt;&gt;"",II_Jan1[[#This Row],[ITBI/ITCMD]]="",II_Jan1[[#This Row],[Total Nota]]-IFERROR(VLOOKUP(II_Jan1[[#This Row],[Emols.]],Meta!$AK$3:$AN$256,2,FALSE),0)&lt;&gt;0),TEXT(IFERROR(II_Jan1[[#This Row],[Total Nota]]-VLOOKUP(II_Jan1[[#This Row],[Emols.]],Meta!$AK$3:$AN$256,2,FALSE),""),"#.##0,00"),"")</f>
        <v/>
      </c>
      <c r="FK18" s="487"/>
      <c r="FL18" s="102"/>
      <c r="FM18" s="330"/>
      <c r="FN18" s="326"/>
      <c r="FO18" s="104"/>
      <c r="FP18" s="73"/>
      <c r="FQ18" s="99" t="str">
        <f>IFERROR(VLOOKUP(JJ_Jan1[[#This Row],[Emols.]],Meta!$AK$3:$AN$256,3,FALSE),"")</f>
        <v/>
      </c>
      <c r="FR18" s="330"/>
      <c r="FS18" s="332"/>
      <c r="FT18" s="493" t="str">
        <f>IF(JJ_Jan1[[#This Row],[Total Nota]]="",TEXT(IFERROR(VLOOKUP(JJ_Jan1[[#This Row],[Emols.]],Meta!$AK$3:$AN$256,2,FALSE)+JJ_Jan1[[#This Row],[ITBI/ITCMD]],""),"#.##0,00"),"")</f>
        <v/>
      </c>
      <c r="FU18" s="485">
        <f>JJ_Jan1[[#This Row],[Emols.]]-JJ_Jan1[[#This Row],[Comissão]]</f>
        <v>0</v>
      </c>
      <c r="FV18" s="101">
        <f>VLOOKUP($FS$29,Meta!$Q$3:$R$16,2,FALSE)*FR18</f>
        <v>0</v>
      </c>
      <c r="FW18" s="101">
        <f>JJ_Jan1[[#This Row],[Total Nota]]-JJ_Jan1[[#This Row],[Comissão]]</f>
        <v>0</v>
      </c>
      <c r="FX18" s="132"/>
      <c r="FY18" s="492"/>
      <c r="FZ18" s="494" t="str">
        <f>IF(AND(JJ_Jan1[[#This Row],[Total Nota]]&lt;&gt;"",JJ_Jan1[[#This Row],[ITBI/ITCMD]]="",JJ_Jan1[[#This Row],[Total Nota]]-IFERROR(VLOOKUP(JJ_Jan1[[#This Row],[Emols.]],Meta!$AK$3:$AN$256,2,FALSE),0)&lt;&gt;0),TEXT(IFERROR(JJ_Jan1[[#This Row],[Total Nota]]-VLOOKUP(JJ_Jan1[[#This Row],[Emols.]],Meta!$AK$3:$AN$256,2,FALSE),""),"#.##0,00"),"")</f>
        <v/>
      </c>
      <c r="GA18" s="487"/>
      <c r="GB18" s="102"/>
      <c r="GC18" s="330"/>
      <c r="GD18" s="326"/>
      <c r="GE18" s="104"/>
      <c r="GF18" s="73"/>
      <c r="GG18" s="99" t="str">
        <f>IFERROR(VLOOKUP(KK_Jan1[[#This Row],[Emols.]],Meta!$AK$3:$AN$256,3,FALSE),"")</f>
        <v/>
      </c>
      <c r="GH18" s="330"/>
      <c r="GI18" s="332"/>
      <c r="GJ18" s="493" t="str">
        <f>IF(KK_Jan1[[#This Row],[Total Nota]]="",TEXT(IFERROR(VLOOKUP(KK_Jan1[[#This Row],[Emols.]],Meta!$AK$3:$AN$256,2,FALSE)+KK_Jan1[[#This Row],[ITBI/ITCMD]],""),"#.##0,00"),"")</f>
        <v/>
      </c>
      <c r="GK18" s="485">
        <f>KK_Jan1[[#This Row],[Emols.]]-KK_Jan1[[#This Row],[Comissão]]</f>
        <v>0</v>
      </c>
      <c r="GL18" s="101">
        <f>VLOOKUP($GI$29,Meta!$Q$3:$R$16,2,FALSE)*GH18</f>
        <v>0</v>
      </c>
      <c r="GM18" s="101">
        <f>KK_Jan1[[#This Row],[Total Nota]]-KK_Jan1[[#This Row],[Comissão]]</f>
        <v>0</v>
      </c>
      <c r="GN18" s="132"/>
      <c r="GO18" s="332"/>
      <c r="GP18" s="493" t="str">
        <f>IF(AND(KK_Jan1[[#This Row],[Total Nota]]&lt;&gt;"",KK_Jan1[[#This Row],[ITBI/ITCMD]]="",KK_Jan1[[#This Row],[Total Nota]]-IFERROR(VLOOKUP(KK_Jan1[[#This Row],[Emols.]],Meta!$AK$3:$AN$256,2,FALSE),0)&lt;&gt;0),TEXT(IFERROR(KK_Jan1[[#This Row],[Total Nota]]-VLOOKUP(KK_Jan1[[#This Row],[Emols.]],Meta!$AK$3:$AN$256,2,FALSE),""),"#.##0,00"),"")</f>
        <v/>
      </c>
      <c r="GQ18" s="487"/>
      <c r="GR18" s="102"/>
      <c r="GS18" s="330"/>
      <c r="GT18" s="326"/>
      <c r="GU18" s="104"/>
      <c r="GV18" s="73"/>
      <c r="GW18" s="99" t="str">
        <f>IFERROR(VLOOKUP(LL_Jan1[[#This Row],[Emols.]],Meta!$AK$3:$AN$256,3,FALSE),"")</f>
        <v/>
      </c>
      <c r="GX18" s="330"/>
      <c r="GY18" s="492"/>
      <c r="GZ18" s="494" t="str">
        <f>IF(LL_Jan1[[#This Row],[Total Nota]]="",TEXT(IFERROR(VLOOKUP(LL_Jan1[[#This Row],[Emols.]],Meta!$AK$3:$AN$256,2,FALSE)+LL_Jan1[[#This Row],[ITBI/ITCMD]],""),"#.##0,00"),"")</f>
        <v/>
      </c>
      <c r="HA18" s="485">
        <f>LL_Jan1[[#This Row],[Emols.]]-LL_Jan1[[#This Row],[Comissão]]</f>
        <v>0</v>
      </c>
      <c r="HB18" s="101">
        <f>VLOOKUP($GY$29,Meta!$Q$3:$R$16,2,FALSE)*GX18</f>
        <v>0</v>
      </c>
      <c r="HC18" s="101">
        <f>LL_Jan1[[#This Row],[Total Nota]]-LL_Jan1[[#This Row],[Comissão]]</f>
        <v>0</v>
      </c>
      <c r="HD18" s="132"/>
      <c r="HE18" s="332"/>
      <c r="HF18" s="493" t="str">
        <f>IF(AND(LL_Jan1[[#This Row],[Total Nota]]&lt;&gt;"",LL_Jan1[[#This Row],[ITBI/ITCMD]]="",LL_Jan1[[#This Row],[Total Nota]]-IFERROR(VLOOKUP(LL_Jan1[[#This Row],[Emols.]],Meta!$AK$3:$AN$256,2,FALSE),0)&lt;&gt;0),TEXT(IFERROR(LL_Jan1[[#This Row],[Total Nota]]-VLOOKUP(LL_Jan1[[#This Row],[Emols.]],Meta!$AK$3:$AN$256,2,FALSE),""),"#.##0,00"),"")</f>
        <v/>
      </c>
      <c r="HG18" s="487"/>
      <c r="HH18" s="102"/>
      <c r="HI18" s="330"/>
      <c r="HJ18" s="326"/>
      <c r="HK18" s="104"/>
      <c r="HL18" s="105"/>
    </row>
    <row r="19" spans="1:220" ht="14.45" customHeight="1" x14ac:dyDescent="0.25">
      <c r="A19" s="184"/>
      <c r="B19" s="558" t="str">
        <f>IF(BM29=Meta!$D$3,Meta!$Q$5,"")</f>
        <v>Carlos</v>
      </c>
      <c r="C19" s="558"/>
      <c r="D19" s="558"/>
      <c r="E19" s="558"/>
      <c r="F19" s="558"/>
      <c r="G19" s="558"/>
      <c r="H19" s="558"/>
      <c r="I19" s="556"/>
      <c r="J19" s="550">
        <f>IF(BM29=Meta!$D$3,Y19-Z19,"")</f>
        <v>0</v>
      </c>
      <c r="K19" s="501" t="str">
        <f t="shared" si="3"/>
        <v/>
      </c>
      <c r="L19" s="502" t="str">
        <f t="shared" si="4"/>
        <v/>
      </c>
      <c r="M19" s="525" t="str">
        <f t="shared" si="5"/>
        <v/>
      </c>
      <c r="N19" s="508"/>
      <c r="O19" s="535"/>
      <c r="P19" s="185" t="str">
        <f>IF(BM29=Meta!$D$3,Meta!$Q$5,"")</f>
        <v>Carlos</v>
      </c>
      <c r="Q19" s="186">
        <f>IF(BM29=Meta!$D$3,-($S19-$R19),"")</f>
        <v>0</v>
      </c>
      <c r="R19" s="187">
        <f>IF(BM29=Meta!$D$3,ROUND($Q4*VLOOKUP($Q15,Meta!$E$3:$F$4,2,FALSE)+R4*VLOOKUP($R15,Meta!$E$3:$F$4,2,FALSE)+S4*VLOOKUP($S15,Meta!$E$3:$F$4,2,FALSE)+T4*VLOOKUP($T15,Meta!$E$3:$F$4,2,FALSE)+U4*VLOOKUP($U15,Meta!$E$3:$F$4,2,FALSE)+V4*VLOOKUP($V15,Meta!$E$3:$F$4,2,FALSE)+W4*VLOOKUP($W15,Meta!$E$3:$F$4,2,FALSE)+X4*VLOOKUP($X15,Meta!$E$3:$F$4,2,FALSE)+Y4*VLOOKUP($Y15,Meta!$E$3:$F$4,2,FALSE),2),"")</f>
        <v>0</v>
      </c>
      <c r="S19" s="188">
        <f>IF(BM29=Meta!$D$3,CC_Jan1[[#Totals],[A Receber]]*VLOOKUP(BM29,Meta!$D$3:$F$4,3,FALSE),"")</f>
        <v>0</v>
      </c>
      <c r="T19" s="187">
        <f>IF(BM29=Meta!$D$3,$Z4-$R19,"")</f>
        <v>0</v>
      </c>
      <c r="U19" s="189">
        <f>IF(BM29=Meta!$D$3,IF(Q19&lt;0,Q19+T19,-1*(BU29+Q19)),"")</f>
        <v>0</v>
      </c>
      <c r="V19" s="190">
        <f>IF(BM29=Meta!$D$3,SUMIF(CC_Jan1[[ ]],"",CC_Jan1[ITBI/ITCMD]),"")</f>
        <v>0</v>
      </c>
      <c r="W19" s="187">
        <f>IF(BM29=Meta!$D$3,SUMIF(CC_Jan1[[ ]],Meta!$AA$4,CC_Jan1[ITBI/ITCMD]),"")</f>
        <v>0</v>
      </c>
      <c r="X19" s="187">
        <f>IF(BM29=Meta!$D$3,SUMIF(CC_Jan1[[ ]],Meta!$AA$3,CC_Jan1[ITBI/ITCMD]),"")</f>
        <v>0</v>
      </c>
      <c r="Y19" s="188">
        <f>IF(BM29=Meta!$D$3,SUM($V19:$X19),"")</f>
        <v>0</v>
      </c>
      <c r="Z19" s="191">
        <f>IF(BM29=Meta!$D$3,$Y19-$V19*VLOOKUP($V30,Meta!$E$2:$F$4,2,FALSE)-$W19*VLOOKUP($W30,Meta!$E$2:$F$4,2,FALSE)-$X19*VLOOKUP($X30,Meta!$E$2:$F$4,2,FALSE),"")</f>
        <v>0</v>
      </c>
      <c r="AA19" s="175"/>
      <c r="AB19" s="73"/>
      <c r="AC19" s="81" t="str">
        <f>IFERROR(VLOOKUP(AA_Jan1[[#This Row],[Emols.]],Meta!$AK$3:$AN$256,3,FALSE),"")</f>
        <v/>
      </c>
      <c r="AD19" s="325"/>
      <c r="AE19" s="324"/>
      <c r="AF19" s="494" t="str">
        <f>IF(AA_Jan1[[#This Row],[Total Nota]]="",TEXT(IFERROR(VLOOKUP(AA_Jan1[[#This Row],[Emols.]],Meta!$AK$3:$AN$256,2,FALSE)+AA_Jan1[[#This Row],[ITBI/ITCMD]],""),"#.##0,00"),"")</f>
        <v/>
      </c>
      <c r="AG19" s="482">
        <f>AA_Jan1[[#This Row],[Emols.]]-AA_Jan1[[#This Row],[Comissão]]</f>
        <v>0</v>
      </c>
      <c r="AH19" s="83">
        <f>VLOOKUP($AE$29,Meta!$Q$3:$R$16,2,FALSE)*AD19</f>
        <v>0</v>
      </c>
      <c r="AI19" s="83">
        <f>AA_Jan1[[#This Row],[Total Nota]]-AA_Jan1[[#This Row],[Comissão]]</f>
        <v>0</v>
      </c>
      <c r="AJ19" s="42"/>
      <c r="AK19" s="324"/>
      <c r="AL19" s="494" t="str">
        <f>IF(AND(AA_Jan1[[#This Row],[Total Nota]]&lt;&gt;"",AA_Jan1[[#This Row],[ITBI/ITCMD]]="",AA_Jan1[[#This Row],[Total Nota]]-IFERROR(VLOOKUP(AA_Jan1[[#This Row],[Emols.]],Meta!$AK$3:$AN$256,2,FALSE),0)&lt;&gt;0),TEXT(IFERROR(AA_Jan1[[#This Row],[Total Nota]]-VLOOKUP(AA_Jan1[[#This Row],[Emols.]],Meta!$AK$3:$AN$256,2,FALSE),""),"#.##0,00"),"")</f>
        <v/>
      </c>
      <c r="AM19" s="484"/>
      <c r="AN19" s="40"/>
      <c r="AO19" s="325"/>
      <c r="AP19" s="326"/>
      <c r="AQ19" s="85"/>
      <c r="AR19" s="86"/>
      <c r="AS19" s="87" t="str">
        <f>IFERROR(VLOOKUP(BB_Jan1[[#This Row],[Emols.]],Meta!$AK$3:$AN$256,3,FALSE),"")</f>
        <v/>
      </c>
      <c r="AT19" s="325"/>
      <c r="AU19" s="324"/>
      <c r="AV19" s="494" t="str">
        <f>IF(BB_Jan1[[#This Row],[Total Nota]]="",TEXT(IFERROR(VLOOKUP(BB_Jan1[[#This Row],[Emols.]],Meta!$AK$3:$AN$256,2,FALSE)+BB_Jan1[[#This Row],[ITBI/ITCMD]],""),"#.##0,00"),"")</f>
        <v/>
      </c>
      <c r="AW19" s="482">
        <f>BB_Jan1[[#This Row],[Emols.]]-BB_Jan1[[#This Row],[Comissão]]</f>
        <v>0</v>
      </c>
      <c r="AX19" s="83">
        <f>VLOOKUP($AU$29,Meta!$Q$3:$R$16,2,FALSE)*AT19</f>
        <v>0</v>
      </c>
      <c r="AY19" s="83">
        <f>BB_Jan1[[#This Row],[Total Nota]]-BB_Jan1[[#This Row],[Comissão]]</f>
        <v>0</v>
      </c>
      <c r="AZ19" s="43"/>
      <c r="BA19" s="324"/>
      <c r="BB19" s="494" t="str">
        <f>IF(AND(BB_Jan1[[#This Row],[Total Nota]]&lt;&gt;"",BB_Jan1[[#This Row],[ITBI/ITCMD]]="",BB_Jan1[[#This Row],[Total Nota]]-IFERROR(VLOOKUP(BB_Jan1[[#This Row],[Emols.]],Meta!$AK$3:$AN$256,2,FALSE),0)&lt;&gt;0),TEXT(IFERROR(BB_Jan1[[#This Row],[Total Nota]]-VLOOKUP(BB_Jan1[[#This Row],[Emols.]],Meta!$AK$3:$AN$256,2,FALSE),""),"#.##0,00"),"")</f>
        <v/>
      </c>
      <c r="BC19" s="484"/>
      <c r="BD19" s="41"/>
      <c r="BE19" s="325"/>
      <c r="BF19" s="326"/>
      <c r="BG19" s="89"/>
      <c r="BH19" s="86"/>
      <c r="BI19" s="90" t="str">
        <f>IFERROR(VLOOKUP(CC_Jan1[[#This Row],[Emols.]],Meta!$AK$3:$AN$256,3,FALSE),"")</f>
        <v/>
      </c>
      <c r="BJ19" s="325"/>
      <c r="BK19" s="324"/>
      <c r="BL19" s="494" t="str">
        <f>IF(CC_Jan1[[#This Row],[Total Nota]]="",TEXT(IFERROR(VLOOKUP(CC_Jan1[[#This Row],[Emols.]],Meta!$AK$3:$AN$256,2,FALSE)+CC_Jan1[[#This Row],[ITBI/ITCMD]],""),"#.##0,00"),"")</f>
        <v/>
      </c>
      <c r="BM19" s="482">
        <f>CC_Jan1[[#This Row],[Emols.]]-CC_Jan1[[#This Row],[Comissão]]</f>
        <v>0</v>
      </c>
      <c r="BN19" s="83">
        <f>VLOOKUP($BK$29,Meta!$Q$3:$R$16,2,FALSE)*BJ19</f>
        <v>0</v>
      </c>
      <c r="BO19" s="83">
        <f>CC_Jan1[[#This Row],[Total Nota]]-CC_Jan1[[#This Row],[Comissão]]</f>
        <v>0</v>
      </c>
      <c r="BP19" s="44"/>
      <c r="BQ19" s="324"/>
      <c r="BR19" s="494" t="str">
        <f>IF(AND(CC_Jan1[[#This Row],[Total Nota]]&lt;&gt;"",CC_Jan1[[#This Row],[ITBI/ITCMD]]="",CC_Jan1[[#This Row],[Total Nota]]-IFERROR(VLOOKUP(CC_Jan1[[#This Row],[Emols.]],Meta!$AK$3:$AN$256,2,FALSE),0)&lt;&gt;0),TEXT(IFERROR(CC_Jan1[[#This Row],[Total Nota]]-VLOOKUP(CC_Jan1[[#This Row],[Emols.]],Meta!$AK$3:$AN$256,2,FALSE),""),"#.##0,00"),"")</f>
        <v/>
      </c>
      <c r="BS19" s="484"/>
      <c r="BT19" s="47"/>
      <c r="BU19" s="325"/>
      <c r="BV19" s="326"/>
      <c r="BW19" s="91"/>
      <c r="BX19" s="86"/>
      <c r="BY19" s="92" t="str">
        <f>IFERROR(VLOOKUP(DD_Jan1[[#This Row],[Emols.]],Meta!$AK$3:$AN$256,3,FALSE),"")</f>
        <v/>
      </c>
      <c r="BZ19" s="325"/>
      <c r="CA19" s="324"/>
      <c r="CB19" s="494" t="str">
        <f>IF(DD_Jan1[[#This Row],[Total Nota]]="",TEXT(IFERROR(VLOOKUP(DD_Jan1[[#This Row],[Emols.]],Meta!$AK$3:$AN$256,2,FALSE)+DD_Jan1[[#This Row],[ITBI/ITCMD]],""),"#.##0,00"),"")</f>
        <v/>
      </c>
      <c r="CC19" s="482">
        <f>DD_Jan1[[#This Row],[Emols.]]-DD_Jan1[[#This Row],[Comissão]]</f>
        <v>0</v>
      </c>
      <c r="CD19" s="83">
        <f>VLOOKUP($CA$29,Meta!$Q$3:$R$16,2,FALSE)*BZ19</f>
        <v>0</v>
      </c>
      <c r="CE19" s="83">
        <f>DD_Jan1[[#This Row],[Total Nota]]-DD_Jan1[[#This Row],[Comissão]]</f>
        <v>0</v>
      </c>
      <c r="CF19" s="139"/>
      <c r="CG19" s="324"/>
      <c r="CH19" s="494" t="str">
        <f>IF(AND(DD_Jan1[[#This Row],[Total Nota]]&lt;&gt;"",DD_Jan1[[#This Row],[ITBI/ITCMD]]="",DD_Jan1[[#This Row],[Total Nota]]-IFERROR(VLOOKUP(DD_Jan1[[#This Row],[Emols.]],Meta!$AK$3:$AN$256,2,FALSE),0)&lt;&gt;0),TEXT(IFERROR(DD_Jan1[[#This Row],[Total Nota]]-VLOOKUP(DD_Jan1[[#This Row],[Emols.]],Meta!$AK$3:$AN$256,2,FALSE),""),"#.##0,00"),"")</f>
        <v/>
      </c>
      <c r="CI19" s="484"/>
      <c r="CJ19" s="93"/>
      <c r="CK19" s="325"/>
      <c r="CL19" s="326"/>
      <c r="CM19" s="94"/>
      <c r="CN19" s="86"/>
      <c r="CO19" s="95" t="str">
        <f>IFERROR(VLOOKUP(EE_Jan1[[#This Row],[Emols.]],Meta!$AK$3:$AN$256,3,FALSE),"")</f>
        <v/>
      </c>
      <c r="CP19" s="325"/>
      <c r="CQ19" s="324"/>
      <c r="CR19" s="494" t="str">
        <f>IF(EE_Jan1[[#This Row],[Total Nota]]="",TEXT(IFERROR(VLOOKUP(EE_Jan1[[#This Row],[Emols.]],Meta!$AK$3:$AN$256,2,FALSE)+EE_Jan1[[#This Row],[ITBI/ITCMD]],""),"#.##0,00"),"")</f>
        <v/>
      </c>
      <c r="CS19" s="482">
        <f>EE_Jan1[[#This Row],[Emols.]]-EE_Jan1[[#This Row],[Comissão]]</f>
        <v>0</v>
      </c>
      <c r="CT19" s="83">
        <f>VLOOKUP($CQ$29,Meta!$Q$3:$R$16,2,FALSE)*CP19</f>
        <v>0</v>
      </c>
      <c r="CU19" s="83">
        <f>EE_Jan1[[#This Row],[Total Nota]]-EE_Jan1[[#This Row],[Comissão]]</f>
        <v>0</v>
      </c>
      <c r="CV19" s="140"/>
      <c r="CW19" s="324"/>
      <c r="CX19" s="494" t="str">
        <f>IF(AND(EE_Jan1[[#This Row],[Total Nota]]&lt;&gt;"",EE_Jan1[[#This Row],[ITBI/ITCMD]]="",EE_Jan1[[#This Row],[Total Nota]]-IFERROR(VLOOKUP(EE_Jan1[[#This Row],[Emols.]],Meta!$AK$3:$AN$256,2,FALSE),0)&lt;&gt;0),TEXT(IFERROR(EE_Jan1[[#This Row],[Total Nota]]-VLOOKUP(EE_Jan1[[#This Row],[Emols.]],Meta!$AK$3:$AN$256,2,FALSE),""),"#.##0,00"),"")</f>
        <v/>
      </c>
      <c r="CY19" s="484"/>
      <c r="CZ19" s="96"/>
      <c r="DA19" s="325"/>
      <c r="DB19" s="326"/>
      <c r="DC19" s="97"/>
      <c r="DD19" s="86"/>
      <c r="DE19" s="87" t="str">
        <f>IFERROR(VLOOKUP(FF_Jan1[[#This Row],[Emols.]],Meta!$AK$3:$AN$256,3,FALSE),"")</f>
        <v/>
      </c>
      <c r="DF19" s="325"/>
      <c r="DG19" s="324"/>
      <c r="DH19" s="494" t="str">
        <f>IF(FF_Jan1[[#This Row],[Total Nota]]="",TEXT(IFERROR(VLOOKUP(FF_Jan1[[#This Row],[Emols.]],Meta!$AK$3:$AN$256,2,FALSE)+FF_Jan1[[#This Row],[ITBI/ITCMD]],""),"#.##0,00"),"")</f>
        <v/>
      </c>
      <c r="DI19" s="482">
        <f>FF_Jan1[[#This Row],[Emols.]]-FF_Jan1[[#This Row],[Comissão]]</f>
        <v>0</v>
      </c>
      <c r="DJ19" s="83">
        <f>VLOOKUP($DG$29,Meta!$Q$3:$R$16,2,FALSE)*DF19</f>
        <v>0</v>
      </c>
      <c r="DK19" s="83">
        <f>FF_Jan1[[#This Row],[Total Nota]]-FF_Jan1[[#This Row],[Comissão]]</f>
        <v>0</v>
      </c>
      <c r="DL19" s="43"/>
      <c r="DM19" s="324"/>
      <c r="DN19" s="494" t="str">
        <f>IF(AND(FF_Jan1[[#This Row],[Total Nota]]&lt;&gt;"",FF_Jan1[[#This Row],[ITBI/ITCMD]]="",FF_Jan1[[#This Row],[Total Nota]]-IFERROR(VLOOKUP(FF_Jan1[[#This Row],[Emols.]],Meta!$AK$3:$AN$256,2,FALSE),0)&lt;&gt;0),TEXT(IFERROR(FF_Jan1[[#This Row],[Total Nota]]-VLOOKUP(FF_Jan1[[#This Row],[Emols.]],Meta!$AK$3:$AN$256,2,FALSE),""),"#.##0,00"),"")</f>
        <v/>
      </c>
      <c r="DO19" s="484"/>
      <c r="DP19" s="41"/>
      <c r="DQ19" s="325"/>
      <c r="DR19" s="326"/>
      <c r="DS19" s="98"/>
      <c r="DT19" s="73"/>
      <c r="DU19" s="99" t="str">
        <f>IFERROR(VLOOKUP(GG_Jan1[[#This Row],[Emols.]],Meta!$AK$3:$AN$256,3,FALSE),"")</f>
        <v/>
      </c>
      <c r="DV19" s="330"/>
      <c r="DW19" s="332"/>
      <c r="DX19" s="494" t="str">
        <f>IF(GG_Jan1[[#This Row],[Total Nota]]="",TEXT(IFERROR(VLOOKUP(GG_Jan1[[#This Row],[Emols.]],Meta!$AK$3:$AN$256,2,FALSE)+GG_Jan1[[#This Row],[ITBI/ITCMD]],""),"#.##0,00"),"")</f>
        <v/>
      </c>
      <c r="DY19" s="485">
        <f>GG_Jan1[[#This Row],[Emols.]]-GG_Jan1[[#This Row],[Comissão]]</f>
        <v>0</v>
      </c>
      <c r="DZ19" s="101">
        <f>VLOOKUP($DW$29,Meta!$Q$3:$R$16,2,FALSE)*DV19</f>
        <v>0</v>
      </c>
      <c r="EA19" s="101">
        <f>GG_Jan1[[#This Row],[Total Nota]]-GG_Jan1[[#This Row],[Comissão]]</f>
        <v>0</v>
      </c>
      <c r="EB19" s="132"/>
      <c r="EC19" s="332"/>
      <c r="ED19" s="494" t="str">
        <f>IF(AND(GG_Jan1[[#This Row],[Total Nota]]&lt;&gt;"",GG_Jan1[[#This Row],[ITBI/ITCMD]]="",GG_Jan1[[#This Row],[Total Nota]]-IFERROR(VLOOKUP(GG_Jan1[[#This Row],[Emols.]],Meta!$AK$3:$AN$256,2,FALSE),0)&lt;&gt;0),TEXT(IFERROR(GG_Jan1[[#This Row],[Total Nota]]-VLOOKUP(GG_Jan1[[#This Row],[Emols.]],Meta!$AK$3:$AN$256,2,FALSE),""),"#.##0,00"),"")</f>
        <v/>
      </c>
      <c r="EE19" s="487"/>
      <c r="EF19" s="102"/>
      <c r="EG19" s="330"/>
      <c r="EH19" s="326"/>
      <c r="EI19" s="104"/>
      <c r="EJ19" s="73"/>
      <c r="EK19" s="99" t="str">
        <f>IFERROR(VLOOKUP(HH_Jan1[[#This Row],[Emols.]],Meta!$AK$3:$AN$256,3,FALSE),"")</f>
        <v/>
      </c>
      <c r="EL19" s="330"/>
      <c r="EM19" s="332"/>
      <c r="EN19" s="494" t="str">
        <f>IF(HH_Jan1[[#This Row],[Total Nota]]="",TEXT(IFERROR(VLOOKUP(HH_Jan1[[#This Row],[Emols.]],Meta!$AK$3:$AN$256,2,FALSE)+HH_Jan1[[#This Row],[ITBI/ITCMD]],""),"#.##0,00"),"")</f>
        <v/>
      </c>
      <c r="EO19" s="485">
        <f>HH_Jan1[[#This Row],[Emols.]]-HH_Jan1[[#This Row],[Comissão]]</f>
        <v>0</v>
      </c>
      <c r="EP19" s="101">
        <f>VLOOKUP($EM$29,Meta!$Q$3:$R$16,2,FALSE)*EL19</f>
        <v>0</v>
      </c>
      <c r="EQ19" s="101">
        <f>HH_Jan1[[#This Row],[Total Nota]]-HH_Jan1[[#This Row],[Comissão]]</f>
        <v>0</v>
      </c>
      <c r="ER19" s="132"/>
      <c r="ES19" s="332"/>
      <c r="ET19" s="494" t="str">
        <f>IF(AND(HH_Jan1[[#This Row],[Total Nota]]&lt;&gt;"",HH_Jan1[[#This Row],[ITBI/ITCMD]]="",HH_Jan1[[#This Row],[Total Nota]]-IFERROR(VLOOKUP(HH_Jan1[[#This Row],[Emols.]],Meta!$AK$3:$AN$256,2,FALSE),0)&lt;&gt;0),TEXT(IFERROR(HH_Jan1[[#This Row],[Total Nota]]-VLOOKUP(HH_Jan1[[#This Row],[Emols.]],Meta!$AK$3:$AN$256,2,FALSE),""),"#.##0,00"),"")</f>
        <v/>
      </c>
      <c r="EU19" s="487"/>
      <c r="EV19" s="102"/>
      <c r="EW19" s="330"/>
      <c r="EX19" s="326"/>
      <c r="EY19" s="104"/>
      <c r="EZ19" s="73"/>
      <c r="FA19" s="99" t="str">
        <f>IFERROR(VLOOKUP(II_Jan1[[#This Row],[Emols.]],Meta!$AK$3:$AN$256,3,FALSE),"")</f>
        <v/>
      </c>
      <c r="FB19" s="330"/>
      <c r="FC19" s="332"/>
      <c r="FD19" s="494" t="str">
        <f>IF(II_Jan1[[#This Row],[Total Nota]]="",TEXT(IFERROR(VLOOKUP(II_Jan1[[#This Row],[Emols.]],Meta!$AK$3:$AN$256,2,FALSE)+II_Jan1[[#This Row],[ITBI/ITCMD]],""),"#.##0,00"),"")</f>
        <v/>
      </c>
      <c r="FE19" s="485">
        <f>II_Jan1[[#This Row],[Emols.]]-II_Jan1[[#This Row],[Comissão]]</f>
        <v>0</v>
      </c>
      <c r="FF19" s="101">
        <f>VLOOKUP($FC$29,Meta!$Q$3:$R$16,2,FALSE)*FB19</f>
        <v>0</v>
      </c>
      <c r="FG19" s="101">
        <f>II_Jan1[[#This Row],[Total Nota]]-II_Jan1[[#This Row],[Comissão]]</f>
        <v>0</v>
      </c>
      <c r="FH19" s="132"/>
      <c r="FI19" s="332"/>
      <c r="FJ19" s="494" t="str">
        <f>IF(AND(II_Jan1[[#This Row],[Total Nota]]&lt;&gt;"",II_Jan1[[#This Row],[ITBI/ITCMD]]="",II_Jan1[[#This Row],[Total Nota]]-IFERROR(VLOOKUP(II_Jan1[[#This Row],[Emols.]],Meta!$AK$3:$AN$256,2,FALSE),0)&lt;&gt;0),TEXT(IFERROR(II_Jan1[[#This Row],[Total Nota]]-VLOOKUP(II_Jan1[[#This Row],[Emols.]],Meta!$AK$3:$AN$256,2,FALSE),""),"#.##0,00"),"")</f>
        <v/>
      </c>
      <c r="FK19" s="487"/>
      <c r="FL19" s="102"/>
      <c r="FM19" s="330"/>
      <c r="FN19" s="326"/>
      <c r="FO19" s="104"/>
      <c r="FP19" s="73"/>
      <c r="FQ19" s="99" t="str">
        <f>IFERROR(VLOOKUP(JJ_Jan1[[#This Row],[Emols.]],Meta!$AK$3:$AN$256,3,FALSE),"")</f>
        <v/>
      </c>
      <c r="FR19" s="330"/>
      <c r="FS19" s="332"/>
      <c r="FT19" s="494" t="str">
        <f>IF(JJ_Jan1[[#This Row],[Total Nota]]="",TEXT(IFERROR(VLOOKUP(JJ_Jan1[[#This Row],[Emols.]],Meta!$AK$3:$AN$256,2,FALSE)+JJ_Jan1[[#This Row],[ITBI/ITCMD]],""),"#.##0,00"),"")</f>
        <v/>
      </c>
      <c r="FU19" s="485">
        <f>JJ_Jan1[[#This Row],[Emols.]]-JJ_Jan1[[#This Row],[Comissão]]</f>
        <v>0</v>
      </c>
      <c r="FV19" s="101">
        <f>VLOOKUP($FS$29,Meta!$Q$3:$R$16,2,FALSE)*FR19</f>
        <v>0</v>
      </c>
      <c r="FW19" s="101">
        <f>JJ_Jan1[[#This Row],[Total Nota]]-JJ_Jan1[[#This Row],[Comissão]]</f>
        <v>0</v>
      </c>
      <c r="FX19" s="132"/>
      <c r="FY19" s="332"/>
      <c r="FZ19" s="494" t="str">
        <f>IF(AND(JJ_Jan1[[#This Row],[Total Nota]]&lt;&gt;"",JJ_Jan1[[#This Row],[ITBI/ITCMD]]="",JJ_Jan1[[#This Row],[Total Nota]]-IFERROR(VLOOKUP(JJ_Jan1[[#This Row],[Emols.]],Meta!$AK$3:$AN$256,2,FALSE),0)&lt;&gt;0),TEXT(IFERROR(JJ_Jan1[[#This Row],[Total Nota]]-VLOOKUP(JJ_Jan1[[#This Row],[Emols.]],Meta!$AK$3:$AN$256,2,FALSE),""),"#.##0,00"),"")</f>
        <v/>
      </c>
      <c r="GA19" s="487"/>
      <c r="GB19" s="102"/>
      <c r="GC19" s="330"/>
      <c r="GD19" s="326"/>
      <c r="GE19" s="104"/>
      <c r="GF19" s="73"/>
      <c r="GG19" s="99" t="str">
        <f>IFERROR(VLOOKUP(KK_Jan1[[#This Row],[Emols.]],Meta!$AK$3:$AN$256,3,FALSE),"")</f>
        <v/>
      </c>
      <c r="GH19" s="330"/>
      <c r="GI19" s="332"/>
      <c r="GJ19" s="494" t="str">
        <f>IF(KK_Jan1[[#This Row],[Total Nota]]="",TEXT(IFERROR(VLOOKUP(KK_Jan1[[#This Row],[Emols.]],Meta!$AK$3:$AN$256,2,FALSE)+KK_Jan1[[#This Row],[ITBI/ITCMD]],""),"#.##0,00"),"")</f>
        <v/>
      </c>
      <c r="GK19" s="485">
        <f>KK_Jan1[[#This Row],[Emols.]]-KK_Jan1[[#This Row],[Comissão]]</f>
        <v>0</v>
      </c>
      <c r="GL19" s="101">
        <f>VLOOKUP($GI$29,Meta!$Q$3:$R$16,2,FALSE)*GH19</f>
        <v>0</v>
      </c>
      <c r="GM19" s="101">
        <f>KK_Jan1[[#This Row],[Total Nota]]-KK_Jan1[[#This Row],[Comissão]]</f>
        <v>0</v>
      </c>
      <c r="GN19" s="132"/>
      <c r="GO19" s="332"/>
      <c r="GP19" s="494" t="str">
        <f>IF(AND(KK_Jan1[[#This Row],[Total Nota]]&lt;&gt;"",KK_Jan1[[#This Row],[ITBI/ITCMD]]="",KK_Jan1[[#This Row],[Total Nota]]-IFERROR(VLOOKUP(KK_Jan1[[#This Row],[Emols.]],Meta!$AK$3:$AN$256,2,FALSE),0)&lt;&gt;0),TEXT(IFERROR(KK_Jan1[[#This Row],[Total Nota]]-VLOOKUP(KK_Jan1[[#This Row],[Emols.]],Meta!$AK$3:$AN$256,2,FALSE),""),"#.##0,00"),"")</f>
        <v/>
      </c>
      <c r="GQ19" s="487"/>
      <c r="GR19" s="102"/>
      <c r="GS19" s="330"/>
      <c r="GT19" s="326"/>
      <c r="GU19" s="104"/>
      <c r="GV19" s="73"/>
      <c r="GW19" s="99" t="str">
        <f>IFERROR(VLOOKUP(LL_Jan1[[#This Row],[Emols.]],Meta!$AK$3:$AN$256,3,FALSE),"")</f>
        <v/>
      </c>
      <c r="GX19" s="330"/>
      <c r="GY19" s="332"/>
      <c r="GZ19" s="494" t="str">
        <f>IF(LL_Jan1[[#This Row],[Total Nota]]="",TEXT(IFERROR(VLOOKUP(LL_Jan1[[#This Row],[Emols.]],Meta!$AK$3:$AN$256,2,FALSE)+LL_Jan1[[#This Row],[ITBI/ITCMD]],""),"#.##0,00"),"")</f>
        <v/>
      </c>
      <c r="HA19" s="485">
        <f>LL_Jan1[[#This Row],[Emols.]]-LL_Jan1[[#This Row],[Comissão]]</f>
        <v>0</v>
      </c>
      <c r="HB19" s="101">
        <f>VLOOKUP($GY$29,Meta!$Q$3:$R$16,2,FALSE)*GX19</f>
        <v>0</v>
      </c>
      <c r="HC19" s="101">
        <f>LL_Jan1[[#This Row],[Total Nota]]-LL_Jan1[[#This Row],[Comissão]]</f>
        <v>0</v>
      </c>
      <c r="HD19" s="132"/>
      <c r="HE19" s="332"/>
      <c r="HF19" s="494" t="str">
        <f>IF(AND(LL_Jan1[[#This Row],[Total Nota]]&lt;&gt;"",LL_Jan1[[#This Row],[ITBI/ITCMD]]="",LL_Jan1[[#This Row],[Total Nota]]-IFERROR(VLOOKUP(LL_Jan1[[#This Row],[Emols.]],Meta!$AK$3:$AN$256,2,FALSE),0)&lt;&gt;0),TEXT(IFERROR(LL_Jan1[[#This Row],[Total Nota]]-VLOOKUP(LL_Jan1[[#This Row],[Emols.]],Meta!$AK$3:$AN$256,2,FALSE),""),"#.##0,00"),"")</f>
        <v/>
      </c>
      <c r="HG19" s="487"/>
      <c r="HH19" s="102"/>
      <c r="HI19" s="330"/>
      <c r="HJ19" s="326"/>
      <c r="HK19" s="104"/>
      <c r="HL19" s="105"/>
    </row>
    <row r="20" spans="1:220" ht="14.45" customHeight="1" x14ac:dyDescent="0.25">
      <c r="A20" s="184"/>
      <c r="B20" s="539" t="str">
        <f>IF(CC29=Meta!$D$3,Meta!$Q$6,"")</f>
        <v>Daniel</v>
      </c>
      <c r="C20" s="539"/>
      <c r="D20" s="539"/>
      <c r="E20" s="539"/>
      <c r="F20" s="539"/>
      <c r="G20" s="539"/>
      <c r="H20" s="539"/>
      <c r="I20" s="546"/>
      <c r="J20" s="549">
        <f>IF(CC29=Meta!$D$3,Y20-Z20,"")</f>
        <v>0</v>
      </c>
      <c r="K20" s="176" t="str">
        <f t="shared" si="3"/>
        <v/>
      </c>
      <c r="L20" s="500" t="str">
        <f t="shared" si="4"/>
        <v/>
      </c>
      <c r="M20" s="524" t="str">
        <f t="shared" si="5"/>
        <v/>
      </c>
      <c r="N20" s="508"/>
      <c r="O20" s="535"/>
      <c r="P20" s="192" t="str">
        <f>IF(CC29=Meta!$D$3,Meta!$Q$6,"")</f>
        <v>Daniel</v>
      </c>
      <c r="Q20" s="193">
        <f>IF(CC29=Meta!$D$3,-($S20-$R20),"")</f>
        <v>0</v>
      </c>
      <c r="R20" s="194">
        <f>IF(CC29=Meta!$D$3,ROUND($Q5*VLOOKUP($Q15,Meta!$E$3:$F$4,2,FALSE)+R5*VLOOKUP($R15,Meta!$E$3:$F$4,2,FALSE)+S5*VLOOKUP($S15,Meta!$E$3:$F$4,2,FALSE)+T5*VLOOKUP($T15,Meta!$E$3:$F$4,2,FALSE)+U5*VLOOKUP($U15,Meta!$E$3:$F$4,2,FALSE)+V5*VLOOKUP($V15,Meta!$E$3:$F$4,2,FALSE)+W5*VLOOKUP($W15,Meta!$E$3:$F$4,2,FALSE)+X5*VLOOKUP($X15,Meta!$E$3:$F$4,2,FALSE)+Y5*VLOOKUP($Y15,Meta!$E$3:$F$4,2,FALSE),2),"")</f>
        <v>0</v>
      </c>
      <c r="S20" s="195">
        <f>IF(CC29=Meta!$D$3,DD_Jan1[[#Totals],[A Receber]]*VLOOKUP(CC29,Meta!$D$3:$F$4,3,FALSE),"")</f>
        <v>0</v>
      </c>
      <c r="T20" s="194">
        <f>IF(CC29=Meta!$D$3,$Z5-$R20,"")</f>
        <v>0</v>
      </c>
      <c r="U20" s="196">
        <f>IF(CC29=Meta!$D$3,IF(Q20&lt;0,Q20+T20,-1*(CK29+Q20)),"")</f>
        <v>0</v>
      </c>
      <c r="V20" s="197">
        <f>IF(CC29=Meta!$D$3,SUMIF(DD_Jan1[[ ]],"",DD_Jan1[ITBI/ITCMD]),"")</f>
        <v>0</v>
      </c>
      <c r="W20" s="194">
        <f>IF(CC29=Meta!$D$3,SUMIF(DD_Jan1[[ ]],Meta!$AA$4,DD_Jan1[ITBI/ITCMD]),"")</f>
        <v>0</v>
      </c>
      <c r="X20" s="194">
        <f>IF(CC29=Meta!$D$3,SUMIF(DD_Jan1[[ ]],Meta!$AA$3,DD_Jan1[ITBI/ITCMD]),"")</f>
        <v>0</v>
      </c>
      <c r="Y20" s="195">
        <f>IF(CC29=Meta!$D$3,SUM($V20:$X20),"")</f>
        <v>0</v>
      </c>
      <c r="Z20" s="198">
        <f>IF(CC29=Meta!$D$3,$Y20-$V20*VLOOKUP($V30,Meta!$E$2:$F$4,2,FALSE)-$W20*VLOOKUP($W30,Meta!$E$2:$F$4,2,FALSE)-$X20*VLOOKUP($X30,Meta!$E$2:$F$4,2,FALSE),"")</f>
        <v>0</v>
      </c>
      <c r="AA20" s="175"/>
      <c r="AB20" s="73"/>
      <c r="AC20" s="81" t="str">
        <f>IFERROR(VLOOKUP(AA_Jan1[[#This Row],[Emols.]],Meta!$AK$3:$AN$256,3,FALSE),"")</f>
        <v/>
      </c>
      <c r="AD20" s="325"/>
      <c r="AE20" s="324"/>
      <c r="AF20" s="493" t="str">
        <f>IF(AA_Jan1[[#This Row],[Total Nota]]="",TEXT(IFERROR(VLOOKUP(AA_Jan1[[#This Row],[Emols.]],Meta!$AK$3:$AN$256,2,FALSE)+AA_Jan1[[#This Row],[ITBI/ITCMD]],""),"#.##0,00"),"")</f>
        <v/>
      </c>
      <c r="AG20" s="482">
        <f>AA_Jan1[[#This Row],[Emols.]]-AA_Jan1[[#This Row],[Comissão]]</f>
        <v>0</v>
      </c>
      <c r="AH20" s="83">
        <f>VLOOKUP($AE$29,Meta!$Q$3:$R$16,2,FALSE)*AD20</f>
        <v>0</v>
      </c>
      <c r="AI20" s="83">
        <f>AA_Jan1[[#This Row],[Total Nota]]-AA_Jan1[[#This Row],[Comissão]]</f>
        <v>0</v>
      </c>
      <c r="AJ20" s="42"/>
      <c r="AK20" s="324"/>
      <c r="AL20" s="493" t="str">
        <f>IF(AND(AA_Jan1[[#This Row],[Total Nota]]&lt;&gt;"",AA_Jan1[[#This Row],[ITBI/ITCMD]]="",AA_Jan1[[#This Row],[Total Nota]]-IFERROR(VLOOKUP(AA_Jan1[[#This Row],[Emols.]],Meta!$AK$3:$AN$256,2,FALSE),0)&lt;&gt;0),TEXT(IFERROR(AA_Jan1[[#This Row],[Total Nota]]-VLOOKUP(AA_Jan1[[#This Row],[Emols.]],Meta!$AK$3:$AN$256,2,FALSE),""),"#.##0,00"),"")</f>
        <v/>
      </c>
      <c r="AM20" s="484"/>
      <c r="AN20" s="40"/>
      <c r="AO20" s="325"/>
      <c r="AP20" s="326"/>
      <c r="AQ20" s="85"/>
      <c r="AR20" s="86"/>
      <c r="AS20" s="87" t="str">
        <f>IFERROR(VLOOKUP(BB_Jan1[[#This Row],[Emols.]],Meta!$AK$3:$AN$256,3,FALSE),"")</f>
        <v/>
      </c>
      <c r="AT20" s="325"/>
      <c r="AU20" s="324"/>
      <c r="AV20" s="493" t="str">
        <f>IF(BB_Jan1[[#This Row],[Total Nota]]="",TEXT(IFERROR(VLOOKUP(BB_Jan1[[#This Row],[Emols.]],Meta!$AK$3:$AN$256,2,FALSE)+BB_Jan1[[#This Row],[ITBI/ITCMD]],""),"#.##0,00"),"")</f>
        <v/>
      </c>
      <c r="AW20" s="482">
        <f>BB_Jan1[[#This Row],[Emols.]]-BB_Jan1[[#This Row],[Comissão]]</f>
        <v>0</v>
      </c>
      <c r="AX20" s="83">
        <f>VLOOKUP($AU$29,Meta!$Q$3:$R$16,2,FALSE)*AT20</f>
        <v>0</v>
      </c>
      <c r="AY20" s="83">
        <f>BB_Jan1[[#This Row],[Total Nota]]-BB_Jan1[[#This Row],[Comissão]]</f>
        <v>0</v>
      </c>
      <c r="AZ20" s="43"/>
      <c r="BA20" s="489"/>
      <c r="BB20" s="494" t="str">
        <f>IF(AND(BB_Jan1[[#This Row],[Total Nota]]&lt;&gt;"",BB_Jan1[[#This Row],[ITBI/ITCMD]]="",BB_Jan1[[#This Row],[Total Nota]]-IFERROR(VLOOKUP(BB_Jan1[[#This Row],[Emols.]],Meta!$AK$3:$AN$256,2,FALSE),0)&lt;&gt;0),TEXT(IFERROR(BB_Jan1[[#This Row],[Total Nota]]-VLOOKUP(BB_Jan1[[#This Row],[Emols.]],Meta!$AK$3:$AN$256,2,FALSE),""),"#.##0,00"),"")</f>
        <v/>
      </c>
      <c r="BC20" s="484"/>
      <c r="BD20" s="41"/>
      <c r="BE20" s="325"/>
      <c r="BF20" s="326"/>
      <c r="BG20" s="89"/>
      <c r="BH20" s="86"/>
      <c r="BI20" s="90" t="str">
        <f>IFERROR(VLOOKUP(CC_Jan1[[#This Row],[Emols.]],Meta!$AK$3:$AN$256,3,FALSE),"")</f>
        <v/>
      </c>
      <c r="BJ20" s="325"/>
      <c r="BK20" s="324"/>
      <c r="BL20" s="493" t="str">
        <f>IF(CC_Jan1[[#This Row],[Total Nota]]="",TEXT(IFERROR(VLOOKUP(CC_Jan1[[#This Row],[Emols.]],Meta!$AK$3:$AN$256,2,FALSE)+CC_Jan1[[#This Row],[ITBI/ITCMD]],""),"#.##0,00"),"")</f>
        <v/>
      </c>
      <c r="BM20" s="482">
        <f>CC_Jan1[[#This Row],[Emols.]]-CC_Jan1[[#This Row],[Comissão]]</f>
        <v>0</v>
      </c>
      <c r="BN20" s="83">
        <f>VLOOKUP($BK$29,Meta!$Q$3:$R$16,2,FALSE)*BJ20</f>
        <v>0</v>
      </c>
      <c r="BO20" s="83">
        <f>CC_Jan1[[#This Row],[Total Nota]]-CC_Jan1[[#This Row],[Comissão]]</f>
        <v>0</v>
      </c>
      <c r="BP20" s="44"/>
      <c r="BQ20" s="324"/>
      <c r="BR20" s="493" t="str">
        <f>IF(AND(CC_Jan1[[#This Row],[Total Nota]]&lt;&gt;"",CC_Jan1[[#This Row],[ITBI/ITCMD]]="",CC_Jan1[[#This Row],[Total Nota]]-IFERROR(VLOOKUP(CC_Jan1[[#This Row],[Emols.]],Meta!$AK$3:$AN$256,2,FALSE),0)&lt;&gt;0),TEXT(IFERROR(CC_Jan1[[#This Row],[Total Nota]]-VLOOKUP(CC_Jan1[[#This Row],[Emols.]],Meta!$AK$3:$AN$256,2,FALSE),""),"#.##0,00"),"")</f>
        <v/>
      </c>
      <c r="BS20" s="484"/>
      <c r="BT20" s="47"/>
      <c r="BU20" s="325"/>
      <c r="BV20" s="326"/>
      <c r="BW20" s="91"/>
      <c r="BX20" s="86"/>
      <c r="BY20" s="92" t="str">
        <f>IFERROR(VLOOKUP(DD_Jan1[[#This Row],[Emols.]],Meta!$AK$3:$AN$256,3,FALSE),"")</f>
        <v/>
      </c>
      <c r="BZ20" s="325"/>
      <c r="CA20" s="489"/>
      <c r="CB20" s="494" t="str">
        <f>IF(DD_Jan1[[#This Row],[Total Nota]]="",TEXT(IFERROR(VLOOKUP(DD_Jan1[[#This Row],[Emols.]],Meta!$AK$3:$AN$256,2,FALSE)+DD_Jan1[[#This Row],[ITBI/ITCMD]],""),"#.##0,00"),"")</f>
        <v/>
      </c>
      <c r="CC20" s="482">
        <f>DD_Jan1[[#This Row],[Emols.]]-DD_Jan1[[#This Row],[Comissão]]</f>
        <v>0</v>
      </c>
      <c r="CD20" s="83">
        <f>VLOOKUP($CA$29,Meta!$Q$3:$R$16,2,FALSE)*BZ20</f>
        <v>0</v>
      </c>
      <c r="CE20" s="83">
        <f>DD_Jan1[[#This Row],[Total Nota]]-DD_Jan1[[#This Row],[Comissão]]</f>
        <v>0</v>
      </c>
      <c r="CF20" s="139"/>
      <c r="CG20" s="324"/>
      <c r="CH20" s="493" t="str">
        <f>IF(AND(DD_Jan1[[#This Row],[Total Nota]]&lt;&gt;"",DD_Jan1[[#This Row],[ITBI/ITCMD]]="",DD_Jan1[[#This Row],[Total Nota]]-IFERROR(VLOOKUP(DD_Jan1[[#This Row],[Emols.]],Meta!$AK$3:$AN$256,2,FALSE),0)&lt;&gt;0),TEXT(IFERROR(DD_Jan1[[#This Row],[Total Nota]]-VLOOKUP(DD_Jan1[[#This Row],[Emols.]],Meta!$AK$3:$AN$256,2,FALSE),""),"#.##0,00"),"")</f>
        <v/>
      </c>
      <c r="CI20" s="484"/>
      <c r="CJ20" s="93"/>
      <c r="CK20" s="325"/>
      <c r="CL20" s="326"/>
      <c r="CM20" s="94"/>
      <c r="CN20" s="86"/>
      <c r="CO20" s="95" t="str">
        <f>IFERROR(VLOOKUP(EE_Jan1[[#This Row],[Emols.]],Meta!$AK$3:$AN$256,3,FALSE),"")</f>
        <v/>
      </c>
      <c r="CP20" s="325"/>
      <c r="CQ20" s="324"/>
      <c r="CR20" s="493" t="str">
        <f>IF(EE_Jan1[[#This Row],[Total Nota]]="",TEXT(IFERROR(VLOOKUP(EE_Jan1[[#This Row],[Emols.]],Meta!$AK$3:$AN$256,2,FALSE)+EE_Jan1[[#This Row],[ITBI/ITCMD]],""),"#.##0,00"),"")</f>
        <v/>
      </c>
      <c r="CS20" s="482">
        <f>EE_Jan1[[#This Row],[Emols.]]-EE_Jan1[[#This Row],[Comissão]]</f>
        <v>0</v>
      </c>
      <c r="CT20" s="83">
        <f>VLOOKUP($CQ$29,Meta!$Q$3:$R$16,2,FALSE)*CP20</f>
        <v>0</v>
      </c>
      <c r="CU20" s="83">
        <f>EE_Jan1[[#This Row],[Total Nota]]-EE_Jan1[[#This Row],[Comissão]]</f>
        <v>0</v>
      </c>
      <c r="CV20" s="140"/>
      <c r="CW20" s="489"/>
      <c r="CX20" s="494" t="str">
        <f>IF(AND(EE_Jan1[[#This Row],[Total Nota]]&lt;&gt;"",EE_Jan1[[#This Row],[ITBI/ITCMD]]="",EE_Jan1[[#This Row],[Total Nota]]-IFERROR(VLOOKUP(EE_Jan1[[#This Row],[Emols.]],Meta!$AK$3:$AN$256,2,FALSE),0)&lt;&gt;0),TEXT(IFERROR(EE_Jan1[[#This Row],[Total Nota]]-VLOOKUP(EE_Jan1[[#This Row],[Emols.]],Meta!$AK$3:$AN$256,2,FALSE),""),"#.##0,00"),"")</f>
        <v/>
      </c>
      <c r="CY20" s="484"/>
      <c r="CZ20" s="96"/>
      <c r="DA20" s="325"/>
      <c r="DB20" s="326"/>
      <c r="DC20" s="97"/>
      <c r="DD20" s="86"/>
      <c r="DE20" s="87" t="str">
        <f>IFERROR(VLOOKUP(FF_Jan1[[#This Row],[Emols.]],Meta!$AK$3:$AN$256,3,FALSE),"")</f>
        <v/>
      </c>
      <c r="DF20" s="325"/>
      <c r="DG20" s="489"/>
      <c r="DH20" s="494" t="str">
        <f>IF(FF_Jan1[[#This Row],[Total Nota]]="",TEXT(IFERROR(VLOOKUP(FF_Jan1[[#This Row],[Emols.]],Meta!$AK$3:$AN$256,2,FALSE)+FF_Jan1[[#This Row],[ITBI/ITCMD]],""),"#.##0,00"),"")</f>
        <v/>
      </c>
      <c r="DI20" s="482">
        <f>FF_Jan1[[#This Row],[Emols.]]-FF_Jan1[[#This Row],[Comissão]]</f>
        <v>0</v>
      </c>
      <c r="DJ20" s="83">
        <f>VLOOKUP($DG$29,Meta!$Q$3:$R$16,2,FALSE)*DF20</f>
        <v>0</v>
      </c>
      <c r="DK20" s="83">
        <f>FF_Jan1[[#This Row],[Total Nota]]-FF_Jan1[[#This Row],[Comissão]]</f>
        <v>0</v>
      </c>
      <c r="DL20" s="43"/>
      <c r="DM20" s="489"/>
      <c r="DN20" s="494" t="str">
        <f>IF(AND(FF_Jan1[[#This Row],[Total Nota]]&lt;&gt;"",FF_Jan1[[#This Row],[ITBI/ITCMD]]="",FF_Jan1[[#This Row],[Total Nota]]-IFERROR(VLOOKUP(FF_Jan1[[#This Row],[Emols.]],Meta!$AK$3:$AN$256,2,FALSE),0)&lt;&gt;0),TEXT(IFERROR(FF_Jan1[[#This Row],[Total Nota]]-VLOOKUP(FF_Jan1[[#This Row],[Emols.]],Meta!$AK$3:$AN$256,2,FALSE),""),"#.##0,00"),"")</f>
        <v/>
      </c>
      <c r="DO20" s="484"/>
      <c r="DP20" s="41"/>
      <c r="DQ20" s="325"/>
      <c r="DR20" s="326"/>
      <c r="DS20" s="98"/>
      <c r="DT20" s="73"/>
      <c r="DU20" s="99" t="str">
        <f>IFERROR(VLOOKUP(GG_Jan1[[#This Row],[Emols.]],Meta!$AK$3:$AN$256,3,FALSE),"")</f>
        <v/>
      </c>
      <c r="DV20" s="330"/>
      <c r="DW20" s="492"/>
      <c r="DX20" s="494" t="str">
        <f>IF(GG_Jan1[[#This Row],[Total Nota]]="",TEXT(IFERROR(VLOOKUP(GG_Jan1[[#This Row],[Emols.]],Meta!$AK$3:$AN$256,2,FALSE)+GG_Jan1[[#This Row],[ITBI/ITCMD]],""),"#.##0,00"),"")</f>
        <v/>
      </c>
      <c r="DY20" s="485">
        <f>GG_Jan1[[#This Row],[Emols.]]-GG_Jan1[[#This Row],[Comissão]]</f>
        <v>0</v>
      </c>
      <c r="DZ20" s="101">
        <f>VLOOKUP($DW$29,Meta!$Q$3:$R$16,2,FALSE)*DV20</f>
        <v>0</v>
      </c>
      <c r="EA20" s="101">
        <f>GG_Jan1[[#This Row],[Total Nota]]-GG_Jan1[[#This Row],[Comissão]]</f>
        <v>0</v>
      </c>
      <c r="EB20" s="132"/>
      <c r="EC20" s="332"/>
      <c r="ED20" s="493" t="str">
        <f>IF(AND(GG_Jan1[[#This Row],[Total Nota]]&lt;&gt;"",GG_Jan1[[#This Row],[ITBI/ITCMD]]="",GG_Jan1[[#This Row],[Total Nota]]-IFERROR(VLOOKUP(GG_Jan1[[#This Row],[Emols.]],Meta!$AK$3:$AN$256,2,FALSE),0)&lt;&gt;0),TEXT(IFERROR(GG_Jan1[[#This Row],[Total Nota]]-VLOOKUP(GG_Jan1[[#This Row],[Emols.]],Meta!$AK$3:$AN$256,2,FALSE),""),"#.##0,00"),"")</f>
        <v/>
      </c>
      <c r="EE20" s="487"/>
      <c r="EF20" s="102"/>
      <c r="EG20" s="330"/>
      <c r="EH20" s="326"/>
      <c r="EI20" s="104"/>
      <c r="EJ20" s="73"/>
      <c r="EK20" s="99" t="str">
        <f>IFERROR(VLOOKUP(HH_Jan1[[#This Row],[Emols.]],Meta!$AK$3:$AN$256,3,FALSE),"")</f>
        <v/>
      </c>
      <c r="EL20" s="330"/>
      <c r="EM20" s="492"/>
      <c r="EN20" s="494" t="str">
        <f>IF(HH_Jan1[[#This Row],[Total Nota]]="",TEXT(IFERROR(VLOOKUP(HH_Jan1[[#This Row],[Emols.]],Meta!$AK$3:$AN$256,2,FALSE)+HH_Jan1[[#This Row],[ITBI/ITCMD]],""),"#.##0,00"),"")</f>
        <v/>
      </c>
      <c r="EO20" s="485">
        <f>HH_Jan1[[#This Row],[Emols.]]-HH_Jan1[[#This Row],[Comissão]]</f>
        <v>0</v>
      </c>
      <c r="EP20" s="101">
        <f>VLOOKUP($EM$29,Meta!$Q$3:$R$16,2,FALSE)*EL20</f>
        <v>0</v>
      </c>
      <c r="EQ20" s="101">
        <f>HH_Jan1[[#This Row],[Total Nota]]-HH_Jan1[[#This Row],[Comissão]]</f>
        <v>0</v>
      </c>
      <c r="ER20" s="132"/>
      <c r="ES20" s="332"/>
      <c r="ET20" s="493" t="str">
        <f>IF(AND(HH_Jan1[[#This Row],[Total Nota]]&lt;&gt;"",HH_Jan1[[#This Row],[ITBI/ITCMD]]="",HH_Jan1[[#This Row],[Total Nota]]-IFERROR(VLOOKUP(HH_Jan1[[#This Row],[Emols.]],Meta!$AK$3:$AN$256,2,FALSE),0)&lt;&gt;0),TEXT(IFERROR(HH_Jan1[[#This Row],[Total Nota]]-VLOOKUP(HH_Jan1[[#This Row],[Emols.]],Meta!$AK$3:$AN$256,2,FALSE),""),"#.##0,00"),"")</f>
        <v/>
      </c>
      <c r="EU20" s="487"/>
      <c r="EV20" s="102"/>
      <c r="EW20" s="330"/>
      <c r="EX20" s="326"/>
      <c r="EY20" s="104"/>
      <c r="EZ20" s="73"/>
      <c r="FA20" s="99" t="str">
        <f>IFERROR(VLOOKUP(II_Jan1[[#This Row],[Emols.]],Meta!$AK$3:$AN$256,3,FALSE),"")</f>
        <v/>
      </c>
      <c r="FB20" s="330"/>
      <c r="FC20" s="332"/>
      <c r="FD20" s="493" t="str">
        <f>IF(II_Jan1[[#This Row],[Total Nota]]="",TEXT(IFERROR(VLOOKUP(II_Jan1[[#This Row],[Emols.]],Meta!$AK$3:$AN$256,2,FALSE)+II_Jan1[[#This Row],[ITBI/ITCMD]],""),"#.##0,00"),"")</f>
        <v/>
      </c>
      <c r="FE20" s="485">
        <f>II_Jan1[[#This Row],[Emols.]]-II_Jan1[[#This Row],[Comissão]]</f>
        <v>0</v>
      </c>
      <c r="FF20" s="101">
        <f>VLOOKUP($FC$29,Meta!$Q$3:$R$16,2,FALSE)*FB20</f>
        <v>0</v>
      </c>
      <c r="FG20" s="101">
        <f>II_Jan1[[#This Row],[Total Nota]]-II_Jan1[[#This Row],[Comissão]]</f>
        <v>0</v>
      </c>
      <c r="FH20" s="132"/>
      <c r="FI20" s="492"/>
      <c r="FJ20" s="494" t="str">
        <f>IF(AND(II_Jan1[[#This Row],[Total Nota]]&lt;&gt;"",II_Jan1[[#This Row],[ITBI/ITCMD]]="",II_Jan1[[#This Row],[Total Nota]]-IFERROR(VLOOKUP(II_Jan1[[#This Row],[Emols.]],Meta!$AK$3:$AN$256,2,FALSE),0)&lt;&gt;0),TEXT(IFERROR(II_Jan1[[#This Row],[Total Nota]]-VLOOKUP(II_Jan1[[#This Row],[Emols.]],Meta!$AK$3:$AN$256,2,FALSE),""),"#.##0,00"),"")</f>
        <v/>
      </c>
      <c r="FK20" s="487"/>
      <c r="FL20" s="102"/>
      <c r="FM20" s="330"/>
      <c r="FN20" s="326"/>
      <c r="FO20" s="104"/>
      <c r="FP20" s="73"/>
      <c r="FQ20" s="99" t="str">
        <f>IFERROR(VLOOKUP(JJ_Jan1[[#This Row],[Emols.]],Meta!$AK$3:$AN$256,3,FALSE),"")</f>
        <v/>
      </c>
      <c r="FR20" s="330"/>
      <c r="FS20" s="332"/>
      <c r="FT20" s="493" t="str">
        <f>IF(JJ_Jan1[[#This Row],[Total Nota]]="",TEXT(IFERROR(VLOOKUP(JJ_Jan1[[#This Row],[Emols.]],Meta!$AK$3:$AN$256,2,FALSE)+JJ_Jan1[[#This Row],[ITBI/ITCMD]],""),"#.##0,00"),"")</f>
        <v/>
      </c>
      <c r="FU20" s="485">
        <f>JJ_Jan1[[#This Row],[Emols.]]-JJ_Jan1[[#This Row],[Comissão]]</f>
        <v>0</v>
      </c>
      <c r="FV20" s="101">
        <f>VLOOKUP($FS$29,Meta!$Q$3:$R$16,2,FALSE)*FR20</f>
        <v>0</v>
      </c>
      <c r="FW20" s="101">
        <f>JJ_Jan1[[#This Row],[Total Nota]]-JJ_Jan1[[#This Row],[Comissão]]</f>
        <v>0</v>
      </c>
      <c r="FX20" s="132"/>
      <c r="FY20" s="492"/>
      <c r="FZ20" s="494" t="str">
        <f>IF(AND(JJ_Jan1[[#This Row],[Total Nota]]&lt;&gt;"",JJ_Jan1[[#This Row],[ITBI/ITCMD]]="",JJ_Jan1[[#This Row],[Total Nota]]-IFERROR(VLOOKUP(JJ_Jan1[[#This Row],[Emols.]],Meta!$AK$3:$AN$256,2,FALSE),0)&lt;&gt;0),TEXT(IFERROR(JJ_Jan1[[#This Row],[Total Nota]]-VLOOKUP(JJ_Jan1[[#This Row],[Emols.]],Meta!$AK$3:$AN$256,2,FALSE),""),"#.##0,00"),"")</f>
        <v/>
      </c>
      <c r="GA20" s="487"/>
      <c r="GB20" s="102"/>
      <c r="GC20" s="330"/>
      <c r="GD20" s="326"/>
      <c r="GE20" s="104"/>
      <c r="GF20" s="73"/>
      <c r="GG20" s="99" t="str">
        <f>IFERROR(VLOOKUP(KK_Jan1[[#This Row],[Emols.]],Meta!$AK$3:$AN$256,3,FALSE),"")</f>
        <v/>
      </c>
      <c r="GH20" s="330"/>
      <c r="GI20" s="492"/>
      <c r="GJ20" s="494" t="str">
        <f>IF(KK_Jan1[[#This Row],[Total Nota]]="",TEXT(IFERROR(VLOOKUP(KK_Jan1[[#This Row],[Emols.]],Meta!$AK$3:$AN$256,2,FALSE)+KK_Jan1[[#This Row],[ITBI/ITCMD]],""),"#.##0,00"),"")</f>
        <v/>
      </c>
      <c r="GK20" s="485">
        <f>KK_Jan1[[#This Row],[Emols.]]-KK_Jan1[[#This Row],[Comissão]]</f>
        <v>0</v>
      </c>
      <c r="GL20" s="101">
        <f>VLOOKUP($GI$29,Meta!$Q$3:$R$16,2,FALSE)*GH20</f>
        <v>0</v>
      </c>
      <c r="GM20" s="101">
        <f>KK_Jan1[[#This Row],[Total Nota]]-KK_Jan1[[#This Row],[Comissão]]</f>
        <v>0</v>
      </c>
      <c r="GN20" s="132"/>
      <c r="GO20" s="332"/>
      <c r="GP20" s="493" t="str">
        <f>IF(AND(KK_Jan1[[#This Row],[Total Nota]]&lt;&gt;"",KK_Jan1[[#This Row],[ITBI/ITCMD]]="",KK_Jan1[[#This Row],[Total Nota]]-IFERROR(VLOOKUP(KK_Jan1[[#This Row],[Emols.]],Meta!$AK$3:$AN$256,2,FALSE),0)&lt;&gt;0),TEXT(IFERROR(KK_Jan1[[#This Row],[Total Nota]]-VLOOKUP(KK_Jan1[[#This Row],[Emols.]],Meta!$AK$3:$AN$256,2,FALSE),""),"#.##0,00"),"")</f>
        <v/>
      </c>
      <c r="GQ20" s="487"/>
      <c r="GR20" s="102"/>
      <c r="GS20" s="330"/>
      <c r="GT20" s="326"/>
      <c r="GU20" s="104"/>
      <c r="GV20" s="73"/>
      <c r="GW20" s="99" t="str">
        <f>IFERROR(VLOOKUP(LL_Jan1[[#This Row],[Emols.]],Meta!$AK$3:$AN$256,3,FALSE),"")</f>
        <v/>
      </c>
      <c r="GX20" s="330"/>
      <c r="GY20" s="332"/>
      <c r="GZ20" s="493" t="str">
        <f>IF(LL_Jan1[[#This Row],[Total Nota]]="",TEXT(IFERROR(VLOOKUP(LL_Jan1[[#This Row],[Emols.]],Meta!$AK$3:$AN$256,2,FALSE)+LL_Jan1[[#This Row],[ITBI/ITCMD]],""),"#.##0,00"),"")</f>
        <v/>
      </c>
      <c r="HA20" s="485">
        <f>LL_Jan1[[#This Row],[Emols.]]-LL_Jan1[[#This Row],[Comissão]]</f>
        <v>0</v>
      </c>
      <c r="HB20" s="101">
        <f>VLOOKUP($GY$29,Meta!$Q$3:$R$16,2,FALSE)*GX20</f>
        <v>0</v>
      </c>
      <c r="HC20" s="101">
        <f>LL_Jan1[[#This Row],[Total Nota]]-LL_Jan1[[#This Row],[Comissão]]</f>
        <v>0</v>
      </c>
      <c r="HD20" s="132"/>
      <c r="HE20" s="332"/>
      <c r="HF20" s="493" t="str">
        <f>IF(AND(LL_Jan1[[#This Row],[Total Nota]]&lt;&gt;"",LL_Jan1[[#This Row],[ITBI/ITCMD]]="",LL_Jan1[[#This Row],[Total Nota]]-IFERROR(VLOOKUP(LL_Jan1[[#This Row],[Emols.]],Meta!$AK$3:$AN$256,2,FALSE),0)&lt;&gt;0),TEXT(IFERROR(LL_Jan1[[#This Row],[Total Nota]]-VLOOKUP(LL_Jan1[[#This Row],[Emols.]],Meta!$AK$3:$AN$256,2,FALSE),""),"#.##0,00"),"")</f>
        <v/>
      </c>
      <c r="HG20" s="487"/>
      <c r="HH20" s="102"/>
      <c r="HI20" s="330"/>
      <c r="HJ20" s="326"/>
      <c r="HK20" s="104"/>
      <c r="HL20" s="105"/>
    </row>
    <row r="21" spans="1:220" ht="14.45" customHeight="1" x14ac:dyDescent="0.25">
      <c r="A21" s="184"/>
      <c r="B21" s="558" t="str">
        <f>IF(CS29=Meta!$D$3,Meta!$Q$7,"")</f>
        <v>Eliana</v>
      </c>
      <c r="C21" s="558"/>
      <c r="D21" s="558"/>
      <c r="E21" s="558"/>
      <c r="F21" s="558"/>
      <c r="G21" s="558"/>
      <c r="H21" s="558"/>
      <c r="I21" s="556"/>
      <c r="J21" s="550">
        <f>IF(CS29=Meta!$D$3,Y21-Z21,"")</f>
        <v>0</v>
      </c>
      <c r="K21" s="501" t="str">
        <f t="shared" si="3"/>
        <v/>
      </c>
      <c r="L21" s="502" t="str">
        <f t="shared" si="4"/>
        <v/>
      </c>
      <c r="M21" s="525" t="str">
        <f t="shared" si="5"/>
        <v/>
      </c>
      <c r="N21" s="508"/>
      <c r="O21" s="535"/>
      <c r="P21" s="199" t="str">
        <f>IF(CS29=Meta!$D$3,Meta!$Q$7,"")</f>
        <v>Eliana</v>
      </c>
      <c r="Q21" s="200">
        <f>IF(CS29=Meta!$D$3,-($S21-$R21),"")</f>
        <v>0</v>
      </c>
      <c r="R21" s="201">
        <f>IF(CS29=Meta!$D$3,ROUND($Q6*VLOOKUP($Q15,Meta!$E$3:$F$4,2,FALSE)+R6*VLOOKUP($R15,Meta!$E$3:$F$4,2,FALSE)+S6*VLOOKUP($S15,Meta!$E$3:$F$4,2,FALSE)+T6*VLOOKUP($T15,Meta!$E$3:$F$4,2,FALSE)+U6*VLOOKUP($U15,Meta!$E$3:$F$4,2,FALSE)+V6*VLOOKUP($V15,Meta!$E$3:$F$4,2,FALSE)+W6*VLOOKUP($W15,Meta!$E$3:$F$4,2,FALSE)+X6*VLOOKUP($X15,Meta!$E$3:$F$4,2,FALSE)+Y6*VLOOKUP($Y15,Meta!$E$3:$F$4,2,FALSE),2),"")</f>
        <v>0</v>
      </c>
      <c r="S21" s="202">
        <f>IF(CS29=Meta!$D$3,EE_Jan1[[#Totals],[A Receber]]*VLOOKUP(CS29,Meta!$D$3:$F$4,3,FALSE),"")</f>
        <v>0</v>
      </c>
      <c r="T21" s="201">
        <f>IF(CS29=Meta!$D$3,$Z6-$R21,"")</f>
        <v>0</v>
      </c>
      <c r="U21" s="203">
        <f>IF(CS29=Meta!$D$3,IF(Q21&lt;0,Q21+T21,-1*(DA29+Q21)),"")</f>
        <v>0</v>
      </c>
      <c r="V21" s="204">
        <f>IF(CS29=Meta!$D$3,SUMIF(EE_Jan1[[ ]],"",EE_Jan1[ITBI/ITCMD]),"")</f>
        <v>0</v>
      </c>
      <c r="W21" s="201">
        <f>IF(CS29=Meta!$D$3,SUMIF(EE_Jan1[[ ]],Meta!$AA$4,EE_Jan1[ITBI/ITCMD]),"")</f>
        <v>0</v>
      </c>
      <c r="X21" s="201">
        <f>IF(CS29=Meta!$D$3,SUMIF(EE_Jan1[[ ]],Meta!$AA$3,EE_Jan1[ITBI/ITCMD]),"")</f>
        <v>0</v>
      </c>
      <c r="Y21" s="202">
        <f>IF(CS29=Meta!$D$3,SUM($V21:$X21),"")</f>
        <v>0</v>
      </c>
      <c r="Z21" s="205">
        <f>IF(CS29=Meta!$D$3,$Y21-$V21*VLOOKUP($V30,Meta!$E$2:$F$4,2,FALSE)-$W21*VLOOKUP($W30,Meta!$E$2:$F$4,2,FALSE)-$X21*VLOOKUP($X30,Meta!$E$2:$F$4,2,FALSE),"")</f>
        <v>0</v>
      </c>
      <c r="AA21" s="175"/>
      <c r="AB21" s="73"/>
      <c r="AC21" s="81" t="str">
        <f>IFERROR(VLOOKUP(AA_Jan1[[#This Row],[Emols.]],Meta!$AK$3:$AN$256,3,FALSE),"")</f>
        <v/>
      </c>
      <c r="AD21" s="325"/>
      <c r="AE21" s="324"/>
      <c r="AF21" s="494" t="str">
        <f>IF(AA_Jan1[[#This Row],[Total Nota]]="",TEXT(IFERROR(VLOOKUP(AA_Jan1[[#This Row],[Emols.]],Meta!$AK$3:$AN$256,2,FALSE)+AA_Jan1[[#This Row],[ITBI/ITCMD]],""),"#.##0,00"),"")</f>
        <v/>
      </c>
      <c r="AG21" s="482">
        <f>AA_Jan1[[#This Row],[Emols.]]-AA_Jan1[[#This Row],[Comissão]]</f>
        <v>0</v>
      </c>
      <c r="AH21" s="83">
        <f>VLOOKUP($AE$29,Meta!$Q$3:$R$16,2,FALSE)*AD21</f>
        <v>0</v>
      </c>
      <c r="AI21" s="83">
        <f>AA_Jan1[[#This Row],[Total Nota]]-AA_Jan1[[#This Row],[Comissão]]</f>
        <v>0</v>
      </c>
      <c r="AJ21" s="42"/>
      <c r="AK21" s="324"/>
      <c r="AL21" s="494" t="str">
        <f>IF(AND(AA_Jan1[[#This Row],[Total Nota]]&lt;&gt;"",AA_Jan1[[#This Row],[ITBI/ITCMD]]="",AA_Jan1[[#This Row],[Total Nota]]-IFERROR(VLOOKUP(AA_Jan1[[#This Row],[Emols.]],Meta!$AK$3:$AN$256,2,FALSE),0)&lt;&gt;0),TEXT(IFERROR(AA_Jan1[[#This Row],[Total Nota]]-VLOOKUP(AA_Jan1[[#This Row],[Emols.]],Meta!$AK$3:$AN$256,2,FALSE),""),"#.##0,00"),"")</f>
        <v/>
      </c>
      <c r="AM21" s="484"/>
      <c r="AN21" s="40"/>
      <c r="AO21" s="325"/>
      <c r="AP21" s="326"/>
      <c r="AQ21" s="85"/>
      <c r="AR21" s="86"/>
      <c r="AS21" s="87" t="str">
        <f>IFERROR(VLOOKUP(BB_Jan1[[#This Row],[Emols.]],Meta!$AK$3:$AN$256,3,FALSE),"")</f>
        <v/>
      </c>
      <c r="AT21" s="325"/>
      <c r="AU21" s="324"/>
      <c r="AV21" s="494" t="str">
        <f>IF(BB_Jan1[[#This Row],[Total Nota]]="",TEXT(IFERROR(VLOOKUP(BB_Jan1[[#This Row],[Emols.]],Meta!$AK$3:$AN$256,2,FALSE)+BB_Jan1[[#This Row],[ITBI/ITCMD]],""),"#.##0,00"),"")</f>
        <v/>
      </c>
      <c r="AW21" s="482">
        <f>BB_Jan1[[#This Row],[Emols.]]-BB_Jan1[[#This Row],[Comissão]]</f>
        <v>0</v>
      </c>
      <c r="AX21" s="83">
        <f>VLOOKUP($AU$29,Meta!$Q$3:$R$16,2,FALSE)*AT21</f>
        <v>0</v>
      </c>
      <c r="AY21" s="83">
        <f>BB_Jan1[[#This Row],[Total Nota]]-BB_Jan1[[#This Row],[Comissão]]</f>
        <v>0</v>
      </c>
      <c r="AZ21" s="43"/>
      <c r="BA21" s="324"/>
      <c r="BB21" s="494" t="str">
        <f>IF(AND(BB_Jan1[[#This Row],[Total Nota]]&lt;&gt;"",BB_Jan1[[#This Row],[ITBI/ITCMD]]="",BB_Jan1[[#This Row],[Total Nota]]-IFERROR(VLOOKUP(BB_Jan1[[#This Row],[Emols.]],Meta!$AK$3:$AN$256,2,FALSE),0)&lt;&gt;0),TEXT(IFERROR(BB_Jan1[[#This Row],[Total Nota]]-VLOOKUP(BB_Jan1[[#This Row],[Emols.]],Meta!$AK$3:$AN$256,2,FALSE),""),"#.##0,00"),"")</f>
        <v/>
      </c>
      <c r="BC21" s="484"/>
      <c r="BD21" s="41"/>
      <c r="BE21" s="325"/>
      <c r="BF21" s="326"/>
      <c r="BG21" s="89"/>
      <c r="BH21" s="86"/>
      <c r="BI21" s="90" t="str">
        <f>IFERROR(VLOOKUP(CC_Jan1[[#This Row],[Emols.]],Meta!$AK$3:$AN$256,3,FALSE),"")</f>
        <v/>
      </c>
      <c r="BJ21" s="325"/>
      <c r="BK21" s="324"/>
      <c r="BL21" s="494" t="str">
        <f>IF(CC_Jan1[[#This Row],[Total Nota]]="",TEXT(IFERROR(VLOOKUP(CC_Jan1[[#This Row],[Emols.]],Meta!$AK$3:$AN$256,2,FALSE)+CC_Jan1[[#This Row],[ITBI/ITCMD]],""),"#.##0,00"),"")</f>
        <v/>
      </c>
      <c r="BM21" s="482">
        <f>CC_Jan1[[#This Row],[Emols.]]-CC_Jan1[[#This Row],[Comissão]]</f>
        <v>0</v>
      </c>
      <c r="BN21" s="83">
        <f>VLOOKUP($BK$29,Meta!$Q$3:$R$16,2,FALSE)*BJ21</f>
        <v>0</v>
      </c>
      <c r="BO21" s="83">
        <f>CC_Jan1[[#This Row],[Total Nota]]-CC_Jan1[[#This Row],[Comissão]]</f>
        <v>0</v>
      </c>
      <c r="BP21" s="44"/>
      <c r="BQ21" s="324"/>
      <c r="BR21" s="494" t="str">
        <f>IF(AND(CC_Jan1[[#This Row],[Total Nota]]&lt;&gt;"",CC_Jan1[[#This Row],[ITBI/ITCMD]]="",CC_Jan1[[#This Row],[Total Nota]]-IFERROR(VLOOKUP(CC_Jan1[[#This Row],[Emols.]],Meta!$AK$3:$AN$256,2,FALSE),0)&lt;&gt;0),TEXT(IFERROR(CC_Jan1[[#This Row],[Total Nota]]-VLOOKUP(CC_Jan1[[#This Row],[Emols.]],Meta!$AK$3:$AN$256,2,FALSE),""),"#.##0,00"),"")</f>
        <v/>
      </c>
      <c r="BS21" s="484"/>
      <c r="BT21" s="47"/>
      <c r="BU21" s="325"/>
      <c r="BV21" s="326"/>
      <c r="BW21" s="91"/>
      <c r="BX21" s="86"/>
      <c r="BY21" s="92" t="str">
        <f>IFERROR(VLOOKUP(DD_Jan1[[#This Row],[Emols.]],Meta!$AK$3:$AN$256,3,FALSE),"")</f>
        <v/>
      </c>
      <c r="BZ21" s="325"/>
      <c r="CA21" s="324"/>
      <c r="CB21" s="494" t="str">
        <f>IF(DD_Jan1[[#This Row],[Total Nota]]="",TEXT(IFERROR(VLOOKUP(DD_Jan1[[#This Row],[Emols.]],Meta!$AK$3:$AN$256,2,FALSE)+DD_Jan1[[#This Row],[ITBI/ITCMD]],""),"#.##0,00"),"")</f>
        <v/>
      </c>
      <c r="CC21" s="482">
        <f>DD_Jan1[[#This Row],[Emols.]]-DD_Jan1[[#This Row],[Comissão]]</f>
        <v>0</v>
      </c>
      <c r="CD21" s="83">
        <f>VLOOKUP($CA$29,Meta!$Q$3:$R$16,2,FALSE)*BZ21</f>
        <v>0</v>
      </c>
      <c r="CE21" s="83">
        <f>DD_Jan1[[#This Row],[Total Nota]]-DD_Jan1[[#This Row],[Comissão]]</f>
        <v>0</v>
      </c>
      <c r="CF21" s="139"/>
      <c r="CG21" s="324"/>
      <c r="CH21" s="494" t="str">
        <f>IF(AND(DD_Jan1[[#This Row],[Total Nota]]&lt;&gt;"",DD_Jan1[[#This Row],[ITBI/ITCMD]]="",DD_Jan1[[#This Row],[Total Nota]]-IFERROR(VLOOKUP(DD_Jan1[[#This Row],[Emols.]],Meta!$AK$3:$AN$256,2,FALSE),0)&lt;&gt;0),TEXT(IFERROR(DD_Jan1[[#This Row],[Total Nota]]-VLOOKUP(DD_Jan1[[#This Row],[Emols.]],Meta!$AK$3:$AN$256,2,FALSE),""),"#.##0,00"),"")</f>
        <v/>
      </c>
      <c r="CI21" s="484"/>
      <c r="CJ21" s="93"/>
      <c r="CK21" s="325"/>
      <c r="CL21" s="326"/>
      <c r="CM21" s="94"/>
      <c r="CN21" s="86"/>
      <c r="CO21" s="95" t="str">
        <f>IFERROR(VLOOKUP(EE_Jan1[[#This Row],[Emols.]],Meta!$AK$3:$AN$256,3,FALSE),"")</f>
        <v/>
      </c>
      <c r="CP21" s="325"/>
      <c r="CQ21" s="324"/>
      <c r="CR21" s="494" t="str">
        <f>IF(EE_Jan1[[#This Row],[Total Nota]]="",TEXT(IFERROR(VLOOKUP(EE_Jan1[[#This Row],[Emols.]],Meta!$AK$3:$AN$256,2,FALSE)+EE_Jan1[[#This Row],[ITBI/ITCMD]],""),"#.##0,00"),"")</f>
        <v/>
      </c>
      <c r="CS21" s="482">
        <f>EE_Jan1[[#This Row],[Emols.]]-EE_Jan1[[#This Row],[Comissão]]</f>
        <v>0</v>
      </c>
      <c r="CT21" s="83">
        <f>VLOOKUP($CQ$29,Meta!$Q$3:$R$16,2,FALSE)*CP21</f>
        <v>0</v>
      </c>
      <c r="CU21" s="83">
        <f>EE_Jan1[[#This Row],[Total Nota]]-EE_Jan1[[#This Row],[Comissão]]</f>
        <v>0</v>
      </c>
      <c r="CV21" s="140"/>
      <c r="CW21" s="324"/>
      <c r="CX21" s="494" t="str">
        <f>IF(AND(EE_Jan1[[#This Row],[Total Nota]]&lt;&gt;"",EE_Jan1[[#This Row],[ITBI/ITCMD]]="",EE_Jan1[[#This Row],[Total Nota]]-IFERROR(VLOOKUP(EE_Jan1[[#This Row],[Emols.]],Meta!$AK$3:$AN$256,2,FALSE),0)&lt;&gt;0),TEXT(IFERROR(EE_Jan1[[#This Row],[Total Nota]]-VLOOKUP(EE_Jan1[[#This Row],[Emols.]],Meta!$AK$3:$AN$256,2,FALSE),""),"#.##0,00"),"")</f>
        <v/>
      </c>
      <c r="CY21" s="484"/>
      <c r="CZ21" s="96"/>
      <c r="DA21" s="325"/>
      <c r="DB21" s="326"/>
      <c r="DC21" s="97"/>
      <c r="DD21" s="86"/>
      <c r="DE21" s="87" t="str">
        <f>IFERROR(VLOOKUP(FF_Jan1[[#This Row],[Emols.]],Meta!$AK$3:$AN$256,3,FALSE),"")</f>
        <v/>
      </c>
      <c r="DF21" s="325"/>
      <c r="DG21" s="324"/>
      <c r="DH21" s="494" t="str">
        <f>IF(FF_Jan1[[#This Row],[Total Nota]]="",TEXT(IFERROR(VLOOKUP(FF_Jan1[[#This Row],[Emols.]],Meta!$AK$3:$AN$256,2,FALSE)+FF_Jan1[[#This Row],[ITBI/ITCMD]],""),"#.##0,00"),"")</f>
        <v/>
      </c>
      <c r="DI21" s="482">
        <f>FF_Jan1[[#This Row],[Emols.]]-FF_Jan1[[#This Row],[Comissão]]</f>
        <v>0</v>
      </c>
      <c r="DJ21" s="83">
        <f>VLOOKUP($DG$29,Meta!$Q$3:$R$16,2,FALSE)*DF21</f>
        <v>0</v>
      </c>
      <c r="DK21" s="83">
        <f>FF_Jan1[[#This Row],[Total Nota]]-FF_Jan1[[#This Row],[Comissão]]</f>
        <v>0</v>
      </c>
      <c r="DL21" s="43"/>
      <c r="DM21" s="324"/>
      <c r="DN21" s="494" t="str">
        <f>IF(AND(FF_Jan1[[#This Row],[Total Nota]]&lt;&gt;"",FF_Jan1[[#This Row],[ITBI/ITCMD]]="",FF_Jan1[[#This Row],[Total Nota]]-IFERROR(VLOOKUP(FF_Jan1[[#This Row],[Emols.]],Meta!$AK$3:$AN$256,2,FALSE),0)&lt;&gt;0),TEXT(IFERROR(FF_Jan1[[#This Row],[Total Nota]]-VLOOKUP(FF_Jan1[[#This Row],[Emols.]],Meta!$AK$3:$AN$256,2,FALSE),""),"#.##0,00"),"")</f>
        <v/>
      </c>
      <c r="DO21" s="484"/>
      <c r="DP21" s="41"/>
      <c r="DQ21" s="325"/>
      <c r="DR21" s="326"/>
      <c r="DS21" s="98"/>
      <c r="DT21" s="73"/>
      <c r="DU21" s="99" t="str">
        <f>IFERROR(VLOOKUP(GG_Jan1[[#This Row],[Emols.]],Meta!$AK$3:$AN$256,3,FALSE),"")</f>
        <v/>
      </c>
      <c r="DV21" s="330"/>
      <c r="DW21" s="332"/>
      <c r="DX21" s="494" t="str">
        <f>IF(GG_Jan1[[#This Row],[Total Nota]]="",TEXT(IFERROR(VLOOKUP(GG_Jan1[[#This Row],[Emols.]],Meta!$AK$3:$AN$256,2,FALSE)+GG_Jan1[[#This Row],[ITBI/ITCMD]],""),"#.##0,00"),"")</f>
        <v/>
      </c>
      <c r="DY21" s="485">
        <f>GG_Jan1[[#This Row],[Emols.]]-GG_Jan1[[#This Row],[Comissão]]</f>
        <v>0</v>
      </c>
      <c r="DZ21" s="101">
        <f>VLOOKUP($DW$29,Meta!$Q$3:$R$16,2,FALSE)*DV21</f>
        <v>0</v>
      </c>
      <c r="EA21" s="101">
        <f>GG_Jan1[[#This Row],[Total Nota]]-GG_Jan1[[#This Row],[Comissão]]</f>
        <v>0</v>
      </c>
      <c r="EB21" s="132"/>
      <c r="EC21" s="332"/>
      <c r="ED21" s="494" t="str">
        <f>IF(AND(GG_Jan1[[#This Row],[Total Nota]]&lt;&gt;"",GG_Jan1[[#This Row],[ITBI/ITCMD]]="",GG_Jan1[[#This Row],[Total Nota]]-IFERROR(VLOOKUP(GG_Jan1[[#This Row],[Emols.]],Meta!$AK$3:$AN$256,2,FALSE),0)&lt;&gt;0),TEXT(IFERROR(GG_Jan1[[#This Row],[Total Nota]]-VLOOKUP(GG_Jan1[[#This Row],[Emols.]],Meta!$AK$3:$AN$256,2,FALSE),""),"#.##0,00"),"")</f>
        <v/>
      </c>
      <c r="EE21" s="487"/>
      <c r="EF21" s="102"/>
      <c r="EG21" s="330"/>
      <c r="EH21" s="326"/>
      <c r="EI21" s="104"/>
      <c r="EJ21" s="73"/>
      <c r="EK21" s="99" t="str">
        <f>IFERROR(VLOOKUP(HH_Jan1[[#This Row],[Emols.]],Meta!$AK$3:$AN$256,3,FALSE),"")</f>
        <v/>
      </c>
      <c r="EL21" s="330"/>
      <c r="EM21" s="332"/>
      <c r="EN21" s="494" t="str">
        <f>IF(HH_Jan1[[#This Row],[Total Nota]]="",TEXT(IFERROR(VLOOKUP(HH_Jan1[[#This Row],[Emols.]],Meta!$AK$3:$AN$256,2,FALSE)+HH_Jan1[[#This Row],[ITBI/ITCMD]],""),"#.##0,00"),"")</f>
        <v/>
      </c>
      <c r="EO21" s="485">
        <f>HH_Jan1[[#This Row],[Emols.]]-HH_Jan1[[#This Row],[Comissão]]</f>
        <v>0</v>
      </c>
      <c r="EP21" s="101">
        <f>VLOOKUP($EM$29,Meta!$Q$3:$R$16,2,FALSE)*EL21</f>
        <v>0</v>
      </c>
      <c r="EQ21" s="101">
        <f>HH_Jan1[[#This Row],[Total Nota]]-HH_Jan1[[#This Row],[Comissão]]</f>
        <v>0</v>
      </c>
      <c r="ER21" s="132"/>
      <c r="ES21" s="332"/>
      <c r="ET21" s="494" t="str">
        <f>IF(AND(HH_Jan1[[#This Row],[Total Nota]]&lt;&gt;"",HH_Jan1[[#This Row],[ITBI/ITCMD]]="",HH_Jan1[[#This Row],[Total Nota]]-IFERROR(VLOOKUP(HH_Jan1[[#This Row],[Emols.]],Meta!$AK$3:$AN$256,2,FALSE),0)&lt;&gt;0),TEXT(IFERROR(HH_Jan1[[#This Row],[Total Nota]]-VLOOKUP(HH_Jan1[[#This Row],[Emols.]],Meta!$AK$3:$AN$256,2,FALSE),""),"#.##0,00"),"")</f>
        <v/>
      </c>
      <c r="EU21" s="487"/>
      <c r="EV21" s="102"/>
      <c r="EW21" s="330"/>
      <c r="EX21" s="326"/>
      <c r="EY21" s="104"/>
      <c r="EZ21" s="73"/>
      <c r="FA21" s="99" t="str">
        <f>IFERROR(VLOOKUP(II_Jan1[[#This Row],[Emols.]],Meta!$AK$3:$AN$256,3,FALSE),"")</f>
        <v/>
      </c>
      <c r="FB21" s="330"/>
      <c r="FC21" s="332"/>
      <c r="FD21" s="494" t="str">
        <f>IF(II_Jan1[[#This Row],[Total Nota]]="",TEXT(IFERROR(VLOOKUP(II_Jan1[[#This Row],[Emols.]],Meta!$AK$3:$AN$256,2,FALSE)+II_Jan1[[#This Row],[ITBI/ITCMD]],""),"#.##0,00"),"")</f>
        <v/>
      </c>
      <c r="FE21" s="485">
        <f>II_Jan1[[#This Row],[Emols.]]-II_Jan1[[#This Row],[Comissão]]</f>
        <v>0</v>
      </c>
      <c r="FF21" s="101">
        <f>VLOOKUP($FC$29,Meta!$Q$3:$R$16,2,FALSE)*FB21</f>
        <v>0</v>
      </c>
      <c r="FG21" s="101">
        <f>II_Jan1[[#This Row],[Total Nota]]-II_Jan1[[#This Row],[Comissão]]</f>
        <v>0</v>
      </c>
      <c r="FH21" s="132"/>
      <c r="FI21" s="332"/>
      <c r="FJ21" s="494" t="str">
        <f>IF(AND(II_Jan1[[#This Row],[Total Nota]]&lt;&gt;"",II_Jan1[[#This Row],[ITBI/ITCMD]]="",II_Jan1[[#This Row],[Total Nota]]-IFERROR(VLOOKUP(II_Jan1[[#This Row],[Emols.]],Meta!$AK$3:$AN$256,2,FALSE),0)&lt;&gt;0),TEXT(IFERROR(II_Jan1[[#This Row],[Total Nota]]-VLOOKUP(II_Jan1[[#This Row],[Emols.]],Meta!$AK$3:$AN$256,2,FALSE),""),"#.##0,00"),"")</f>
        <v/>
      </c>
      <c r="FK21" s="487"/>
      <c r="FL21" s="102"/>
      <c r="FM21" s="330"/>
      <c r="FN21" s="326"/>
      <c r="FO21" s="104"/>
      <c r="FP21" s="73"/>
      <c r="FQ21" s="99" t="str">
        <f>IFERROR(VLOOKUP(JJ_Jan1[[#This Row],[Emols.]],Meta!$AK$3:$AN$256,3,FALSE),"")</f>
        <v/>
      </c>
      <c r="FR21" s="330"/>
      <c r="FS21" s="332"/>
      <c r="FT21" s="494" t="str">
        <f>IF(JJ_Jan1[[#This Row],[Total Nota]]="",TEXT(IFERROR(VLOOKUP(JJ_Jan1[[#This Row],[Emols.]],Meta!$AK$3:$AN$256,2,FALSE)+JJ_Jan1[[#This Row],[ITBI/ITCMD]],""),"#.##0,00"),"")</f>
        <v/>
      </c>
      <c r="FU21" s="485">
        <f>JJ_Jan1[[#This Row],[Emols.]]-JJ_Jan1[[#This Row],[Comissão]]</f>
        <v>0</v>
      </c>
      <c r="FV21" s="101">
        <f>VLOOKUP($FS$29,Meta!$Q$3:$R$16,2,FALSE)*FR21</f>
        <v>0</v>
      </c>
      <c r="FW21" s="101">
        <f>JJ_Jan1[[#This Row],[Total Nota]]-JJ_Jan1[[#This Row],[Comissão]]</f>
        <v>0</v>
      </c>
      <c r="FX21" s="132"/>
      <c r="FY21" s="332"/>
      <c r="FZ21" s="494" t="str">
        <f>IF(AND(JJ_Jan1[[#This Row],[Total Nota]]&lt;&gt;"",JJ_Jan1[[#This Row],[ITBI/ITCMD]]="",JJ_Jan1[[#This Row],[Total Nota]]-IFERROR(VLOOKUP(JJ_Jan1[[#This Row],[Emols.]],Meta!$AK$3:$AN$256,2,FALSE),0)&lt;&gt;0),TEXT(IFERROR(JJ_Jan1[[#This Row],[Total Nota]]-VLOOKUP(JJ_Jan1[[#This Row],[Emols.]],Meta!$AK$3:$AN$256,2,FALSE),""),"#.##0,00"),"")</f>
        <v/>
      </c>
      <c r="GA21" s="487"/>
      <c r="GB21" s="102"/>
      <c r="GC21" s="330"/>
      <c r="GD21" s="326"/>
      <c r="GE21" s="104"/>
      <c r="GF21" s="73"/>
      <c r="GG21" s="99" t="str">
        <f>IFERROR(VLOOKUP(KK_Jan1[[#This Row],[Emols.]],Meta!$AK$3:$AN$256,3,FALSE),"")</f>
        <v/>
      </c>
      <c r="GH21" s="330"/>
      <c r="GI21" s="332"/>
      <c r="GJ21" s="494" t="str">
        <f>IF(KK_Jan1[[#This Row],[Total Nota]]="",TEXT(IFERROR(VLOOKUP(KK_Jan1[[#This Row],[Emols.]],Meta!$AK$3:$AN$256,2,FALSE)+KK_Jan1[[#This Row],[ITBI/ITCMD]],""),"#.##0,00"),"")</f>
        <v/>
      </c>
      <c r="GK21" s="485">
        <f>KK_Jan1[[#This Row],[Emols.]]-KK_Jan1[[#This Row],[Comissão]]</f>
        <v>0</v>
      </c>
      <c r="GL21" s="101">
        <f>VLOOKUP($GI$29,Meta!$Q$3:$R$16,2,FALSE)*GH21</f>
        <v>0</v>
      </c>
      <c r="GM21" s="101">
        <f>KK_Jan1[[#This Row],[Total Nota]]-KK_Jan1[[#This Row],[Comissão]]</f>
        <v>0</v>
      </c>
      <c r="GN21" s="132"/>
      <c r="GO21" s="332"/>
      <c r="GP21" s="494" t="str">
        <f>IF(AND(KK_Jan1[[#This Row],[Total Nota]]&lt;&gt;"",KK_Jan1[[#This Row],[ITBI/ITCMD]]="",KK_Jan1[[#This Row],[Total Nota]]-IFERROR(VLOOKUP(KK_Jan1[[#This Row],[Emols.]],Meta!$AK$3:$AN$256,2,FALSE),0)&lt;&gt;0),TEXT(IFERROR(KK_Jan1[[#This Row],[Total Nota]]-VLOOKUP(KK_Jan1[[#This Row],[Emols.]],Meta!$AK$3:$AN$256,2,FALSE),""),"#.##0,00"),"")</f>
        <v/>
      </c>
      <c r="GQ21" s="487"/>
      <c r="GR21" s="102"/>
      <c r="GS21" s="330"/>
      <c r="GT21" s="326"/>
      <c r="GU21" s="104"/>
      <c r="GV21" s="73"/>
      <c r="GW21" s="99" t="str">
        <f>IFERROR(VLOOKUP(LL_Jan1[[#This Row],[Emols.]],Meta!$AK$3:$AN$256,3,FALSE),"")</f>
        <v/>
      </c>
      <c r="GX21" s="330"/>
      <c r="GY21" s="332"/>
      <c r="GZ21" s="494" t="str">
        <f>IF(LL_Jan1[[#This Row],[Total Nota]]="",TEXT(IFERROR(VLOOKUP(LL_Jan1[[#This Row],[Emols.]],Meta!$AK$3:$AN$256,2,FALSE)+LL_Jan1[[#This Row],[ITBI/ITCMD]],""),"#.##0,00"),"")</f>
        <v/>
      </c>
      <c r="HA21" s="485">
        <f>LL_Jan1[[#This Row],[Emols.]]-LL_Jan1[[#This Row],[Comissão]]</f>
        <v>0</v>
      </c>
      <c r="HB21" s="101">
        <f>VLOOKUP($GY$29,Meta!$Q$3:$R$16,2,FALSE)*GX21</f>
        <v>0</v>
      </c>
      <c r="HC21" s="101">
        <f>LL_Jan1[[#This Row],[Total Nota]]-LL_Jan1[[#This Row],[Comissão]]</f>
        <v>0</v>
      </c>
      <c r="HD21" s="132"/>
      <c r="HE21" s="332"/>
      <c r="HF21" s="494" t="str">
        <f>IF(AND(LL_Jan1[[#This Row],[Total Nota]]&lt;&gt;"",LL_Jan1[[#This Row],[ITBI/ITCMD]]="",LL_Jan1[[#This Row],[Total Nota]]-IFERROR(VLOOKUP(LL_Jan1[[#This Row],[Emols.]],Meta!$AK$3:$AN$256,2,FALSE),0)&lt;&gt;0),TEXT(IFERROR(LL_Jan1[[#This Row],[Total Nota]]-VLOOKUP(LL_Jan1[[#This Row],[Emols.]],Meta!$AK$3:$AN$256,2,FALSE),""),"#.##0,00"),"")</f>
        <v/>
      </c>
      <c r="HG21" s="487"/>
      <c r="HH21" s="102"/>
      <c r="HI21" s="330"/>
      <c r="HJ21" s="326"/>
      <c r="HK21" s="104"/>
      <c r="HL21" s="105"/>
    </row>
    <row r="22" spans="1:220" ht="14.45" customHeight="1" x14ac:dyDescent="0.25">
      <c r="A22" s="184"/>
      <c r="B22" s="539" t="str">
        <f>IF(DI29=Meta!$D$3,Meta!$Q$8,"")</f>
        <v>Fernando</v>
      </c>
      <c r="C22" s="539"/>
      <c r="D22" s="539"/>
      <c r="E22" s="539"/>
      <c r="F22" s="539"/>
      <c r="G22" s="539"/>
      <c r="H22" s="539"/>
      <c r="I22" s="546"/>
      <c r="J22" s="549">
        <f>IF(DI29=Meta!$D$3,Y22-Z22,"")</f>
        <v>0</v>
      </c>
      <c r="K22" s="176" t="str">
        <f t="shared" si="3"/>
        <v/>
      </c>
      <c r="L22" s="500" t="str">
        <f t="shared" si="4"/>
        <v/>
      </c>
      <c r="M22" s="524" t="str">
        <f t="shared" si="5"/>
        <v/>
      </c>
      <c r="N22" s="508"/>
      <c r="O22" s="535"/>
      <c r="P22" s="206" t="str">
        <f>IF(DI29=Meta!$D$3,Meta!$Q$8,"")</f>
        <v>Fernando</v>
      </c>
      <c r="Q22" s="178">
        <f>IF(DI29=Meta!$D$3,-($S22-$R22),"")</f>
        <v>0</v>
      </c>
      <c r="R22" s="179">
        <f>IF(DI29=Meta!$D$3,ROUND($Q7*VLOOKUP($Q15,Meta!$E$3:$F$4,2,FALSE)+R7*VLOOKUP($R15,Meta!$E$3:$F$4,2,FALSE)+S7*VLOOKUP($S15,Meta!$E$3:$F$4,2,FALSE)+T7*VLOOKUP($T15,Meta!$E$3:$F$4,2,FALSE)+U7*VLOOKUP($U15,Meta!$E$3:$F$4,2,FALSE)+V7*VLOOKUP($V15,Meta!$E$3:$F$4,2,FALSE)+W7*VLOOKUP($W15,Meta!$E$3:$F$4,2,FALSE)+X7*VLOOKUP($X15,Meta!$E$3:$F$4,2,FALSE)+Y7*VLOOKUP($Y15,Meta!$E$3:$F$4,2,FALSE),2),"")</f>
        <v>0</v>
      </c>
      <c r="S22" s="180">
        <f>IF(DI29=Meta!$D$3,FF_Jan1[[#Totals],[A Receber]]*VLOOKUP(DI29,Meta!$D$3:$F$4,3,FALSE),"")</f>
        <v>0</v>
      </c>
      <c r="T22" s="179">
        <f>IF(DI29=Meta!$D$3,$Z7-$R22,"")</f>
        <v>0</v>
      </c>
      <c r="U22" s="181">
        <f>IF(DI29=Meta!$D$3,IF(Q22&lt;0,Q22+T22,-1*(DQ29+Q22)),"")</f>
        <v>0</v>
      </c>
      <c r="V22" s="182">
        <f>IF(DI29=Meta!$D$3,SUMIF(FF_Jan1[[ ]],"",FF_Jan1[ITBI/ITCMD]),"")</f>
        <v>0</v>
      </c>
      <c r="W22" s="179">
        <f>IF(DI29=Meta!$D$3,SUMIF(FF_Jan1[[ ]],Meta!$AA$4,FF_Jan1[ITBI/ITCMD]),"")</f>
        <v>0</v>
      </c>
      <c r="X22" s="179">
        <f>IF(DI29=Meta!$D$3,SUMIF(FF_Jan1[[ ]],Meta!$AA$3,FF_Jan1[ITBI/ITCMD]),"")</f>
        <v>0</v>
      </c>
      <c r="Y22" s="180">
        <f>IF(DI29=Meta!$D$3,SUM($V22:$X22),"")</f>
        <v>0</v>
      </c>
      <c r="Z22" s="183">
        <f>IF(DI29=Meta!$D$3,$Y22-$V22*VLOOKUP($V30,Meta!$E$2:$F$4,2,FALSE)-$W22*VLOOKUP($W30,Meta!$E$2:$F$4,2,FALSE)-$X22*VLOOKUP($X30,Meta!$E$2:$F$4,2,FALSE),"")</f>
        <v>0</v>
      </c>
      <c r="AA22" s="175"/>
      <c r="AB22" s="73"/>
      <c r="AC22" s="81" t="str">
        <f>IFERROR(VLOOKUP(AA_Jan1[[#This Row],[Emols.]],Meta!$AK$3:$AN$256,3,FALSE),"")</f>
        <v/>
      </c>
      <c r="AD22" s="325"/>
      <c r="AE22" s="489"/>
      <c r="AF22" s="494" t="str">
        <f>IF(AA_Jan1[[#This Row],[Total Nota]]="",TEXT(IFERROR(VLOOKUP(AA_Jan1[[#This Row],[Emols.]],Meta!$AK$3:$AN$256,2,FALSE)+AA_Jan1[[#This Row],[ITBI/ITCMD]],""),"#.##0,00"),"")</f>
        <v/>
      </c>
      <c r="AG22" s="482">
        <f>AA_Jan1[[#This Row],[Emols.]]-AA_Jan1[[#This Row],[Comissão]]</f>
        <v>0</v>
      </c>
      <c r="AH22" s="83">
        <f>VLOOKUP($AE$29,Meta!$Q$3:$R$16,2,FALSE)*AD22</f>
        <v>0</v>
      </c>
      <c r="AI22" s="83">
        <f>AA_Jan1[[#This Row],[Total Nota]]-AA_Jan1[[#This Row],[Comissão]]</f>
        <v>0</v>
      </c>
      <c r="AJ22" s="42"/>
      <c r="AK22" s="489"/>
      <c r="AL22" s="494" t="str">
        <f>IF(AND(AA_Jan1[[#This Row],[Total Nota]]&lt;&gt;"",AA_Jan1[[#This Row],[ITBI/ITCMD]]="",AA_Jan1[[#This Row],[Total Nota]]-IFERROR(VLOOKUP(AA_Jan1[[#This Row],[Emols.]],Meta!$AK$3:$AN$256,2,FALSE),0)&lt;&gt;0),TEXT(IFERROR(AA_Jan1[[#This Row],[Total Nota]]-VLOOKUP(AA_Jan1[[#This Row],[Emols.]],Meta!$AK$3:$AN$256,2,FALSE),""),"#.##0,00"),"")</f>
        <v/>
      </c>
      <c r="AM22" s="484"/>
      <c r="AN22" s="40"/>
      <c r="AO22" s="325"/>
      <c r="AP22" s="326"/>
      <c r="AQ22" s="85"/>
      <c r="AR22" s="86"/>
      <c r="AS22" s="87" t="str">
        <f>IFERROR(VLOOKUP(BB_Jan1[[#This Row],[Emols.]],Meta!$AK$3:$AN$256,3,FALSE),"")</f>
        <v/>
      </c>
      <c r="AT22" s="325"/>
      <c r="AU22" s="489"/>
      <c r="AV22" s="494" t="str">
        <f>IF(BB_Jan1[[#This Row],[Total Nota]]="",TEXT(IFERROR(VLOOKUP(BB_Jan1[[#This Row],[Emols.]],Meta!$AK$3:$AN$256,2,FALSE)+BB_Jan1[[#This Row],[ITBI/ITCMD]],""),"#.##0,00"),"")</f>
        <v/>
      </c>
      <c r="AW22" s="482">
        <f>BB_Jan1[[#This Row],[Emols.]]-BB_Jan1[[#This Row],[Comissão]]</f>
        <v>0</v>
      </c>
      <c r="AX22" s="83">
        <f>VLOOKUP($AU$29,Meta!$Q$3:$R$16,2,FALSE)*AT22</f>
        <v>0</v>
      </c>
      <c r="AY22" s="83">
        <f>BB_Jan1[[#This Row],[Total Nota]]-BB_Jan1[[#This Row],[Comissão]]</f>
        <v>0</v>
      </c>
      <c r="AZ22" s="43"/>
      <c r="BA22" s="489"/>
      <c r="BB22" s="494" t="str">
        <f>IF(AND(BB_Jan1[[#This Row],[Total Nota]]&lt;&gt;"",BB_Jan1[[#This Row],[ITBI/ITCMD]]="",BB_Jan1[[#This Row],[Total Nota]]-IFERROR(VLOOKUP(BB_Jan1[[#This Row],[Emols.]],Meta!$AK$3:$AN$256,2,FALSE),0)&lt;&gt;0),TEXT(IFERROR(BB_Jan1[[#This Row],[Total Nota]]-VLOOKUP(BB_Jan1[[#This Row],[Emols.]],Meta!$AK$3:$AN$256,2,FALSE),""),"#.##0,00"),"")</f>
        <v/>
      </c>
      <c r="BC22" s="484"/>
      <c r="BD22" s="41"/>
      <c r="BE22" s="325"/>
      <c r="BF22" s="326"/>
      <c r="BG22" s="89"/>
      <c r="BH22" s="86"/>
      <c r="BI22" s="90" t="str">
        <f>IFERROR(VLOOKUP(CC_Jan1[[#This Row],[Emols.]],Meta!$AK$3:$AN$256,3,FALSE),"")</f>
        <v/>
      </c>
      <c r="BJ22" s="325"/>
      <c r="BK22" s="489"/>
      <c r="BL22" s="494" t="str">
        <f>IF(CC_Jan1[[#This Row],[Total Nota]]="",TEXT(IFERROR(VLOOKUP(CC_Jan1[[#This Row],[Emols.]],Meta!$AK$3:$AN$256,2,FALSE)+CC_Jan1[[#This Row],[ITBI/ITCMD]],""),"#.##0,00"),"")</f>
        <v/>
      </c>
      <c r="BM22" s="482">
        <f>CC_Jan1[[#This Row],[Emols.]]-CC_Jan1[[#This Row],[Comissão]]</f>
        <v>0</v>
      </c>
      <c r="BN22" s="83">
        <f>VLOOKUP($BK$29,Meta!$Q$3:$R$16,2,FALSE)*BJ22</f>
        <v>0</v>
      </c>
      <c r="BO22" s="83">
        <f>CC_Jan1[[#This Row],[Total Nota]]-CC_Jan1[[#This Row],[Comissão]]</f>
        <v>0</v>
      </c>
      <c r="BP22" s="44"/>
      <c r="BQ22" s="324"/>
      <c r="BR22" s="493" t="str">
        <f>IF(AND(CC_Jan1[[#This Row],[Total Nota]]&lt;&gt;"",CC_Jan1[[#This Row],[ITBI/ITCMD]]="",CC_Jan1[[#This Row],[Total Nota]]-IFERROR(VLOOKUP(CC_Jan1[[#This Row],[Emols.]],Meta!$AK$3:$AN$256,2,FALSE),0)&lt;&gt;0),TEXT(IFERROR(CC_Jan1[[#This Row],[Total Nota]]-VLOOKUP(CC_Jan1[[#This Row],[Emols.]],Meta!$AK$3:$AN$256,2,FALSE),""),"#.##0,00"),"")</f>
        <v/>
      </c>
      <c r="BS22" s="484"/>
      <c r="BT22" s="47"/>
      <c r="BU22" s="325"/>
      <c r="BV22" s="326"/>
      <c r="BW22" s="91"/>
      <c r="BX22" s="86"/>
      <c r="BY22" s="92" t="str">
        <f>IFERROR(VLOOKUP(DD_Jan1[[#This Row],[Emols.]],Meta!$AK$3:$AN$256,3,FALSE),"")</f>
        <v/>
      </c>
      <c r="BZ22" s="325"/>
      <c r="CA22" s="489"/>
      <c r="CB22" s="494" t="str">
        <f>IF(DD_Jan1[[#This Row],[Total Nota]]="",TEXT(IFERROR(VLOOKUP(DD_Jan1[[#This Row],[Emols.]],Meta!$AK$3:$AN$256,2,FALSE)+DD_Jan1[[#This Row],[ITBI/ITCMD]],""),"#.##0,00"),"")</f>
        <v/>
      </c>
      <c r="CC22" s="482">
        <f>DD_Jan1[[#This Row],[Emols.]]-DD_Jan1[[#This Row],[Comissão]]</f>
        <v>0</v>
      </c>
      <c r="CD22" s="83">
        <f>VLOOKUP($CA$29,Meta!$Q$3:$R$16,2,FALSE)*BZ22</f>
        <v>0</v>
      </c>
      <c r="CE22" s="83">
        <f>DD_Jan1[[#This Row],[Total Nota]]-DD_Jan1[[#This Row],[Comissão]]</f>
        <v>0</v>
      </c>
      <c r="CF22" s="139"/>
      <c r="CG22" s="324"/>
      <c r="CH22" s="493" t="str">
        <f>IF(AND(DD_Jan1[[#This Row],[Total Nota]]&lt;&gt;"",DD_Jan1[[#This Row],[ITBI/ITCMD]]="",DD_Jan1[[#This Row],[Total Nota]]-IFERROR(VLOOKUP(DD_Jan1[[#This Row],[Emols.]],Meta!$AK$3:$AN$256,2,FALSE),0)&lt;&gt;0),TEXT(IFERROR(DD_Jan1[[#This Row],[Total Nota]]-VLOOKUP(DD_Jan1[[#This Row],[Emols.]],Meta!$AK$3:$AN$256,2,FALSE),""),"#.##0,00"),"")</f>
        <v/>
      </c>
      <c r="CI22" s="484"/>
      <c r="CJ22" s="93"/>
      <c r="CK22" s="325"/>
      <c r="CL22" s="326"/>
      <c r="CM22" s="94"/>
      <c r="CN22" s="86"/>
      <c r="CO22" s="95" t="str">
        <f>IFERROR(VLOOKUP(EE_Jan1[[#This Row],[Emols.]],Meta!$AK$3:$AN$256,3,FALSE),"")</f>
        <v/>
      </c>
      <c r="CP22" s="325"/>
      <c r="CQ22" s="324"/>
      <c r="CR22" s="493" t="str">
        <f>IF(EE_Jan1[[#This Row],[Total Nota]]="",TEXT(IFERROR(VLOOKUP(EE_Jan1[[#This Row],[Emols.]],Meta!$AK$3:$AN$256,2,FALSE)+EE_Jan1[[#This Row],[ITBI/ITCMD]],""),"#.##0,00"),"")</f>
        <v/>
      </c>
      <c r="CS22" s="482">
        <f>EE_Jan1[[#This Row],[Emols.]]-EE_Jan1[[#This Row],[Comissão]]</f>
        <v>0</v>
      </c>
      <c r="CT22" s="83">
        <f>VLOOKUP($CQ$29,Meta!$Q$3:$R$16,2,FALSE)*CP22</f>
        <v>0</v>
      </c>
      <c r="CU22" s="83">
        <f>EE_Jan1[[#This Row],[Total Nota]]-EE_Jan1[[#This Row],[Comissão]]</f>
        <v>0</v>
      </c>
      <c r="CV22" s="140"/>
      <c r="CW22" s="324"/>
      <c r="CX22" s="493" t="str">
        <f>IF(AND(EE_Jan1[[#This Row],[Total Nota]]&lt;&gt;"",EE_Jan1[[#This Row],[ITBI/ITCMD]]="",EE_Jan1[[#This Row],[Total Nota]]-IFERROR(VLOOKUP(EE_Jan1[[#This Row],[Emols.]],Meta!$AK$3:$AN$256,2,FALSE),0)&lt;&gt;0),TEXT(IFERROR(EE_Jan1[[#This Row],[Total Nota]]-VLOOKUP(EE_Jan1[[#This Row],[Emols.]],Meta!$AK$3:$AN$256,2,FALSE),""),"#.##0,00"),"")</f>
        <v/>
      </c>
      <c r="CY22" s="484"/>
      <c r="CZ22" s="96"/>
      <c r="DA22" s="325"/>
      <c r="DB22" s="326"/>
      <c r="DC22" s="97"/>
      <c r="DD22" s="86"/>
      <c r="DE22" s="87" t="str">
        <f>IFERROR(VLOOKUP(FF_Jan1[[#This Row],[Emols.]],Meta!$AK$3:$AN$256,3,FALSE),"")</f>
        <v/>
      </c>
      <c r="DF22" s="325"/>
      <c r="DG22" s="489"/>
      <c r="DH22" s="494" t="str">
        <f>IF(FF_Jan1[[#This Row],[Total Nota]]="",TEXT(IFERROR(VLOOKUP(FF_Jan1[[#This Row],[Emols.]],Meta!$AK$3:$AN$256,2,FALSE)+FF_Jan1[[#This Row],[ITBI/ITCMD]],""),"#.##0,00"),"")</f>
        <v/>
      </c>
      <c r="DI22" s="482">
        <f>FF_Jan1[[#This Row],[Emols.]]-FF_Jan1[[#This Row],[Comissão]]</f>
        <v>0</v>
      </c>
      <c r="DJ22" s="83">
        <f>VLOOKUP($DG$29,Meta!$Q$3:$R$16,2,FALSE)*DF22</f>
        <v>0</v>
      </c>
      <c r="DK22" s="83">
        <f>FF_Jan1[[#This Row],[Total Nota]]-FF_Jan1[[#This Row],[Comissão]]</f>
        <v>0</v>
      </c>
      <c r="DL22" s="43"/>
      <c r="DM22" s="324"/>
      <c r="DN22" s="493" t="str">
        <f>IF(AND(FF_Jan1[[#This Row],[Total Nota]]&lt;&gt;"",FF_Jan1[[#This Row],[ITBI/ITCMD]]="",FF_Jan1[[#This Row],[Total Nota]]-IFERROR(VLOOKUP(FF_Jan1[[#This Row],[Emols.]],Meta!$AK$3:$AN$256,2,FALSE),0)&lt;&gt;0),TEXT(IFERROR(FF_Jan1[[#This Row],[Total Nota]]-VLOOKUP(FF_Jan1[[#This Row],[Emols.]],Meta!$AK$3:$AN$256,2,FALSE),""),"#.##0,00"),"")</f>
        <v/>
      </c>
      <c r="DO22" s="484"/>
      <c r="DP22" s="41"/>
      <c r="DQ22" s="325"/>
      <c r="DR22" s="326"/>
      <c r="DS22" s="98"/>
      <c r="DT22" s="73"/>
      <c r="DU22" s="99" t="str">
        <f>IFERROR(VLOOKUP(GG_Jan1[[#This Row],[Emols.]],Meta!$AK$3:$AN$256,3,FALSE),"")</f>
        <v/>
      </c>
      <c r="DV22" s="330"/>
      <c r="DW22" s="332"/>
      <c r="DX22" s="493" t="str">
        <f>IF(GG_Jan1[[#This Row],[Total Nota]]="",TEXT(IFERROR(VLOOKUP(GG_Jan1[[#This Row],[Emols.]],Meta!$AK$3:$AN$256,2,FALSE)+GG_Jan1[[#This Row],[ITBI/ITCMD]],""),"#.##0,00"),"")</f>
        <v/>
      </c>
      <c r="DY22" s="485">
        <f>GG_Jan1[[#This Row],[Emols.]]-GG_Jan1[[#This Row],[Comissão]]</f>
        <v>0</v>
      </c>
      <c r="DZ22" s="101">
        <f>VLOOKUP($DW$29,Meta!$Q$3:$R$16,2,FALSE)*DV22</f>
        <v>0</v>
      </c>
      <c r="EA22" s="101">
        <f>GG_Jan1[[#This Row],[Total Nota]]-GG_Jan1[[#This Row],[Comissão]]</f>
        <v>0</v>
      </c>
      <c r="EB22" s="132"/>
      <c r="EC22" s="332"/>
      <c r="ED22" s="493" t="str">
        <f>IF(AND(GG_Jan1[[#This Row],[Total Nota]]&lt;&gt;"",GG_Jan1[[#This Row],[ITBI/ITCMD]]="",GG_Jan1[[#This Row],[Total Nota]]-IFERROR(VLOOKUP(GG_Jan1[[#This Row],[Emols.]],Meta!$AK$3:$AN$256,2,FALSE),0)&lt;&gt;0),TEXT(IFERROR(GG_Jan1[[#This Row],[Total Nota]]-VLOOKUP(GG_Jan1[[#This Row],[Emols.]],Meta!$AK$3:$AN$256,2,FALSE),""),"#.##0,00"),"")</f>
        <v/>
      </c>
      <c r="EE22" s="487"/>
      <c r="EF22" s="102"/>
      <c r="EG22" s="330"/>
      <c r="EH22" s="326"/>
      <c r="EI22" s="104"/>
      <c r="EJ22" s="73"/>
      <c r="EK22" s="99" t="str">
        <f>IFERROR(VLOOKUP(HH_Jan1[[#This Row],[Emols.]],Meta!$AK$3:$AN$256,3,FALSE),"")</f>
        <v/>
      </c>
      <c r="EL22" s="330"/>
      <c r="EM22" s="332"/>
      <c r="EN22" s="493" t="str">
        <f>IF(HH_Jan1[[#This Row],[Total Nota]]="",TEXT(IFERROR(VLOOKUP(HH_Jan1[[#This Row],[Emols.]],Meta!$AK$3:$AN$256,2,FALSE)+HH_Jan1[[#This Row],[ITBI/ITCMD]],""),"#.##0,00"),"")</f>
        <v/>
      </c>
      <c r="EO22" s="485">
        <f>HH_Jan1[[#This Row],[Emols.]]-HH_Jan1[[#This Row],[Comissão]]</f>
        <v>0</v>
      </c>
      <c r="EP22" s="101">
        <f>VLOOKUP($EM$29,Meta!$Q$3:$R$16,2,FALSE)*EL22</f>
        <v>0</v>
      </c>
      <c r="EQ22" s="101">
        <f>HH_Jan1[[#This Row],[Total Nota]]-HH_Jan1[[#This Row],[Comissão]]</f>
        <v>0</v>
      </c>
      <c r="ER22" s="132"/>
      <c r="ES22" s="492"/>
      <c r="ET22" s="494" t="str">
        <f>IF(AND(HH_Jan1[[#This Row],[Total Nota]]&lt;&gt;"",HH_Jan1[[#This Row],[ITBI/ITCMD]]="",HH_Jan1[[#This Row],[Total Nota]]-IFERROR(VLOOKUP(HH_Jan1[[#This Row],[Emols.]],Meta!$AK$3:$AN$256,2,FALSE),0)&lt;&gt;0),TEXT(IFERROR(HH_Jan1[[#This Row],[Total Nota]]-VLOOKUP(HH_Jan1[[#This Row],[Emols.]],Meta!$AK$3:$AN$256,2,FALSE),""),"#.##0,00"),"")</f>
        <v/>
      </c>
      <c r="EU22" s="487"/>
      <c r="EV22" s="102"/>
      <c r="EW22" s="330"/>
      <c r="EX22" s="326"/>
      <c r="EY22" s="104"/>
      <c r="EZ22" s="73"/>
      <c r="FA22" s="99" t="str">
        <f>IFERROR(VLOOKUP(II_Jan1[[#This Row],[Emols.]],Meta!$AK$3:$AN$256,3,FALSE),"")</f>
        <v/>
      </c>
      <c r="FB22" s="330"/>
      <c r="FC22" s="332"/>
      <c r="FD22" s="493" t="str">
        <f>IF(II_Jan1[[#This Row],[Total Nota]]="",TEXT(IFERROR(VLOOKUP(II_Jan1[[#This Row],[Emols.]],Meta!$AK$3:$AN$256,2,FALSE)+II_Jan1[[#This Row],[ITBI/ITCMD]],""),"#.##0,00"),"")</f>
        <v/>
      </c>
      <c r="FE22" s="485">
        <f>II_Jan1[[#This Row],[Emols.]]-II_Jan1[[#This Row],[Comissão]]</f>
        <v>0</v>
      </c>
      <c r="FF22" s="101">
        <f>VLOOKUP($FC$29,Meta!$Q$3:$R$16,2,FALSE)*FB22</f>
        <v>0</v>
      </c>
      <c r="FG22" s="101">
        <f>II_Jan1[[#This Row],[Total Nota]]-II_Jan1[[#This Row],[Comissão]]</f>
        <v>0</v>
      </c>
      <c r="FH22" s="132"/>
      <c r="FI22" s="492"/>
      <c r="FJ22" s="494" t="str">
        <f>IF(AND(II_Jan1[[#This Row],[Total Nota]]&lt;&gt;"",II_Jan1[[#This Row],[ITBI/ITCMD]]="",II_Jan1[[#This Row],[Total Nota]]-IFERROR(VLOOKUP(II_Jan1[[#This Row],[Emols.]],Meta!$AK$3:$AN$256,2,FALSE),0)&lt;&gt;0),TEXT(IFERROR(II_Jan1[[#This Row],[Total Nota]]-VLOOKUP(II_Jan1[[#This Row],[Emols.]],Meta!$AK$3:$AN$256,2,FALSE),""),"#.##0,00"),"")</f>
        <v/>
      </c>
      <c r="FK22" s="487"/>
      <c r="FL22" s="102"/>
      <c r="FM22" s="330"/>
      <c r="FN22" s="326"/>
      <c r="FO22" s="104"/>
      <c r="FP22" s="73"/>
      <c r="FQ22" s="99" t="str">
        <f>IFERROR(VLOOKUP(JJ_Jan1[[#This Row],[Emols.]],Meta!$AK$3:$AN$256,3,FALSE),"")</f>
        <v/>
      </c>
      <c r="FR22" s="330"/>
      <c r="FS22" s="492"/>
      <c r="FT22" s="494" t="str">
        <f>IF(JJ_Jan1[[#This Row],[Total Nota]]="",TEXT(IFERROR(VLOOKUP(JJ_Jan1[[#This Row],[Emols.]],Meta!$AK$3:$AN$256,2,FALSE)+JJ_Jan1[[#This Row],[ITBI/ITCMD]],""),"#.##0,00"),"")</f>
        <v/>
      </c>
      <c r="FU22" s="485">
        <f>JJ_Jan1[[#This Row],[Emols.]]-JJ_Jan1[[#This Row],[Comissão]]</f>
        <v>0</v>
      </c>
      <c r="FV22" s="101">
        <f>VLOOKUP($FS$29,Meta!$Q$3:$R$16,2,FALSE)*FR22</f>
        <v>0</v>
      </c>
      <c r="FW22" s="101">
        <f>JJ_Jan1[[#This Row],[Total Nota]]-JJ_Jan1[[#This Row],[Comissão]]</f>
        <v>0</v>
      </c>
      <c r="FX22" s="132"/>
      <c r="FY22" s="332"/>
      <c r="FZ22" s="493" t="str">
        <f>IF(AND(JJ_Jan1[[#This Row],[Total Nota]]&lt;&gt;"",JJ_Jan1[[#This Row],[ITBI/ITCMD]]="",JJ_Jan1[[#This Row],[Total Nota]]-IFERROR(VLOOKUP(JJ_Jan1[[#This Row],[Emols.]],Meta!$AK$3:$AN$256,2,FALSE),0)&lt;&gt;0),TEXT(IFERROR(JJ_Jan1[[#This Row],[Total Nota]]-VLOOKUP(JJ_Jan1[[#This Row],[Emols.]],Meta!$AK$3:$AN$256,2,FALSE),""),"#.##0,00"),"")</f>
        <v/>
      </c>
      <c r="GA22" s="487"/>
      <c r="GB22" s="102"/>
      <c r="GC22" s="330"/>
      <c r="GD22" s="326"/>
      <c r="GE22" s="104"/>
      <c r="GF22" s="73"/>
      <c r="GG22" s="99" t="str">
        <f>IFERROR(VLOOKUP(KK_Jan1[[#This Row],[Emols.]],Meta!$AK$3:$AN$256,3,FALSE),"")</f>
        <v/>
      </c>
      <c r="GH22" s="330"/>
      <c r="GI22" s="492"/>
      <c r="GJ22" s="494" t="str">
        <f>IF(KK_Jan1[[#This Row],[Total Nota]]="",TEXT(IFERROR(VLOOKUP(KK_Jan1[[#This Row],[Emols.]],Meta!$AK$3:$AN$256,2,FALSE)+KK_Jan1[[#This Row],[ITBI/ITCMD]],""),"#.##0,00"),"")</f>
        <v/>
      </c>
      <c r="GK22" s="485">
        <f>KK_Jan1[[#This Row],[Emols.]]-KK_Jan1[[#This Row],[Comissão]]</f>
        <v>0</v>
      </c>
      <c r="GL22" s="101">
        <f>VLOOKUP($GI$29,Meta!$Q$3:$R$16,2,FALSE)*GH22</f>
        <v>0</v>
      </c>
      <c r="GM22" s="101">
        <f>KK_Jan1[[#This Row],[Total Nota]]-KK_Jan1[[#This Row],[Comissão]]</f>
        <v>0</v>
      </c>
      <c r="GN22" s="132"/>
      <c r="GO22" s="332"/>
      <c r="GP22" s="493" t="str">
        <f>IF(AND(KK_Jan1[[#This Row],[Total Nota]]&lt;&gt;"",KK_Jan1[[#This Row],[ITBI/ITCMD]]="",KK_Jan1[[#This Row],[Total Nota]]-IFERROR(VLOOKUP(KK_Jan1[[#This Row],[Emols.]],Meta!$AK$3:$AN$256,2,FALSE),0)&lt;&gt;0),TEXT(IFERROR(KK_Jan1[[#This Row],[Total Nota]]-VLOOKUP(KK_Jan1[[#This Row],[Emols.]],Meta!$AK$3:$AN$256,2,FALSE),""),"#.##0,00"),"")</f>
        <v/>
      </c>
      <c r="GQ22" s="487"/>
      <c r="GR22" s="102"/>
      <c r="GS22" s="330"/>
      <c r="GT22" s="326"/>
      <c r="GU22" s="104"/>
      <c r="GV22" s="73"/>
      <c r="GW22" s="99" t="str">
        <f>IFERROR(VLOOKUP(LL_Jan1[[#This Row],[Emols.]],Meta!$AK$3:$AN$256,3,FALSE),"")</f>
        <v/>
      </c>
      <c r="GX22" s="330"/>
      <c r="GY22" s="332"/>
      <c r="GZ22" s="493" t="str">
        <f>IF(LL_Jan1[[#This Row],[Total Nota]]="",TEXT(IFERROR(VLOOKUP(LL_Jan1[[#This Row],[Emols.]],Meta!$AK$3:$AN$256,2,FALSE)+LL_Jan1[[#This Row],[ITBI/ITCMD]],""),"#.##0,00"),"")</f>
        <v/>
      </c>
      <c r="HA22" s="485">
        <f>LL_Jan1[[#This Row],[Emols.]]-LL_Jan1[[#This Row],[Comissão]]</f>
        <v>0</v>
      </c>
      <c r="HB22" s="101">
        <f>VLOOKUP($GY$29,Meta!$Q$3:$R$16,2,FALSE)*GX22</f>
        <v>0</v>
      </c>
      <c r="HC22" s="101">
        <f>LL_Jan1[[#This Row],[Total Nota]]-LL_Jan1[[#This Row],[Comissão]]</f>
        <v>0</v>
      </c>
      <c r="HD22" s="132"/>
      <c r="HE22" s="492"/>
      <c r="HF22" s="494" t="str">
        <f>IF(AND(LL_Jan1[[#This Row],[Total Nota]]&lt;&gt;"",LL_Jan1[[#This Row],[ITBI/ITCMD]]="",LL_Jan1[[#This Row],[Total Nota]]-IFERROR(VLOOKUP(LL_Jan1[[#This Row],[Emols.]],Meta!$AK$3:$AN$256,2,FALSE),0)&lt;&gt;0),TEXT(IFERROR(LL_Jan1[[#This Row],[Total Nota]]-VLOOKUP(LL_Jan1[[#This Row],[Emols.]],Meta!$AK$3:$AN$256,2,FALSE),""),"#.##0,00"),"")</f>
        <v/>
      </c>
      <c r="HG22" s="487"/>
      <c r="HH22" s="102"/>
      <c r="HI22" s="330"/>
      <c r="HJ22" s="326"/>
      <c r="HK22" s="104"/>
      <c r="HL22" s="105"/>
    </row>
    <row r="23" spans="1:220" ht="14.45" customHeight="1" x14ac:dyDescent="0.25">
      <c r="A23" s="184"/>
      <c r="B23" s="559" t="str">
        <f>IF(DY29=Meta!$D$3,Meta!$Q$9,"")</f>
        <v>Gabriel</v>
      </c>
      <c r="C23" s="559"/>
      <c r="D23" s="559"/>
      <c r="E23" s="559"/>
      <c r="F23" s="559"/>
      <c r="G23" s="559"/>
      <c r="H23" s="559"/>
      <c r="I23" s="557"/>
      <c r="J23" s="550">
        <f>IF(DY29=Meta!$D$3,Y23-Z23,"")</f>
        <v>0</v>
      </c>
      <c r="K23" s="501" t="str">
        <f t="shared" si="3"/>
        <v/>
      </c>
      <c r="L23" s="502" t="str">
        <f t="shared" si="4"/>
        <v/>
      </c>
      <c r="M23" s="525" t="str">
        <f t="shared" si="5"/>
        <v/>
      </c>
      <c r="N23" s="508"/>
      <c r="O23" s="535"/>
      <c r="P23" s="207" t="str">
        <f>IF(DY29=Meta!$D$3,Meta!$Q$9,"")</f>
        <v>Gabriel</v>
      </c>
      <c r="Q23" s="208">
        <f>IF(DY29=Meta!$D$3,-($S23-$R23),"")</f>
        <v>0</v>
      </c>
      <c r="R23" s="209">
        <f>IF(DY29=Meta!$D$3,ROUND($Q8*VLOOKUP($Q15,Meta!$E$3:$F$4,2,FALSE)+R8*VLOOKUP($R15,Meta!$E$3:$F$4,2,FALSE)+S8*VLOOKUP($S15,Meta!$E$3:$F$4,2,FALSE)+T8*VLOOKUP($T15,Meta!$E$3:$F$4,2,FALSE)+U8*VLOOKUP($U15,Meta!$E$3:$F$4,2,FALSE)+V8*VLOOKUP($V15,Meta!$E$3:$F$4,2,FALSE)+W8*VLOOKUP($W15,Meta!$E$3:$F$4,2,FALSE)+X8*VLOOKUP($X15,Meta!$E$3:$F$4,2,FALSE)+Y8*VLOOKUP($Y15,Meta!$E$3:$F$4,2,FALSE),2),"")</f>
        <v>0</v>
      </c>
      <c r="S23" s="210">
        <f>IF(DY29=Meta!$D$3,GG_Jan1[[#Totals],[A Receber]]*VLOOKUP(DY29,Meta!$D$3:$F$4,3,FALSE),"")</f>
        <v>0</v>
      </c>
      <c r="T23" s="209">
        <f>IF(DY29=Meta!$D$3,$Z8-$R23,"")</f>
        <v>0</v>
      </c>
      <c r="U23" s="211">
        <f>IF(DY29=Meta!$D$3,IF(Q23&lt;0,Q23+T23,-1*(EG29+Q23)),"")</f>
        <v>0</v>
      </c>
      <c r="V23" s="212">
        <f>IF(DY29=Meta!$D$3,SUMIF(GG_Jan1[[ ]],"",GG_Jan1[ITBI/ITCMD]),"")</f>
        <v>0</v>
      </c>
      <c r="W23" s="209">
        <f>IF(DY29=Meta!$D$3,SUMIF(GG_Jan1[[ ]],Meta!$AA$4,GG_Jan1[ITBI/ITCMD]),"")</f>
        <v>0</v>
      </c>
      <c r="X23" s="209">
        <f>IF(DY29=Meta!$D$3,SUMIF(GG_Jan1[[ ]],Meta!$AA$3,GG_Jan1[ITBI/ITCMD]),"")</f>
        <v>0</v>
      </c>
      <c r="Y23" s="210">
        <f>IF(DY29=Meta!$D$3,SUM($V23:$X23),"")</f>
        <v>0</v>
      </c>
      <c r="Z23" s="213">
        <f>IF(DY29=Meta!$D$3,$Y23-$V23*VLOOKUP($V30,Meta!$E$2:$F$4,2,FALSE)-$W23*VLOOKUP($W30,Meta!$E$2:$F$4,2,FALSE)-$X23*VLOOKUP($X30,Meta!$E$2:$F$4,2,FALSE),"")</f>
        <v>0</v>
      </c>
      <c r="AA23" s="175"/>
      <c r="AB23" s="73"/>
      <c r="AC23" s="81" t="str">
        <f>IFERROR(VLOOKUP(AA_Jan1[[#This Row],[Emols.]],Meta!$AK$3:$AN$256,3,FALSE),"")</f>
        <v/>
      </c>
      <c r="AD23" s="325"/>
      <c r="AE23" s="324"/>
      <c r="AF23" s="494" t="str">
        <f>IF(AA_Jan1[[#This Row],[Total Nota]]="",TEXT(IFERROR(VLOOKUP(AA_Jan1[[#This Row],[Emols.]],Meta!$AK$3:$AN$256,2,FALSE)+AA_Jan1[[#This Row],[ITBI/ITCMD]],""),"#.##0,00"),"")</f>
        <v/>
      </c>
      <c r="AG23" s="482">
        <f>AA_Jan1[[#This Row],[Emols.]]-AA_Jan1[[#This Row],[Comissão]]</f>
        <v>0</v>
      </c>
      <c r="AH23" s="83">
        <f>VLOOKUP($AE$29,Meta!$Q$3:$R$16,2,FALSE)*AD23</f>
        <v>0</v>
      </c>
      <c r="AI23" s="83">
        <f>AA_Jan1[[#This Row],[Total Nota]]-AA_Jan1[[#This Row],[Comissão]]</f>
        <v>0</v>
      </c>
      <c r="AJ23" s="42"/>
      <c r="AK23" s="324"/>
      <c r="AL23" s="494" t="str">
        <f>IF(AND(AA_Jan1[[#This Row],[Total Nota]]&lt;&gt;"",AA_Jan1[[#This Row],[ITBI/ITCMD]]="",AA_Jan1[[#This Row],[Total Nota]]-IFERROR(VLOOKUP(AA_Jan1[[#This Row],[Emols.]],Meta!$AK$3:$AN$256,2,FALSE),0)&lt;&gt;0),TEXT(IFERROR(AA_Jan1[[#This Row],[Total Nota]]-VLOOKUP(AA_Jan1[[#This Row],[Emols.]],Meta!$AK$3:$AN$256,2,FALSE),""),"#.##0,00"),"")</f>
        <v/>
      </c>
      <c r="AM23" s="484"/>
      <c r="AN23" s="40"/>
      <c r="AO23" s="325"/>
      <c r="AP23" s="326"/>
      <c r="AQ23" s="85"/>
      <c r="AR23" s="86"/>
      <c r="AS23" s="87" t="str">
        <f>IFERROR(VLOOKUP(BB_Jan1[[#This Row],[Emols.]],Meta!$AK$3:$AN$256,3,FALSE),"")</f>
        <v/>
      </c>
      <c r="AT23" s="325"/>
      <c r="AU23" s="324"/>
      <c r="AV23" s="494" t="str">
        <f>IF(BB_Jan1[[#This Row],[Total Nota]]="",TEXT(IFERROR(VLOOKUP(BB_Jan1[[#This Row],[Emols.]],Meta!$AK$3:$AN$256,2,FALSE)+BB_Jan1[[#This Row],[ITBI/ITCMD]],""),"#.##0,00"),"")</f>
        <v/>
      </c>
      <c r="AW23" s="482">
        <f>BB_Jan1[[#This Row],[Emols.]]-BB_Jan1[[#This Row],[Comissão]]</f>
        <v>0</v>
      </c>
      <c r="AX23" s="83">
        <f>VLOOKUP($AU$29,Meta!$Q$3:$R$16,2,FALSE)*AT23</f>
        <v>0</v>
      </c>
      <c r="AY23" s="83">
        <f>BB_Jan1[[#This Row],[Total Nota]]-BB_Jan1[[#This Row],[Comissão]]</f>
        <v>0</v>
      </c>
      <c r="AZ23" s="43"/>
      <c r="BA23" s="324"/>
      <c r="BB23" s="494" t="str">
        <f>IF(AND(BB_Jan1[[#This Row],[Total Nota]]&lt;&gt;"",BB_Jan1[[#This Row],[ITBI/ITCMD]]="",BB_Jan1[[#This Row],[Total Nota]]-IFERROR(VLOOKUP(BB_Jan1[[#This Row],[Emols.]],Meta!$AK$3:$AN$256,2,FALSE),0)&lt;&gt;0),TEXT(IFERROR(BB_Jan1[[#This Row],[Total Nota]]-VLOOKUP(BB_Jan1[[#This Row],[Emols.]],Meta!$AK$3:$AN$256,2,FALSE),""),"#.##0,00"),"")</f>
        <v/>
      </c>
      <c r="BC23" s="484"/>
      <c r="BD23" s="41"/>
      <c r="BE23" s="325"/>
      <c r="BF23" s="326"/>
      <c r="BG23" s="89"/>
      <c r="BH23" s="86"/>
      <c r="BI23" s="90" t="str">
        <f>IFERROR(VLOOKUP(CC_Jan1[[#This Row],[Emols.]],Meta!$AK$3:$AN$256,3,FALSE),"")</f>
        <v/>
      </c>
      <c r="BJ23" s="325"/>
      <c r="BK23" s="324"/>
      <c r="BL23" s="494" t="str">
        <f>IF(CC_Jan1[[#This Row],[Total Nota]]="",TEXT(IFERROR(VLOOKUP(CC_Jan1[[#This Row],[Emols.]],Meta!$AK$3:$AN$256,2,FALSE)+CC_Jan1[[#This Row],[ITBI/ITCMD]],""),"#.##0,00"),"")</f>
        <v/>
      </c>
      <c r="BM23" s="482">
        <f>CC_Jan1[[#This Row],[Emols.]]-CC_Jan1[[#This Row],[Comissão]]</f>
        <v>0</v>
      </c>
      <c r="BN23" s="83">
        <f>VLOOKUP($BK$29,Meta!$Q$3:$R$16,2,FALSE)*BJ23</f>
        <v>0</v>
      </c>
      <c r="BO23" s="83">
        <f>CC_Jan1[[#This Row],[Total Nota]]-CC_Jan1[[#This Row],[Comissão]]</f>
        <v>0</v>
      </c>
      <c r="BP23" s="44"/>
      <c r="BQ23" s="324"/>
      <c r="BR23" s="494" t="str">
        <f>IF(AND(CC_Jan1[[#This Row],[Total Nota]]&lt;&gt;"",CC_Jan1[[#This Row],[ITBI/ITCMD]]="",CC_Jan1[[#This Row],[Total Nota]]-IFERROR(VLOOKUP(CC_Jan1[[#This Row],[Emols.]],Meta!$AK$3:$AN$256,2,FALSE),0)&lt;&gt;0),TEXT(IFERROR(CC_Jan1[[#This Row],[Total Nota]]-VLOOKUP(CC_Jan1[[#This Row],[Emols.]],Meta!$AK$3:$AN$256,2,FALSE),""),"#.##0,00"),"")</f>
        <v/>
      </c>
      <c r="BS23" s="484"/>
      <c r="BT23" s="47"/>
      <c r="BU23" s="325"/>
      <c r="BV23" s="326"/>
      <c r="BW23" s="91"/>
      <c r="BX23" s="86"/>
      <c r="BY23" s="92" t="str">
        <f>IFERROR(VLOOKUP(DD_Jan1[[#This Row],[Emols.]],Meta!$AK$3:$AN$256,3,FALSE),"")</f>
        <v/>
      </c>
      <c r="BZ23" s="325"/>
      <c r="CA23" s="324"/>
      <c r="CB23" s="494" t="str">
        <f>IF(DD_Jan1[[#This Row],[Total Nota]]="",TEXT(IFERROR(VLOOKUP(DD_Jan1[[#This Row],[Emols.]],Meta!$AK$3:$AN$256,2,FALSE)+DD_Jan1[[#This Row],[ITBI/ITCMD]],""),"#.##0,00"),"")</f>
        <v/>
      </c>
      <c r="CC23" s="482">
        <f>DD_Jan1[[#This Row],[Emols.]]-DD_Jan1[[#This Row],[Comissão]]</f>
        <v>0</v>
      </c>
      <c r="CD23" s="83">
        <f>VLOOKUP($CA$29,Meta!$Q$3:$R$16,2,FALSE)*BZ23</f>
        <v>0</v>
      </c>
      <c r="CE23" s="83">
        <f>DD_Jan1[[#This Row],[Total Nota]]-DD_Jan1[[#This Row],[Comissão]]</f>
        <v>0</v>
      </c>
      <c r="CF23" s="139"/>
      <c r="CG23" s="324"/>
      <c r="CH23" s="494" t="str">
        <f>IF(AND(DD_Jan1[[#This Row],[Total Nota]]&lt;&gt;"",DD_Jan1[[#This Row],[ITBI/ITCMD]]="",DD_Jan1[[#This Row],[Total Nota]]-IFERROR(VLOOKUP(DD_Jan1[[#This Row],[Emols.]],Meta!$AK$3:$AN$256,2,FALSE),0)&lt;&gt;0),TEXT(IFERROR(DD_Jan1[[#This Row],[Total Nota]]-VLOOKUP(DD_Jan1[[#This Row],[Emols.]],Meta!$AK$3:$AN$256,2,FALSE),""),"#.##0,00"),"")</f>
        <v/>
      </c>
      <c r="CI23" s="484"/>
      <c r="CJ23" s="93"/>
      <c r="CK23" s="325"/>
      <c r="CL23" s="326"/>
      <c r="CM23" s="94"/>
      <c r="CN23" s="86"/>
      <c r="CO23" s="95" t="str">
        <f>IFERROR(VLOOKUP(EE_Jan1[[#This Row],[Emols.]],Meta!$AK$3:$AN$256,3,FALSE),"")</f>
        <v/>
      </c>
      <c r="CP23" s="325"/>
      <c r="CQ23" s="324"/>
      <c r="CR23" s="494" t="str">
        <f>IF(EE_Jan1[[#This Row],[Total Nota]]="",TEXT(IFERROR(VLOOKUP(EE_Jan1[[#This Row],[Emols.]],Meta!$AK$3:$AN$256,2,FALSE)+EE_Jan1[[#This Row],[ITBI/ITCMD]],""),"#.##0,00"),"")</f>
        <v/>
      </c>
      <c r="CS23" s="482">
        <f>EE_Jan1[[#This Row],[Emols.]]-EE_Jan1[[#This Row],[Comissão]]</f>
        <v>0</v>
      </c>
      <c r="CT23" s="83">
        <f>VLOOKUP($CQ$29,Meta!$Q$3:$R$16,2,FALSE)*CP23</f>
        <v>0</v>
      </c>
      <c r="CU23" s="83">
        <f>EE_Jan1[[#This Row],[Total Nota]]-EE_Jan1[[#This Row],[Comissão]]</f>
        <v>0</v>
      </c>
      <c r="CV23" s="140"/>
      <c r="CW23" s="324"/>
      <c r="CX23" s="494" t="str">
        <f>IF(AND(EE_Jan1[[#This Row],[Total Nota]]&lt;&gt;"",EE_Jan1[[#This Row],[ITBI/ITCMD]]="",EE_Jan1[[#This Row],[Total Nota]]-IFERROR(VLOOKUP(EE_Jan1[[#This Row],[Emols.]],Meta!$AK$3:$AN$256,2,FALSE),0)&lt;&gt;0),TEXT(IFERROR(EE_Jan1[[#This Row],[Total Nota]]-VLOOKUP(EE_Jan1[[#This Row],[Emols.]],Meta!$AK$3:$AN$256,2,FALSE),""),"#.##0,00"),"")</f>
        <v/>
      </c>
      <c r="CY23" s="484"/>
      <c r="CZ23" s="96"/>
      <c r="DA23" s="325"/>
      <c r="DB23" s="326"/>
      <c r="DC23" s="97"/>
      <c r="DD23" s="86"/>
      <c r="DE23" s="87" t="str">
        <f>IFERROR(VLOOKUP(FF_Jan1[[#This Row],[Emols.]],Meta!$AK$3:$AN$256,3,FALSE),"")</f>
        <v/>
      </c>
      <c r="DF23" s="325"/>
      <c r="DG23" s="324"/>
      <c r="DH23" s="494" t="str">
        <f>IF(FF_Jan1[[#This Row],[Total Nota]]="",TEXT(IFERROR(VLOOKUP(FF_Jan1[[#This Row],[Emols.]],Meta!$AK$3:$AN$256,2,FALSE)+FF_Jan1[[#This Row],[ITBI/ITCMD]],""),"#.##0,00"),"")</f>
        <v/>
      </c>
      <c r="DI23" s="482">
        <f>FF_Jan1[[#This Row],[Emols.]]-FF_Jan1[[#This Row],[Comissão]]</f>
        <v>0</v>
      </c>
      <c r="DJ23" s="83">
        <f>VLOOKUP($DG$29,Meta!$Q$3:$R$16,2,FALSE)*DF23</f>
        <v>0</v>
      </c>
      <c r="DK23" s="83">
        <f>FF_Jan1[[#This Row],[Total Nota]]-FF_Jan1[[#This Row],[Comissão]]</f>
        <v>0</v>
      </c>
      <c r="DL23" s="43"/>
      <c r="DM23" s="324"/>
      <c r="DN23" s="494" t="str">
        <f>IF(AND(FF_Jan1[[#This Row],[Total Nota]]&lt;&gt;"",FF_Jan1[[#This Row],[ITBI/ITCMD]]="",FF_Jan1[[#This Row],[Total Nota]]-IFERROR(VLOOKUP(FF_Jan1[[#This Row],[Emols.]],Meta!$AK$3:$AN$256,2,FALSE),0)&lt;&gt;0),TEXT(IFERROR(FF_Jan1[[#This Row],[Total Nota]]-VLOOKUP(FF_Jan1[[#This Row],[Emols.]],Meta!$AK$3:$AN$256,2,FALSE),""),"#.##0,00"),"")</f>
        <v/>
      </c>
      <c r="DO23" s="484"/>
      <c r="DP23" s="41"/>
      <c r="DQ23" s="325"/>
      <c r="DR23" s="326"/>
      <c r="DS23" s="98"/>
      <c r="DT23" s="73"/>
      <c r="DU23" s="99" t="str">
        <f>IFERROR(VLOOKUP(GG_Jan1[[#This Row],[Emols.]],Meta!$AK$3:$AN$256,3,FALSE),"")</f>
        <v/>
      </c>
      <c r="DV23" s="330"/>
      <c r="DW23" s="332"/>
      <c r="DX23" s="494" t="str">
        <f>IF(GG_Jan1[[#This Row],[Total Nota]]="",TEXT(IFERROR(VLOOKUP(GG_Jan1[[#This Row],[Emols.]],Meta!$AK$3:$AN$256,2,FALSE)+GG_Jan1[[#This Row],[ITBI/ITCMD]],""),"#.##0,00"),"")</f>
        <v/>
      </c>
      <c r="DY23" s="485">
        <f>GG_Jan1[[#This Row],[Emols.]]-GG_Jan1[[#This Row],[Comissão]]</f>
        <v>0</v>
      </c>
      <c r="DZ23" s="101">
        <f>VLOOKUP($DW$29,Meta!$Q$3:$R$16,2,FALSE)*DV23</f>
        <v>0</v>
      </c>
      <c r="EA23" s="101">
        <f>GG_Jan1[[#This Row],[Total Nota]]-GG_Jan1[[#This Row],[Comissão]]</f>
        <v>0</v>
      </c>
      <c r="EB23" s="132"/>
      <c r="EC23" s="332"/>
      <c r="ED23" s="494" t="str">
        <f>IF(AND(GG_Jan1[[#This Row],[Total Nota]]&lt;&gt;"",GG_Jan1[[#This Row],[ITBI/ITCMD]]="",GG_Jan1[[#This Row],[Total Nota]]-IFERROR(VLOOKUP(GG_Jan1[[#This Row],[Emols.]],Meta!$AK$3:$AN$256,2,FALSE),0)&lt;&gt;0),TEXT(IFERROR(GG_Jan1[[#This Row],[Total Nota]]-VLOOKUP(GG_Jan1[[#This Row],[Emols.]],Meta!$AK$3:$AN$256,2,FALSE),""),"#.##0,00"),"")</f>
        <v/>
      </c>
      <c r="EE23" s="487"/>
      <c r="EF23" s="102"/>
      <c r="EG23" s="330"/>
      <c r="EH23" s="326"/>
      <c r="EI23" s="104"/>
      <c r="EJ23" s="73"/>
      <c r="EK23" s="99" t="str">
        <f>IFERROR(VLOOKUP(HH_Jan1[[#This Row],[Emols.]],Meta!$AK$3:$AN$256,3,FALSE),"")</f>
        <v/>
      </c>
      <c r="EL23" s="330"/>
      <c r="EM23" s="332"/>
      <c r="EN23" s="494" t="str">
        <f>IF(HH_Jan1[[#This Row],[Total Nota]]="",TEXT(IFERROR(VLOOKUP(HH_Jan1[[#This Row],[Emols.]],Meta!$AK$3:$AN$256,2,FALSE)+HH_Jan1[[#This Row],[ITBI/ITCMD]],""),"#.##0,00"),"")</f>
        <v/>
      </c>
      <c r="EO23" s="485">
        <f>HH_Jan1[[#This Row],[Emols.]]-HH_Jan1[[#This Row],[Comissão]]</f>
        <v>0</v>
      </c>
      <c r="EP23" s="101">
        <f>VLOOKUP($EM$29,Meta!$Q$3:$R$16,2,FALSE)*EL23</f>
        <v>0</v>
      </c>
      <c r="EQ23" s="101">
        <f>HH_Jan1[[#This Row],[Total Nota]]-HH_Jan1[[#This Row],[Comissão]]</f>
        <v>0</v>
      </c>
      <c r="ER23" s="132"/>
      <c r="ES23" s="332"/>
      <c r="ET23" s="494" t="str">
        <f>IF(AND(HH_Jan1[[#This Row],[Total Nota]]&lt;&gt;"",HH_Jan1[[#This Row],[ITBI/ITCMD]]="",HH_Jan1[[#This Row],[Total Nota]]-IFERROR(VLOOKUP(HH_Jan1[[#This Row],[Emols.]],Meta!$AK$3:$AN$256,2,FALSE),0)&lt;&gt;0),TEXT(IFERROR(HH_Jan1[[#This Row],[Total Nota]]-VLOOKUP(HH_Jan1[[#This Row],[Emols.]],Meta!$AK$3:$AN$256,2,FALSE),""),"#.##0,00"),"")</f>
        <v/>
      </c>
      <c r="EU23" s="487"/>
      <c r="EV23" s="102"/>
      <c r="EW23" s="330"/>
      <c r="EX23" s="326"/>
      <c r="EY23" s="104"/>
      <c r="EZ23" s="73"/>
      <c r="FA23" s="99" t="str">
        <f>IFERROR(VLOOKUP(II_Jan1[[#This Row],[Emols.]],Meta!$AK$3:$AN$256,3,FALSE),"")</f>
        <v/>
      </c>
      <c r="FB23" s="330"/>
      <c r="FC23" s="332"/>
      <c r="FD23" s="494" t="str">
        <f>IF(II_Jan1[[#This Row],[Total Nota]]="",TEXT(IFERROR(VLOOKUP(II_Jan1[[#This Row],[Emols.]],Meta!$AK$3:$AN$256,2,FALSE)+II_Jan1[[#This Row],[ITBI/ITCMD]],""),"#.##0,00"),"")</f>
        <v/>
      </c>
      <c r="FE23" s="485">
        <f>II_Jan1[[#This Row],[Emols.]]-II_Jan1[[#This Row],[Comissão]]</f>
        <v>0</v>
      </c>
      <c r="FF23" s="101">
        <f>VLOOKUP($FC$29,Meta!$Q$3:$R$16,2,FALSE)*FB23</f>
        <v>0</v>
      </c>
      <c r="FG23" s="101">
        <f>II_Jan1[[#This Row],[Total Nota]]-II_Jan1[[#This Row],[Comissão]]</f>
        <v>0</v>
      </c>
      <c r="FH23" s="132"/>
      <c r="FI23" s="332"/>
      <c r="FJ23" s="494" t="str">
        <f>IF(AND(II_Jan1[[#This Row],[Total Nota]]&lt;&gt;"",II_Jan1[[#This Row],[ITBI/ITCMD]]="",II_Jan1[[#This Row],[Total Nota]]-IFERROR(VLOOKUP(II_Jan1[[#This Row],[Emols.]],Meta!$AK$3:$AN$256,2,FALSE),0)&lt;&gt;0),TEXT(IFERROR(II_Jan1[[#This Row],[Total Nota]]-VLOOKUP(II_Jan1[[#This Row],[Emols.]],Meta!$AK$3:$AN$256,2,FALSE),""),"#.##0,00"),"")</f>
        <v/>
      </c>
      <c r="FK23" s="487"/>
      <c r="FL23" s="102"/>
      <c r="FM23" s="330"/>
      <c r="FN23" s="326"/>
      <c r="FO23" s="104"/>
      <c r="FP23" s="73"/>
      <c r="FQ23" s="99" t="str">
        <f>IFERROR(VLOOKUP(JJ_Jan1[[#This Row],[Emols.]],Meta!$AK$3:$AN$256,3,FALSE),"")</f>
        <v/>
      </c>
      <c r="FR23" s="330"/>
      <c r="FS23" s="332"/>
      <c r="FT23" s="494" t="str">
        <f>IF(JJ_Jan1[[#This Row],[Total Nota]]="",TEXT(IFERROR(VLOOKUP(JJ_Jan1[[#This Row],[Emols.]],Meta!$AK$3:$AN$256,2,FALSE)+JJ_Jan1[[#This Row],[ITBI/ITCMD]],""),"#.##0,00"),"")</f>
        <v/>
      </c>
      <c r="FU23" s="485">
        <f>JJ_Jan1[[#This Row],[Emols.]]-JJ_Jan1[[#This Row],[Comissão]]</f>
        <v>0</v>
      </c>
      <c r="FV23" s="101">
        <f>VLOOKUP($FS$29,Meta!$Q$3:$R$16,2,FALSE)*FR23</f>
        <v>0</v>
      </c>
      <c r="FW23" s="101">
        <f>JJ_Jan1[[#This Row],[Total Nota]]-JJ_Jan1[[#This Row],[Comissão]]</f>
        <v>0</v>
      </c>
      <c r="FX23" s="132"/>
      <c r="FY23" s="332"/>
      <c r="FZ23" s="494" t="str">
        <f>IF(AND(JJ_Jan1[[#This Row],[Total Nota]]&lt;&gt;"",JJ_Jan1[[#This Row],[ITBI/ITCMD]]="",JJ_Jan1[[#This Row],[Total Nota]]-IFERROR(VLOOKUP(JJ_Jan1[[#This Row],[Emols.]],Meta!$AK$3:$AN$256,2,FALSE),0)&lt;&gt;0),TEXT(IFERROR(JJ_Jan1[[#This Row],[Total Nota]]-VLOOKUP(JJ_Jan1[[#This Row],[Emols.]],Meta!$AK$3:$AN$256,2,FALSE),""),"#.##0,00"),"")</f>
        <v/>
      </c>
      <c r="GA23" s="487"/>
      <c r="GB23" s="102"/>
      <c r="GC23" s="330"/>
      <c r="GD23" s="326"/>
      <c r="GE23" s="104"/>
      <c r="GF23" s="73"/>
      <c r="GG23" s="99" t="str">
        <f>IFERROR(VLOOKUP(KK_Jan1[[#This Row],[Emols.]],Meta!$AK$3:$AN$256,3,FALSE),"")</f>
        <v/>
      </c>
      <c r="GH23" s="330"/>
      <c r="GI23" s="332"/>
      <c r="GJ23" s="494" t="str">
        <f>IF(KK_Jan1[[#This Row],[Total Nota]]="",TEXT(IFERROR(VLOOKUP(KK_Jan1[[#This Row],[Emols.]],Meta!$AK$3:$AN$256,2,FALSE)+KK_Jan1[[#This Row],[ITBI/ITCMD]],""),"#.##0,00"),"")</f>
        <v/>
      </c>
      <c r="GK23" s="485">
        <f>KK_Jan1[[#This Row],[Emols.]]-KK_Jan1[[#This Row],[Comissão]]</f>
        <v>0</v>
      </c>
      <c r="GL23" s="101">
        <f>VLOOKUP($GI$29,Meta!$Q$3:$R$16,2,FALSE)*GH23</f>
        <v>0</v>
      </c>
      <c r="GM23" s="101">
        <f>KK_Jan1[[#This Row],[Total Nota]]-KK_Jan1[[#This Row],[Comissão]]</f>
        <v>0</v>
      </c>
      <c r="GN23" s="132"/>
      <c r="GO23" s="332"/>
      <c r="GP23" s="494" t="str">
        <f>IF(AND(KK_Jan1[[#This Row],[Total Nota]]&lt;&gt;"",KK_Jan1[[#This Row],[ITBI/ITCMD]]="",KK_Jan1[[#This Row],[Total Nota]]-IFERROR(VLOOKUP(KK_Jan1[[#This Row],[Emols.]],Meta!$AK$3:$AN$256,2,FALSE),0)&lt;&gt;0),TEXT(IFERROR(KK_Jan1[[#This Row],[Total Nota]]-VLOOKUP(KK_Jan1[[#This Row],[Emols.]],Meta!$AK$3:$AN$256,2,FALSE),""),"#.##0,00"),"")</f>
        <v/>
      </c>
      <c r="GQ23" s="487"/>
      <c r="GR23" s="102"/>
      <c r="GS23" s="330"/>
      <c r="GT23" s="326"/>
      <c r="GU23" s="104"/>
      <c r="GV23" s="73"/>
      <c r="GW23" s="99" t="str">
        <f>IFERROR(VLOOKUP(LL_Jan1[[#This Row],[Emols.]],Meta!$AK$3:$AN$256,3,FALSE),"")</f>
        <v/>
      </c>
      <c r="GX23" s="330"/>
      <c r="GY23" s="332"/>
      <c r="GZ23" s="494" t="str">
        <f>IF(LL_Jan1[[#This Row],[Total Nota]]="",TEXT(IFERROR(VLOOKUP(LL_Jan1[[#This Row],[Emols.]],Meta!$AK$3:$AN$256,2,FALSE)+LL_Jan1[[#This Row],[ITBI/ITCMD]],""),"#.##0,00"),"")</f>
        <v/>
      </c>
      <c r="HA23" s="485">
        <f>LL_Jan1[[#This Row],[Emols.]]-LL_Jan1[[#This Row],[Comissão]]</f>
        <v>0</v>
      </c>
      <c r="HB23" s="101">
        <f>VLOOKUP($GY$29,Meta!$Q$3:$R$16,2,FALSE)*GX23</f>
        <v>0</v>
      </c>
      <c r="HC23" s="101">
        <f>LL_Jan1[[#This Row],[Total Nota]]-LL_Jan1[[#This Row],[Comissão]]</f>
        <v>0</v>
      </c>
      <c r="HD23" s="132"/>
      <c r="HE23" s="332"/>
      <c r="HF23" s="494" t="str">
        <f>IF(AND(LL_Jan1[[#This Row],[Total Nota]]&lt;&gt;"",LL_Jan1[[#This Row],[ITBI/ITCMD]]="",LL_Jan1[[#This Row],[Total Nota]]-IFERROR(VLOOKUP(LL_Jan1[[#This Row],[Emols.]],Meta!$AK$3:$AN$256,2,FALSE),0)&lt;&gt;0),TEXT(IFERROR(LL_Jan1[[#This Row],[Total Nota]]-VLOOKUP(LL_Jan1[[#This Row],[Emols.]],Meta!$AK$3:$AN$256,2,FALSE),""),"#.##0,00"),"")</f>
        <v/>
      </c>
      <c r="HG23" s="487"/>
      <c r="HH23" s="102"/>
      <c r="HI23" s="330"/>
      <c r="HJ23" s="326"/>
      <c r="HK23" s="104"/>
      <c r="HL23" s="105"/>
    </row>
    <row r="24" spans="1:220" ht="14.45" customHeight="1" x14ac:dyDescent="0.25">
      <c r="A24" s="184"/>
      <c r="B24" s="541" t="str">
        <f>IF(EO29=Meta!$D$3,Meta!$Q$10,"")</f>
        <v>Henrique</v>
      </c>
      <c r="C24" s="541"/>
      <c r="D24" s="541"/>
      <c r="E24" s="541"/>
      <c r="F24" s="541"/>
      <c r="G24" s="541"/>
      <c r="H24" s="541"/>
      <c r="I24" s="547"/>
      <c r="J24" s="549">
        <f>IF(EO29=Meta!$D$3,Y24-Z24,"")</f>
        <v>0</v>
      </c>
      <c r="K24" s="176" t="str">
        <f t="shared" si="3"/>
        <v/>
      </c>
      <c r="L24" s="500" t="str">
        <f t="shared" si="4"/>
        <v/>
      </c>
      <c r="M24" s="524" t="str">
        <f t="shared" si="5"/>
        <v/>
      </c>
      <c r="N24" s="508"/>
      <c r="O24" s="535"/>
      <c r="P24" s="207" t="str">
        <f>IF(EO29=Meta!$D$3,Meta!$Q$10,"")</f>
        <v>Henrique</v>
      </c>
      <c r="Q24" s="214">
        <f>IF(EO29=Meta!$D$3,-($S24-$R24),"")</f>
        <v>0</v>
      </c>
      <c r="R24" s="215">
        <f>IF(EO29=Meta!$D$3,ROUND($Q9*VLOOKUP($Q15,Meta!$E$3:$F$4,2,FALSE)+R9*VLOOKUP($R15,Meta!$E$3:$F$4,2,FALSE)+S9*VLOOKUP($S15,Meta!$E$3:$F$4,2,FALSE)+T9*VLOOKUP($T15,Meta!$E$3:$F$4,2,FALSE)+U9*VLOOKUP($U15,Meta!$E$3:$F$4,2,FALSE)+V9*VLOOKUP($V15,Meta!$E$3:$F$4,2,FALSE)+W9*VLOOKUP($W15,Meta!$E$3:$F$4,2,FALSE)+X9*VLOOKUP($X15,Meta!$E$3:$F$4,2,FALSE)+Y9*VLOOKUP($Y15,Meta!$E$3:$F$4,2,FALSE),2),"")</f>
        <v>0</v>
      </c>
      <c r="S24" s="216">
        <f>IF(EO29=Meta!$D$3,HH_Jan1[[#Totals],[A Receber]]*VLOOKUP(EO29,Meta!$D$3:$F$4,3,FALSE),"")</f>
        <v>0</v>
      </c>
      <c r="T24" s="215">
        <f>IF(EO29=Meta!$D$3,$Z9-$R24,"")</f>
        <v>0</v>
      </c>
      <c r="U24" s="217">
        <f>IF(EO29=Meta!$D$3,IF(Q24&lt;0,Q24+T24,-1*(EW29+Q24)),"")</f>
        <v>0</v>
      </c>
      <c r="V24" s="218">
        <f>IF(EO29=Meta!$D$3,SUMIF(HH_Jan1[[ ]],"",HH_Jan1[ITBI/ITCMD]),"")</f>
        <v>0</v>
      </c>
      <c r="W24" s="215">
        <f>IF(EO29=Meta!$D$3,SUMIF(HH_Jan1[[ ]],Meta!$AA$4,HH_Jan1[ITBI/ITCMD]),"")</f>
        <v>0</v>
      </c>
      <c r="X24" s="215">
        <f>IF(EO29=Meta!$D$3,SUMIF(HH_Jan1[[ ]],Meta!$AA$3,HH_Jan1[ITBI/ITCMD]),"")</f>
        <v>0</v>
      </c>
      <c r="Y24" s="216">
        <f>IF(EO29=Meta!$D$3,SUM($V24:$X24),"")</f>
        <v>0</v>
      </c>
      <c r="Z24" s="219">
        <f>IF(EO29=Meta!$D$3,$Y24-$V24*VLOOKUP($V30,Meta!$E$2:$F$4,2,FALSE)-$W24*VLOOKUP($W30,Meta!$E$2:$F$4,2,FALSE)-$X24*VLOOKUP($X30,Meta!$E$2:$F$4,2,FALSE),"")</f>
        <v>0</v>
      </c>
      <c r="AA24" s="175"/>
      <c r="AB24" s="73"/>
      <c r="AC24" s="81" t="str">
        <f>IFERROR(VLOOKUP(AA_Jan1[[#This Row],[Emols.]],Meta!$AK$3:$AN$256,3,FALSE),"")</f>
        <v/>
      </c>
      <c r="AD24" s="325"/>
      <c r="AE24" s="489"/>
      <c r="AF24" s="494" t="str">
        <f>IF(AA_Jan1[[#This Row],[Total Nota]]="",TEXT(IFERROR(VLOOKUP(AA_Jan1[[#This Row],[Emols.]],Meta!$AK$3:$AN$256,2,FALSE)+AA_Jan1[[#This Row],[ITBI/ITCMD]],""),"#.##0,00"),"")</f>
        <v/>
      </c>
      <c r="AG24" s="482">
        <f>AA_Jan1[[#This Row],[Emols.]]-AA_Jan1[[#This Row],[Comissão]]</f>
        <v>0</v>
      </c>
      <c r="AH24" s="83">
        <f>VLOOKUP($AE$29,Meta!$Q$3:$R$16,2,FALSE)*AD24</f>
        <v>0</v>
      </c>
      <c r="AI24" s="83">
        <f>AA_Jan1[[#This Row],[Total Nota]]-AA_Jan1[[#This Row],[Comissão]]</f>
        <v>0</v>
      </c>
      <c r="AJ24" s="42"/>
      <c r="AK24" s="324"/>
      <c r="AL24" s="493" t="str">
        <f>IF(AND(AA_Jan1[[#This Row],[Total Nota]]&lt;&gt;"",AA_Jan1[[#This Row],[ITBI/ITCMD]]="",AA_Jan1[[#This Row],[Total Nota]]-IFERROR(VLOOKUP(AA_Jan1[[#This Row],[Emols.]],Meta!$AK$3:$AN$256,2,FALSE),0)&lt;&gt;0),TEXT(IFERROR(AA_Jan1[[#This Row],[Total Nota]]-VLOOKUP(AA_Jan1[[#This Row],[Emols.]],Meta!$AK$3:$AN$256,2,FALSE),""),"#.##0,00"),"")</f>
        <v/>
      </c>
      <c r="AM24" s="484"/>
      <c r="AN24" s="40"/>
      <c r="AO24" s="325"/>
      <c r="AP24" s="326"/>
      <c r="AQ24" s="85"/>
      <c r="AR24" s="86"/>
      <c r="AS24" s="87" t="str">
        <f>IFERROR(VLOOKUP(BB_Jan1[[#This Row],[Emols.]],Meta!$AK$3:$AN$256,3,FALSE),"")</f>
        <v/>
      </c>
      <c r="AT24" s="325"/>
      <c r="AU24" s="489"/>
      <c r="AV24" s="494" t="str">
        <f>IF(BB_Jan1[[#This Row],[Total Nota]]="",TEXT(IFERROR(VLOOKUP(BB_Jan1[[#This Row],[Emols.]],Meta!$AK$3:$AN$256,2,FALSE)+BB_Jan1[[#This Row],[ITBI/ITCMD]],""),"#.##0,00"),"")</f>
        <v/>
      </c>
      <c r="AW24" s="482">
        <f>BB_Jan1[[#This Row],[Emols.]]-BB_Jan1[[#This Row],[Comissão]]</f>
        <v>0</v>
      </c>
      <c r="AX24" s="83">
        <f>VLOOKUP($AU$29,Meta!$Q$3:$R$16,2,FALSE)*AT24</f>
        <v>0</v>
      </c>
      <c r="AY24" s="83">
        <f>BB_Jan1[[#This Row],[Total Nota]]-BB_Jan1[[#This Row],[Comissão]]</f>
        <v>0</v>
      </c>
      <c r="AZ24" s="43"/>
      <c r="BA24" s="489"/>
      <c r="BB24" s="494" t="str">
        <f>IF(AND(BB_Jan1[[#This Row],[Total Nota]]&lt;&gt;"",BB_Jan1[[#This Row],[ITBI/ITCMD]]="",BB_Jan1[[#This Row],[Total Nota]]-IFERROR(VLOOKUP(BB_Jan1[[#This Row],[Emols.]],Meta!$AK$3:$AN$256,2,FALSE),0)&lt;&gt;0),TEXT(IFERROR(BB_Jan1[[#This Row],[Total Nota]]-VLOOKUP(BB_Jan1[[#This Row],[Emols.]],Meta!$AK$3:$AN$256,2,FALSE),""),"#.##0,00"),"")</f>
        <v/>
      </c>
      <c r="BC24" s="484"/>
      <c r="BD24" s="41"/>
      <c r="BE24" s="325"/>
      <c r="BF24" s="326"/>
      <c r="BG24" s="89"/>
      <c r="BH24" s="86"/>
      <c r="BI24" s="90" t="str">
        <f>IFERROR(VLOOKUP(CC_Jan1[[#This Row],[Emols.]],Meta!$AK$3:$AN$256,3,FALSE),"")</f>
        <v/>
      </c>
      <c r="BJ24" s="325"/>
      <c r="BK24" s="489"/>
      <c r="BL24" s="494" t="str">
        <f>IF(CC_Jan1[[#This Row],[Total Nota]]="",TEXT(IFERROR(VLOOKUP(CC_Jan1[[#This Row],[Emols.]],Meta!$AK$3:$AN$256,2,FALSE)+CC_Jan1[[#This Row],[ITBI/ITCMD]],""),"#.##0,00"),"")</f>
        <v/>
      </c>
      <c r="BM24" s="482">
        <f>CC_Jan1[[#This Row],[Emols.]]-CC_Jan1[[#This Row],[Comissão]]</f>
        <v>0</v>
      </c>
      <c r="BN24" s="83">
        <f>VLOOKUP($BK$29,Meta!$Q$3:$R$16,2,FALSE)*BJ24</f>
        <v>0</v>
      </c>
      <c r="BO24" s="83">
        <f>CC_Jan1[[#This Row],[Total Nota]]-CC_Jan1[[#This Row],[Comissão]]</f>
        <v>0</v>
      </c>
      <c r="BP24" s="44"/>
      <c r="BQ24" s="489"/>
      <c r="BR24" s="494" t="str">
        <f>IF(AND(CC_Jan1[[#This Row],[Total Nota]]&lt;&gt;"",CC_Jan1[[#This Row],[ITBI/ITCMD]]="",CC_Jan1[[#This Row],[Total Nota]]-IFERROR(VLOOKUP(CC_Jan1[[#This Row],[Emols.]],Meta!$AK$3:$AN$256,2,FALSE),0)&lt;&gt;0),TEXT(IFERROR(CC_Jan1[[#This Row],[Total Nota]]-VLOOKUP(CC_Jan1[[#This Row],[Emols.]],Meta!$AK$3:$AN$256,2,FALSE),""),"#.##0,00"),"")</f>
        <v/>
      </c>
      <c r="BS24" s="484"/>
      <c r="BT24" s="47"/>
      <c r="BU24" s="325"/>
      <c r="BV24" s="326"/>
      <c r="BW24" s="91"/>
      <c r="BX24" s="86"/>
      <c r="BY24" s="92" t="str">
        <f>IFERROR(VLOOKUP(DD_Jan1[[#This Row],[Emols.]],Meta!$AK$3:$AN$256,3,FALSE),"")</f>
        <v/>
      </c>
      <c r="BZ24" s="325"/>
      <c r="CA24" s="489"/>
      <c r="CB24" s="494" t="str">
        <f>IF(DD_Jan1[[#This Row],[Total Nota]]="",TEXT(IFERROR(VLOOKUP(DD_Jan1[[#This Row],[Emols.]],Meta!$AK$3:$AN$256,2,FALSE)+DD_Jan1[[#This Row],[ITBI/ITCMD]],""),"#.##0,00"),"")</f>
        <v/>
      </c>
      <c r="CC24" s="482">
        <f>DD_Jan1[[#This Row],[Emols.]]-DD_Jan1[[#This Row],[Comissão]]</f>
        <v>0</v>
      </c>
      <c r="CD24" s="83">
        <f>VLOOKUP($CA$29,Meta!$Q$3:$R$16,2,FALSE)*BZ24</f>
        <v>0</v>
      </c>
      <c r="CE24" s="83">
        <f>DD_Jan1[[#This Row],[Total Nota]]-DD_Jan1[[#This Row],[Comissão]]</f>
        <v>0</v>
      </c>
      <c r="CF24" s="139"/>
      <c r="CG24" s="489"/>
      <c r="CH24" s="494" t="str">
        <f>IF(AND(DD_Jan1[[#This Row],[Total Nota]]&lt;&gt;"",DD_Jan1[[#This Row],[ITBI/ITCMD]]="",DD_Jan1[[#This Row],[Total Nota]]-IFERROR(VLOOKUP(DD_Jan1[[#This Row],[Emols.]],Meta!$AK$3:$AN$256,2,FALSE),0)&lt;&gt;0),TEXT(IFERROR(DD_Jan1[[#This Row],[Total Nota]]-VLOOKUP(DD_Jan1[[#This Row],[Emols.]],Meta!$AK$3:$AN$256,2,FALSE),""),"#.##0,00"),"")</f>
        <v/>
      </c>
      <c r="CI24" s="484"/>
      <c r="CJ24" s="93"/>
      <c r="CK24" s="325"/>
      <c r="CL24" s="326"/>
      <c r="CM24" s="94"/>
      <c r="CN24" s="86"/>
      <c r="CO24" s="95" t="str">
        <f>IFERROR(VLOOKUP(EE_Jan1[[#This Row],[Emols.]],Meta!$AK$3:$AN$256,3,FALSE),"")</f>
        <v/>
      </c>
      <c r="CP24" s="325"/>
      <c r="CQ24" s="324"/>
      <c r="CR24" s="493" t="str">
        <f>IF(EE_Jan1[[#This Row],[Total Nota]]="",TEXT(IFERROR(VLOOKUP(EE_Jan1[[#This Row],[Emols.]],Meta!$AK$3:$AN$256,2,FALSE)+EE_Jan1[[#This Row],[ITBI/ITCMD]],""),"#.##0,00"),"")</f>
        <v/>
      </c>
      <c r="CS24" s="482">
        <f>EE_Jan1[[#This Row],[Emols.]]-EE_Jan1[[#This Row],[Comissão]]</f>
        <v>0</v>
      </c>
      <c r="CT24" s="83">
        <f>VLOOKUP($CQ$29,Meta!$Q$3:$R$16,2,FALSE)*CP24</f>
        <v>0</v>
      </c>
      <c r="CU24" s="83">
        <f>EE_Jan1[[#This Row],[Total Nota]]-EE_Jan1[[#This Row],[Comissão]]</f>
        <v>0</v>
      </c>
      <c r="CV24" s="140"/>
      <c r="CW24" s="489"/>
      <c r="CX24" s="494" t="str">
        <f>IF(AND(EE_Jan1[[#This Row],[Total Nota]]&lt;&gt;"",EE_Jan1[[#This Row],[ITBI/ITCMD]]="",EE_Jan1[[#This Row],[Total Nota]]-IFERROR(VLOOKUP(EE_Jan1[[#This Row],[Emols.]],Meta!$AK$3:$AN$256,2,FALSE),0)&lt;&gt;0),TEXT(IFERROR(EE_Jan1[[#This Row],[Total Nota]]-VLOOKUP(EE_Jan1[[#This Row],[Emols.]],Meta!$AK$3:$AN$256,2,FALSE),""),"#.##0,00"),"")</f>
        <v/>
      </c>
      <c r="CY24" s="484"/>
      <c r="CZ24" s="96"/>
      <c r="DA24" s="325"/>
      <c r="DB24" s="326"/>
      <c r="DC24" s="97"/>
      <c r="DD24" s="86"/>
      <c r="DE24" s="87" t="str">
        <f>IFERROR(VLOOKUP(FF_Jan1[[#This Row],[Emols.]],Meta!$AK$3:$AN$256,3,FALSE),"")</f>
        <v/>
      </c>
      <c r="DF24" s="325"/>
      <c r="DG24" s="324"/>
      <c r="DH24" s="493" t="str">
        <f>IF(FF_Jan1[[#This Row],[Total Nota]]="",TEXT(IFERROR(VLOOKUP(FF_Jan1[[#This Row],[Emols.]],Meta!$AK$3:$AN$256,2,FALSE)+FF_Jan1[[#This Row],[ITBI/ITCMD]],""),"#.##0,00"),"")</f>
        <v/>
      </c>
      <c r="DI24" s="482">
        <f>FF_Jan1[[#This Row],[Emols.]]-FF_Jan1[[#This Row],[Comissão]]</f>
        <v>0</v>
      </c>
      <c r="DJ24" s="83">
        <f>VLOOKUP($DG$29,Meta!$Q$3:$R$16,2,FALSE)*DF24</f>
        <v>0</v>
      </c>
      <c r="DK24" s="83">
        <f>FF_Jan1[[#This Row],[Total Nota]]-FF_Jan1[[#This Row],[Comissão]]</f>
        <v>0</v>
      </c>
      <c r="DL24" s="43"/>
      <c r="DM24" s="489"/>
      <c r="DN24" s="494" t="str">
        <f>IF(AND(FF_Jan1[[#This Row],[Total Nota]]&lt;&gt;"",FF_Jan1[[#This Row],[ITBI/ITCMD]]="",FF_Jan1[[#This Row],[Total Nota]]-IFERROR(VLOOKUP(FF_Jan1[[#This Row],[Emols.]],Meta!$AK$3:$AN$256,2,FALSE),0)&lt;&gt;0),TEXT(IFERROR(FF_Jan1[[#This Row],[Total Nota]]-VLOOKUP(FF_Jan1[[#This Row],[Emols.]],Meta!$AK$3:$AN$256,2,FALSE),""),"#.##0,00"),"")</f>
        <v/>
      </c>
      <c r="DO24" s="484"/>
      <c r="DP24" s="41"/>
      <c r="DQ24" s="325"/>
      <c r="DR24" s="326"/>
      <c r="DS24" s="98"/>
      <c r="DT24" s="73"/>
      <c r="DU24" s="99" t="str">
        <f>IFERROR(VLOOKUP(GG_Jan1[[#This Row],[Emols.]],Meta!$AK$3:$AN$256,3,FALSE),"")</f>
        <v/>
      </c>
      <c r="DV24" s="330"/>
      <c r="DW24" s="332"/>
      <c r="DX24" s="493" t="str">
        <f>IF(GG_Jan1[[#This Row],[Total Nota]]="",TEXT(IFERROR(VLOOKUP(GG_Jan1[[#This Row],[Emols.]],Meta!$AK$3:$AN$256,2,FALSE)+GG_Jan1[[#This Row],[ITBI/ITCMD]],""),"#.##0,00"),"")</f>
        <v/>
      </c>
      <c r="DY24" s="485">
        <f>GG_Jan1[[#This Row],[Emols.]]-GG_Jan1[[#This Row],[Comissão]]</f>
        <v>0</v>
      </c>
      <c r="DZ24" s="101">
        <f>VLOOKUP($DW$29,Meta!$Q$3:$R$16,2,FALSE)*DV24</f>
        <v>0</v>
      </c>
      <c r="EA24" s="101">
        <f>GG_Jan1[[#This Row],[Total Nota]]-GG_Jan1[[#This Row],[Comissão]]</f>
        <v>0</v>
      </c>
      <c r="EB24" s="132"/>
      <c r="EC24" s="332"/>
      <c r="ED24" s="493" t="str">
        <f>IF(AND(GG_Jan1[[#This Row],[Total Nota]]&lt;&gt;"",GG_Jan1[[#This Row],[ITBI/ITCMD]]="",GG_Jan1[[#This Row],[Total Nota]]-IFERROR(VLOOKUP(GG_Jan1[[#This Row],[Emols.]],Meta!$AK$3:$AN$256,2,FALSE),0)&lt;&gt;0),TEXT(IFERROR(GG_Jan1[[#This Row],[Total Nota]]-VLOOKUP(GG_Jan1[[#This Row],[Emols.]],Meta!$AK$3:$AN$256,2,FALSE),""),"#.##0,00"),"")</f>
        <v/>
      </c>
      <c r="EE24" s="487"/>
      <c r="EF24" s="102"/>
      <c r="EG24" s="330"/>
      <c r="EH24" s="326"/>
      <c r="EI24" s="104"/>
      <c r="EJ24" s="73"/>
      <c r="EK24" s="99" t="str">
        <f>IFERROR(VLOOKUP(HH_Jan1[[#This Row],[Emols.]],Meta!$AK$3:$AN$256,3,FALSE),"")</f>
        <v/>
      </c>
      <c r="EL24" s="330"/>
      <c r="EM24" s="492"/>
      <c r="EN24" s="494" t="str">
        <f>IF(HH_Jan1[[#This Row],[Total Nota]]="",TEXT(IFERROR(VLOOKUP(HH_Jan1[[#This Row],[Emols.]],Meta!$AK$3:$AN$256,2,FALSE)+HH_Jan1[[#This Row],[ITBI/ITCMD]],""),"#.##0,00"),"")</f>
        <v/>
      </c>
      <c r="EO24" s="485">
        <f>HH_Jan1[[#This Row],[Emols.]]-HH_Jan1[[#This Row],[Comissão]]</f>
        <v>0</v>
      </c>
      <c r="EP24" s="101">
        <f>VLOOKUP($EM$29,Meta!$Q$3:$R$16,2,FALSE)*EL24</f>
        <v>0</v>
      </c>
      <c r="EQ24" s="101">
        <f>HH_Jan1[[#This Row],[Total Nota]]-HH_Jan1[[#This Row],[Comissão]]</f>
        <v>0</v>
      </c>
      <c r="ER24" s="132"/>
      <c r="ES24" s="332"/>
      <c r="ET24" s="493" t="str">
        <f>IF(AND(HH_Jan1[[#This Row],[Total Nota]]&lt;&gt;"",HH_Jan1[[#This Row],[ITBI/ITCMD]]="",HH_Jan1[[#This Row],[Total Nota]]-IFERROR(VLOOKUP(HH_Jan1[[#This Row],[Emols.]],Meta!$AK$3:$AN$256,2,FALSE),0)&lt;&gt;0),TEXT(IFERROR(HH_Jan1[[#This Row],[Total Nota]]-VLOOKUP(HH_Jan1[[#This Row],[Emols.]],Meta!$AK$3:$AN$256,2,FALSE),""),"#.##0,00"),"")</f>
        <v/>
      </c>
      <c r="EU24" s="487"/>
      <c r="EV24" s="102"/>
      <c r="EW24" s="330"/>
      <c r="EX24" s="326"/>
      <c r="EY24" s="104"/>
      <c r="EZ24" s="73"/>
      <c r="FA24" s="99" t="str">
        <f>IFERROR(VLOOKUP(II_Jan1[[#This Row],[Emols.]],Meta!$AK$3:$AN$256,3,FALSE),"")</f>
        <v/>
      </c>
      <c r="FB24" s="330"/>
      <c r="FC24" s="332"/>
      <c r="FD24" s="493" t="str">
        <f>IF(II_Jan1[[#This Row],[Total Nota]]="",TEXT(IFERROR(VLOOKUP(II_Jan1[[#This Row],[Emols.]],Meta!$AK$3:$AN$256,2,FALSE)+II_Jan1[[#This Row],[ITBI/ITCMD]],""),"#.##0,00"),"")</f>
        <v/>
      </c>
      <c r="FE24" s="485">
        <f>II_Jan1[[#This Row],[Emols.]]-II_Jan1[[#This Row],[Comissão]]</f>
        <v>0</v>
      </c>
      <c r="FF24" s="101">
        <f>VLOOKUP($FC$29,Meta!$Q$3:$R$16,2,FALSE)*FB24</f>
        <v>0</v>
      </c>
      <c r="FG24" s="101">
        <f>II_Jan1[[#This Row],[Total Nota]]-II_Jan1[[#This Row],[Comissão]]</f>
        <v>0</v>
      </c>
      <c r="FH24" s="132"/>
      <c r="FI24" s="492"/>
      <c r="FJ24" s="494" t="str">
        <f>IF(AND(II_Jan1[[#This Row],[Total Nota]]&lt;&gt;"",II_Jan1[[#This Row],[ITBI/ITCMD]]="",II_Jan1[[#This Row],[Total Nota]]-IFERROR(VLOOKUP(II_Jan1[[#This Row],[Emols.]],Meta!$AK$3:$AN$256,2,FALSE),0)&lt;&gt;0),TEXT(IFERROR(II_Jan1[[#This Row],[Total Nota]]-VLOOKUP(II_Jan1[[#This Row],[Emols.]],Meta!$AK$3:$AN$256,2,FALSE),""),"#.##0,00"),"")</f>
        <v/>
      </c>
      <c r="FK24" s="487"/>
      <c r="FL24" s="102"/>
      <c r="FM24" s="330"/>
      <c r="FN24" s="326"/>
      <c r="FO24" s="104"/>
      <c r="FP24" s="73"/>
      <c r="FQ24" s="99" t="str">
        <f>IFERROR(VLOOKUP(JJ_Jan1[[#This Row],[Emols.]],Meta!$AK$3:$AN$256,3,FALSE),"")</f>
        <v/>
      </c>
      <c r="FR24" s="330"/>
      <c r="FS24" s="332"/>
      <c r="FT24" s="493" t="str">
        <f>IF(JJ_Jan1[[#This Row],[Total Nota]]="",TEXT(IFERROR(VLOOKUP(JJ_Jan1[[#This Row],[Emols.]],Meta!$AK$3:$AN$256,2,FALSE)+JJ_Jan1[[#This Row],[ITBI/ITCMD]],""),"#.##0,00"),"")</f>
        <v/>
      </c>
      <c r="FU24" s="485">
        <f>JJ_Jan1[[#This Row],[Emols.]]-JJ_Jan1[[#This Row],[Comissão]]</f>
        <v>0</v>
      </c>
      <c r="FV24" s="101">
        <f>VLOOKUP($FS$29,Meta!$Q$3:$R$16,2,FALSE)*FR24</f>
        <v>0</v>
      </c>
      <c r="FW24" s="101">
        <f>JJ_Jan1[[#This Row],[Total Nota]]-JJ_Jan1[[#This Row],[Comissão]]</f>
        <v>0</v>
      </c>
      <c r="FX24" s="132"/>
      <c r="FY24" s="332"/>
      <c r="FZ24" s="493" t="str">
        <f>IF(AND(JJ_Jan1[[#This Row],[Total Nota]]&lt;&gt;"",JJ_Jan1[[#This Row],[ITBI/ITCMD]]="",JJ_Jan1[[#This Row],[Total Nota]]-IFERROR(VLOOKUP(JJ_Jan1[[#This Row],[Emols.]],Meta!$AK$3:$AN$256,2,FALSE),0)&lt;&gt;0),TEXT(IFERROR(JJ_Jan1[[#This Row],[Total Nota]]-VLOOKUP(JJ_Jan1[[#This Row],[Emols.]],Meta!$AK$3:$AN$256,2,FALSE),""),"#.##0,00"),"")</f>
        <v/>
      </c>
      <c r="GA24" s="487"/>
      <c r="GB24" s="102"/>
      <c r="GC24" s="330"/>
      <c r="GD24" s="326"/>
      <c r="GE24" s="104"/>
      <c r="GF24" s="73"/>
      <c r="GG24" s="99" t="str">
        <f>IFERROR(VLOOKUP(KK_Jan1[[#This Row],[Emols.]],Meta!$AK$3:$AN$256,3,FALSE),"")</f>
        <v/>
      </c>
      <c r="GH24" s="330"/>
      <c r="GI24" s="332"/>
      <c r="GJ24" s="493" t="str">
        <f>IF(KK_Jan1[[#This Row],[Total Nota]]="",TEXT(IFERROR(VLOOKUP(KK_Jan1[[#This Row],[Emols.]],Meta!$AK$3:$AN$256,2,FALSE)+KK_Jan1[[#This Row],[ITBI/ITCMD]],""),"#.##0,00"),"")</f>
        <v/>
      </c>
      <c r="GK24" s="485">
        <f>KK_Jan1[[#This Row],[Emols.]]-KK_Jan1[[#This Row],[Comissão]]</f>
        <v>0</v>
      </c>
      <c r="GL24" s="101">
        <f>VLOOKUP($GI$29,Meta!$Q$3:$R$16,2,FALSE)*GH24</f>
        <v>0</v>
      </c>
      <c r="GM24" s="101">
        <f>KK_Jan1[[#This Row],[Total Nota]]-KK_Jan1[[#This Row],[Comissão]]</f>
        <v>0</v>
      </c>
      <c r="GN24" s="132"/>
      <c r="GO24" s="332"/>
      <c r="GP24" s="493" t="str">
        <f>IF(AND(KK_Jan1[[#This Row],[Total Nota]]&lt;&gt;"",KK_Jan1[[#This Row],[ITBI/ITCMD]]="",KK_Jan1[[#This Row],[Total Nota]]-IFERROR(VLOOKUP(KK_Jan1[[#This Row],[Emols.]],Meta!$AK$3:$AN$256,2,FALSE),0)&lt;&gt;0),TEXT(IFERROR(KK_Jan1[[#This Row],[Total Nota]]-VLOOKUP(KK_Jan1[[#This Row],[Emols.]],Meta!$AK$3:$AN$256,2,FALSE),""),"#.##0,00"),"")</f>
        <v/>
      </c>
      <c r="GQ24" s="487"/>
      <c r="GR24" s="102"/>
      <c r="GS24" s="330"/>
      <c r="GT24" s="326"/>
      <c r="GU24" s="104"/>
      <c r="GV24" s="73"/>
      <c r="GW24" s="99" t="str">
        <f>IFERROR(VLOOKUP(LL_Jan1[[#This Row],[Emols.]],Meta!$AK$3:$AN$256,3,FALSE),"")</f>
        <v/>
      </c>
      <c r="GX24" s="330"/>
      <c r="GY24" s="492"/>
      <c r="GZ24" s="494" t="str">
        <f>IF(LL_Jan1[[#This Row],[Total Nota]]="",TEXT(IFERROR(VLOOKUP(LL_Jan1[[#This Row],[Emols.]],Meta!$AK$3:$AN$256,2,FALSE)+LL_Jan1[[#This Row],[ITBI/ITCMD]],""),"#.##0,00"),"")</f>
        <v/>
      </c>
      <c r="HA24" s="485">
        <f>LL_Jan1[[#This Row],[Emols.]]-LL_Jan1[[#This Row],[Comissão]]</f>
        <v>0</v>
      </c>
      <c r="HB24" s="101">
        <f>VLOOKUP($GY$29,Meta!$Q$3:$R$16,2,FALSE)*GX24</f>
        <v>0</v>
      </c>
      <c r="HC24" s="101">
        <f>LL_Jan1[[#This Row],[Total Nota]]-LL_Jan1[[#This Row],[Comissão]]</f>
        <v>0</v>
      </c>
      <c r="HD24" s="132"/>
      <c r="HE24" s="332"/>
      <c r="HF24" s="493" t="str">
        <f>IF(AND(LL_Jan1[[#This Row],[Total Nota]]&lt;&gt;"",LL_Jan1[[#This Row],[ITBI/ITCMD]]="",LL_Jan1[[#This Row],[Total Nota]]-IFERROR(VLOOKUP(LL_Jan1[[#This Row],[Emols.]],Meta!$AK$3:$AN$256,2,FALSE),0)&lt;&gt;0),TEXT(IFERROR(LL_Jan1[[#This Row],[Total Nota]]-VLOOKUP(LL_Jan1[[#This Row],[Emols.]],Meta!$AK$3:$AN$256,2,FALSE),""),"#.##0,00"),"")</f>
        <v/>
      </c>
      <c r="HG24" s="487"/>
      <c r="HH24" s="102"/>
      <c r="HI24" s="330"/>
      <c r="HJ24" s="326"/>
      <c r="HK24" s="104"/>
      <c r="HL24" s="105"/>
    </row>
    <row r="25" spans="1:220" ht="14.45" customHeight="1" x14ac:dyDescent="0.25">
      <c r="A25" s="184"/>
      <c r="B25" s="559" t="str">
        <f>IF(FE29=Meta!$D$3,Meta!$Q$11,"")</f>
        <v>Ingrid</v>
      </c>
      <c r="C25" s="559"/>
      <c r="D25" s="559"/>
      <c r="E25" s="559"/>
      <c r="F25" s="559"/>
      <c r="G25" s="559"/>
      <c r="H25" s="559"/>
      <c r="I25" s="557"/>
      <c r="J25" s="550">
        <f>IF(FE29=Meta!$D$3,Y25-Z25,"")</f>
        <v>0</v>
      </c>
      <c r="K25" s="501" t="str">
        <f t="shared" si="3"/>
        <v/>
      </c>
      <c r="L25" s="502" t="str">
        <f t="shared" si="4"/>
        <v/>
      </c>
      <c r="M25" s="525" t="str">
        <f t="shared" si="5"/>
        <v/>
      </c>
      <c r="N25" s="508"/>
      <c r="O25" s="535"/>
      <c r="P25" s="207" t="str">
        <f>IF(FE29=Meta!$D$3,Meta!$Q$11,"")</f>
        <v>Ingrid</v>
      </c>
      <c r="Q25" s="208">
        <f>IF(FE29=Meta!$D$3,-($S25-$R25),"")</f>
        <v>0</v>
      </c>
      <c r="R25" s="209">
        <f>IF(FE29=Meta!$D$3,ROUND($Q10*VLOOKUP($Q15,Meta!$E$3:$F$4,2,FALSE)+R10*VLOOKUP($R15,Meta!$E$3:$F$4,2,FALSE)+S10*VLOOKUP($S15,Meta!$E$3:$F$4,2,FALSE)+T10*VLOOKUP($T15,Meta!$E$3:$F$4,2,FALSE)+U10*VLOOKUP($U15,Meta!$E$3:$F$4,2,FALSE)+V10*VLOOKUP($V15,Meta!$E$3:$F$4,2,FALSE)+W10*VLOOKUP($W15,Meta!$E$3:$F$4,2,FALSE)+X10*VLOOKUP($X15,Meta!$E$3:$F$4,2,FALSE)+Y10*VLOOKUP($Y15,Meta!$E$3:$F$4,2,FALSE),2),"")</f>
        <v>0</v>
      </c>
      <c r="S25" s="210">
        <f>IF(FE29=Meta!$D$3,II_Jan1[[#Totals],[A Receber]]*VLOOKUP(FE29,Meta!$D$3:$F$4,3,FALSE),"")</f>
        <v>0</v>
      </c>
      <c r="T25" s="209">
        <f>IF(FE29=Meta!$D$3,$Z10-$R25,"")</f>
        <v>0</v>
      </c>
      <c r="U25" s="211">
        <f>IF(FE29=Meta!$D$3,IF(Q25&lt;0,Q25+T25,-1*(FM29+Q25)),"")</f>
        <v>0</v>
      </c>
      <c r="V25" s="212">
        <f>IF(FE29=Meta!$D$3,SUMIF(II_Jan1[[ ]],"",II_Jan1[ITBI/ITCMD]),"")</f>
        <v>0</v>
      </c>
      <c r="W25" s="209">
        <f>IF(FE29=Meta!$D$3,SUMIF(II_Jan1[[ ]],Meta!$AA$4,II_Jan1[ITBI/ITCMD]),"")</f>
        <v>0</v>
      </c>
      <c r="X25" s="209">
        <f>IF(FE29=Meta!$D$3,SUMIF(II_Jan1[[ ]],Meta!$AA$3,II_Jan1[ITBI/ITCMD]),"")</f>
        <v>0</v>
      </c>
      <c r="Y25" s="210">
        <f>IF(FE29=Meta!$D$3,SUM($V25:$X25),"")</f>
        <v>0</v>
      </c>
      <c r="Z25" s="213">
        <f>IF(FE29=Meta!$D$3,$Y25-$V25*VLOOKUP($V30,Meta!$E$2:$F$4,2,FALSE)-$W25*VLOOKUP($W30,Meta!$E$2:$F$4,2,FALSE)-$X25*VLOOKUP($X30,Meta!$E$2:$F$4,2,FALSE),"")</f>
        <v>0</v>
      </c>
      <c r="AA25" s="175"/>
      <c r="AB25" s="73"/>
      <c r="AC25" s="81" t="str">
        <f>IFERROR(VLOOKUP(AA_Jan1[[#This Row],[Emols.]],Meta!$AK$3:$AN$256,3,FALSE),"")</f>
        <v/>
      </c>
      <c r="AD25" s="325"/>
      <c r="AE25" s="324"/>
      <c r="AF25" s="494" t="str">
        <f>IF(AA_Jan1[[#This Row],[Total Nota]]="",TEXT(IFERROR(VLOOKUP(AA_Jan1[[#This Row],[Emols.]],Meta!$AK$3:$AN$256,2,FALSE)+AA_Jan1[[#This Row],[ITBI/ITCMD]],""),"#.##0,00"),"")</f>
        <v/>
      </c>
      <c r="AG25" s="482">
        <f>AA_Jan1[[#This Row],[Emols.]]-AA_Jan1[[#This Row],[Comissão]]</f>
        <v>0</v>
      </c>
      <c r="AH25" s="83">
        <f>VLOOKUP($AE$29,Meta!$Q$3:$R$16,2,FALSE)*AD25</f>
        <v>0</v>
      </c>
      <c r="AI25" s="83">
        <f>AA_Jan1[[#This Row],[Total Nota]]-AA_Jan1[[#This Row],[Comissão]]</f>
        <v>0</v>
      </c>
      <c r="AJ25" s="42"/>
      <c r="AK25" s="324"/>
      <c r="AL25" s="494" t="str">
        <f>IF(AND(AA_Jan1[[#This Row],[Total Nota]]&lt;&gt;"",AA_Jan1[[#This Row],[ITBI/ITCMD]]="",AA_Jan1[[#This Row],[Total Nota]]-IFERROR(VLOOKUP(AA_Jan1[[#This Row],[Emols.]],Meta!$AK$3:$AN$256,2,FALSE),0)&lt;&gt;0),TEXT(IFERROR(AA_Jan1[[#This Row],[Total Nota]]-VLOOKUP(AA_Jan1[[#This Row],[Emols.]],Meta!$AK$3:$AN$256,2,FALSE),""),"#.##0,00"),"")</f>
        <v/>
      </c>
      <c r="AM25" s="484"/>
      <c r="AN25" s="40"/>
      <c r="AO25" s="325"/>
      <c r="AP25" s="326"/>
      <c r="AQ25" s="85"/>
      <c r="AR25" s="86"/>
      <c r="AS25" s="87" t="str">
        <f>IFERROR(VLOOKUP(BB_Jan1[[#This Row],[Emols.]],Meta!$AK$3:$AN$256,3,FALSE),"")</f>
        <v/>
      </c>
      <c r="AT25" s="325"/>
      <c r="AU25" s="324"/>
      <c r="AV25" s="494" t="str">
        <f>IF(BB_Jan1[[#This Row],[Total Nota]]="",TEXT(IFERROR(VLOOKUP(BB_Jan1[[#This Row],[Emols.]],Meta!$AK$3:$AN$256,2,FALSE)+BB_Jan1[[#This Row],[ITBI/ITCMD]],""),"#.##0,00"),"")</f>
        <v/>
      </c>
      <c r="AW25" s="482">
        <f>BB_Jan1[[#This Row],[Emols.]]-BB_Jan1[[#This Row],[Comissão]]</f>
        <v>0</v>
      </c>
      <c r="AX25" s="83">
        <f>VLOOKUP($AU$29,Meta!$Q$3:$R$16,2,FALSE)*AT25</f>
        <v>0</v>
      </c>
      <c r="AY25" s="83">
        <f>BB_Jan1[[#This Row],[Total Nota]]-BB_Jan1[[#This Row],[Comissão]]</f>
        <v>0</v>
      </c>
      <c r="AZ25" s="43"/>
      <c r="BA25" s="324"/>
      <c r="BB25" s="494" t="str">
        <f>IF(AND(BB_Jan1[[#This Row],[Total Nota]]&lt;&gt;"",BB_Jan1[[#This Row],[ITBI/ITCMD]]="",BB_Jan1[[#This Row],[Total Nota]]-IFERROR(VLOOKUP(BB_Jan1[[#This Row],[Emols.]],Meta!$AK$3:$AN$256,2,FALSE),0)&lt;&gt;0),TEXT(IFERROR(BB_Jan1[[#This Row],[Total Nota]]-VLOOKUP(BB_Jan1[[#This Row],[Emols.]],Meta!$AK$3:$AN$256,2,FALSE),""),"#.##0,00"),"")</f>
        <v/>
      </c>
      <c r="BC25" s="484"/>
      <c r="BD25" s="41"/>
      <c r="BE25" s="325"/>
      <c r="BF25" s="326"/>
      <c r="BG25" s="89"/>
      <c r="BH25" s="86"/>
      <c r="BI25" s="90" t="str">
        <f>IFERROR(VLOOKUP(CC_Jan1[[#This Row],[Emols.]],Meta!$AK$3:$AN$256,3,FALSE),"")</f>
        <v/>
      </c>
      <c r="BJ25" s="325"/>
      <c r="BK25" s="324"/>
      <c r="BL25" s="494" t="str">
        <f>IF(CC_Jan1[[#This Row],[Total Nota]]="",TEXT(IFERROR(VLOOKUP(CC_Jan1[[#This Row],[Emols.]],Meta!$AK$3:$AN$256,2,FALSE)+CC_Jan1[[#This Row],[ITBI/ITCMD]],""),"#.##0,00"),"")</f>
        <v/>
      </c>
      <c r="BM25" s="482">
        <f>CC_Jan1[[#This Row],[Emols.]]-CC_Jan1[[#This Row],[Comissão]]</f>
        <v>0</v>
      </c>
      <c r="BN25" s="83">
        <f>VLOOKUP($BK$29,Meta!$Q$3:$R$16,2,FALSE)*BJ25</f>
        <v>0</v>
      </c>
      <c r="BO25" s="83">
        <f>CC_Jan1[[#This Row],[Total Nota]]-CC_Jan1[[#This Row],[Comissão]]</f>
        <v>0</v>
      </c>
      <c r="BP25" s="44"/>
      <c r="BQ25" s="324"/>
      <c r="BR25" s="494" t="str">
        <f>IF(AND(CC_Jan1[[#This Row],[Total Nota]]&lt;&gt;"",CC_Jan1[[#This Row],[ITBI/ITCMD]]="",CC_Jan1[[#This Row],[Total Nota]]-IFERROR(VLOOKUP(CC_Jan1[[#This Row],[Emols.]],Meta!$AK$3:$AN$256,2,FALSE),0)&lt;&gt;0),TEXT(IFERROR(CC_Jan1[[#This Row],[Total Nota]]-VLOOKUP(CC_Jan1[[#This Row],[Emols.]],Meta!$AK$3:$AN$256,2,FALSE),""),"#.##0,00"),"")</f>
        <v/>
      </c>
      <c r="BS25" s="484"/>
      <c r="BT25" s="47"/>
      <c r="BU25" s="325"/>
      <c r="BV25" s="326"/>
      <c r="BW25" s="91"/>
      <c r="BX25" s="86"/>
      <c r="BY25" s="92" t="str">
        <f>IFERROR(VLOOKUP(DD_Jan1[[#This Row],[Emols.]],Meta!$AK$3:$AN$256,3,FALSE),"")</f>
        <v/>
      </c>
      <c r="BZ25" s="325"/>
      <c r="CA25" s="324"/>
      <c r="CB25" s="494" t="str">
        <f>IF(DD_Jan1[[#This Row],[Total Nota]]="",TEXT(IFERROR(VLOOKUP(DD_Jan1[[#This Row],[Emols.]],Meta!$AK$3:$AN$256,2,FALSE)+DD_Jan1[[#This Row],[ITBI/ITCMD]],""),"#.##0,00"),"")</f>
        <v/>
      </c>
      <c r="CC25" s="482">
        <f>DD_Jan1[[#This Row],[Emols.]]-DD_Jan1[[#This Row],[Comissão]]</f>
        <v>0</v>
      </c>
      <c r="CD25" s="83">
        <f>VLOOKUP($CA$29,Meta!$Q$3:$R$16,2,FALSE)*BZ25</f>
        <v>0</v>
      </c>
      <c r="CE25" s="83">
        <f>DD_Jan1[[#This Row],[Total Nota]]-DD_Jan1[[#This Row],[Comissão]]</f>
        <v>0</v>
      </c>
      <c r="CF25" s="139"/>
      <c r="CG25" s="324"/>
      <c r="CH25" s="494" t="str">
        <f>IF(AND(DD_Jan1[[#This Row],[Total Nota]]&lt;&gt;"",DD_Jan1[[#This Row],[ITBI/ITCMD]]="",DD_Jan1[[#This Row],[Total Nota]]-IFERROR(VLOOKUP(DD_Jan1[[#This Row],[Emols.]],Meta!$AK$3:$AN$256,2,FALSE),0)&lt;&gt;0),TEXT(IFERROR(DD_Jan1[[#This Row],[Total Nota]]-VLOOKUP(DD_Jan1[[#This Row],[Emols.]],Meta!$AK$3:$AN$256,2,FALSE),""),"#.##0,00"),"")</f>
        <v/>
      </c>
      <c r="CI25" s="484"/>
      <c r="CJ25" s="93"/>
      <c r="CK25" s="325"/>
      <c r="CL25" s="326"/>
      <c r="CM25" s="94"/>
      <c r="CN25" s="86"/>
      <c r="CO25" s="95" t="str">
        <f>IFERROR(VLOOKUP(EE_Jan1[[#This Row],[Emols.]],Meta!$AK$3:$AN$256,3,FALSE),"")</f>
        <v/>
      </c>
      <c r="CP25" s="325"/>
      <c r="CQ25" s="324"/>
      <c r="CR25" s="494" t="str">
        <f>IF(EE_Jan1[[#This Row],[Total Nota]]="",TEXT(IFERROR(VLOOKUP(EE_Jan1[[#This Row],[Emols.]],Meta!$AK$3:$AN$256,2,FALSE)+EE_Jan1[[#This Row],[ITBI/ITCMD]],""),"#.##0,00"),"")</f>
        <v/>
      </c>
      <c r="CS25" s="482">
        <f>EE_Jan1[[#This Row],[Emols.]]-EE_Jan1[[#This Row],[Comissão]]</f>
        <v>0</v>
      </c>
      <c r="CT25" s="83">
        <f>VLOOKUP($CQ$29,Meta!$Q$3:$R$16,2,FALSE)*CP25</f>
        <v>0</v>
      </c>
      <c r="CU25" s="83">
        <f>EE_Jan1[[#This Row],[Total Nota]]-EE_Jan1[[#This Row],[Comissão]]</f>
        <v>0</v>
      </c>
      <c r="CV25" s="140"/>
      <c r="CW25" s="324"/>
      <c r="CX25" s="494" t="str">
        <f>IF(AND(EE_Jan1[[#This Row],[Total Nota]]&lt;&gt;"",EE_Jan1[[#This Row],[ITBI/ITCMD]]="",EE_Jan1[[#This Row],[Total Nota]]-IFERROR(VLOOKUP(EE_Jan1[[#This Row],[Emols.]],Meta!$AK$3:$AN$256,2,FALSE),0)&lt;&gt;0),TEXT(IFERROR(EE_Jan1[[#This Row],[Total Nota]]-VLOOKUP(EE_Jan1[[#This Row],[Emols.]],Meta!$AK$3:$AN$256,2,FALSE),""),"#.##0,00"),"")</f>
        <v/>
      </c>
      <c r="CY25" s="484"/>
      <c r="CZ25" s="96"/>
      <c r="DA25" s="325"/>
      <c r="DB25" s="326"/>
      <c r="DC25" s="97"/>
      <c r="DD25" s="86"/>
      <c r="DE25" s="87" t="str">
        <f>IFERROR(VLOOKUP(FF_Jan1[[#This Row],[Emols.]],Meta!$AK$3:$AN$256,3,FALSE),"")</f>
        <v/>
      </c>
      <c r="DF25" s="325"/>
      <c r="DG25" s="324"/>
      <c r="DH25" s="494" t="str">
        <f>IF(FF_Jan1[[#This Row],[Total Nota]]="",TEXT(IFERROR(VLOOKUP(FF_Jan1[[#This Row],[Emols.]],Meta!$AK$3:$AN$256,2,FALSE)+FF_Jan1[[#This Row],[ITBI/ITCMD]],""),"#.##0,00"),"")</f>
        <v/>
      </c>
      <c r="DI25" s="482">
        <f>FF_Jan1[[#This Row],[Emols.]]-FF_Jan1[[#This Row],[Comissão]]</f>
        <v>0</v>
      </c>
      <c r="DJ25" s="83">
        <f>VLOOKUP($DG$29,Meta!$Q$3:$R$16,2,FALSE)*DF25</f>
        <v>0</v>
      </c>
      <c r="DK25" s="83">
        <f>FF_Jan1[[#This Row],[Total Nota]]-FF_Jan1[[#This Row],[Comissão]]</f>
        <v>0</v>
      </c>
      <c r="DL25" s="43"/>
      <c r="DM25" s="324"/>
      <c r="DN25" s="494" t="str">
        <f>IF(AND(FF_Jan1[[#This Row],[Total Nota]]&lt;&gt;"",FF_Jan1[[#This Row],[ITBI/ITCMD]]="",FF_Jan1[[#This Row],[Total Nota]]-IFERROR(VLOOKUP(FF_Jan1[[#This Row],[Emols.]],Meta!$AK$3:$AN$256,2,FALSE),0)&lt;&gt;0),TEXT(IFERROR(FF_Jan1[[#This Row],[Total Nota]]-VLOOKUP(FF_Jan1[[#This Row],[Emols.]],Meta!$AK$3:$AN$256,2,FALSE),""),"#.##0,00"),"")</f>
        <v/>
      </c>
      <c r="DO25" s="484"/>
      <c r="DP25" s="41"/>
      <c r="DQ25" s="325"/>
      <c r="DR25" s="326"/>
      <c r="DS25" s="98"/>
      <c r="DT25" s="73"/>
      <c r="DU25" s="99" t="str">
        <f>IFERROR(VLOOKUP(GG_Jan1[[#This Row],[Emols.]],Meta!$AK$3:$AN$256,3,FALSE),"")</f>
        <v/>
      </c>
      <c r="DV25" s="330"/>
      <c r="DW25" s="332"/>
      <c r="DX25" s="494" t="str">
        <f>IF(GG_Jan1[[#This Row],[Total Nota]]="",TEXT(IFERROR(VLOOKUP(GG_Jan1[[#This Row],[Emols.]],Meta!$AK$3:$AN$256,2,FALSE)+GG_Jan1[[#This Row],[ITBI/ITCMD]],""),"#.##0,00"),"")</f>
        <v/>
      </c>
      <c r="DY25" s="485">
        <f>GG_Jan1[[#This Row],[Emols.]]-GG_Jan1[[#This Row],[Comissão]]</f>
        <v>0</v>
      </c>
      <c r="DZ25" s="101">
        <f>VLOOKUP($DW$29,Meta!$Q$3:$R$16,2,FALSE)*DV25</f>
        <v>0</v>
      </c>
      <c r="EA25" s="101">
        <f>GG_Jan1[[#This Row],[Total Nota]]-GG_Jan1[[#This Row],[Comissão]]</f>
        <v>0</v>
      </c>
      <c r="EB25" s="132"/>
      <c r="EC25" s="332"/>
      <c r="ED25" s="494" t="str">
        <f>IF(AND(GG_Jan1[[#This Row],[Total Nota]]&lt;&gt;"",GG_Jan1[[#This Row],[ITBI/ITCMD]]="",GG_Jan1[[#This Row],[Total Nota]]-IFERROR(VLOOKUP(GG_Jan1[[#This Row],[Emols.]],Meta!$AK$3:$AN$256,2,FALSE),0)&lt;&gt;0),TEXT(IFERROR(GG_Jan1[[#This Row],[Total Nota]]-VLOOKUP(GG_Jan1[[#This Row],[Emols.]],Meta!$AK$3:$AN$256,2,FALSE),""),"#.##0,00"),"")</f>
        <v/>
      </c>
      <c r="EE25" s="487"/>
      <c r="EF25" s="102"/>
      <c r="EG25" s="330"/>
      <c r="EH25" s="326"/>
      <c r="EI25" s="104"/>
      <c r="EJ25" s="73"/>
      <c r="EK25" s="99" t="str">
        <f>IFERROR(VLOOKUP(HH_Jan1[[#This Row],[Emols.]],Meta!$AK$3:$AN$256,3,FALSE),"")</f>
        <v/>
      </c>
      <c r="EL25" s="330"/>
      <c r="EM25" s="332"/>
      <c r="EN25" s="494" t="str">
        <f>IF(HH_Jan1[[#This Row],[Total Nota]]="",TEXT(IFERROR(VLOOKUP(HH_Jan1[[#This Row],[Emols.]],Meta!$AK$3:$AN$256,2,FALSE)+HH_Jan1[[#This Row],[ITBI/ITCMD]],""),"#.##0,00"),"")</f>
        <v/>
      </c>
      <c r="EO25" s="485">
        <f>HH_Jan1[[#This Row],[Emols.]]-HH_Jan1[[#This Row],[Comissão]]</f>
        <v>0</v>
      </c>
      <c r="EP25" s="101">
        <f>VLOOKUP($EM$29,Meta!$Q$3:$R$16,2,FALSE)*EL25</f>
        <v>0</v>
      </c>
      <c r="EQ25" s="101">
        <f>HH_Jan1[[#This Row],[Total Nota]]-HH_Jan1[[#This Row],[Comissão]]</f>
        <v>0</v>
      </c>
      <c r="ER25" s="132"/>
      <c r="ES25" s="332"/>
      <c r="ET25" s="494" t="str">
        <f>IF(AND(HH_Jan1[[#This Row],[Total Nota]]&lt;&gt;"",HH_Jan1[[#This Row],[ITBI/ITCMD]]="",HH_Jan1[[#This Row],[Total Nota]]-IFERROR(VLOOKUP(HH_Jan1[[#This Row],[Emols.]],Meta!$AK$3:$AN$256,2,FALSE),0)&lt;&gt;0),TEXT(IFERROR(HH_Jan1[[#This Row],[Total Nota]]-VLOOKUP(HH_Jan1[[#This Row],[Emols.]],Meta!$AK$3:$AN$256,2,FALSE),""),"#.##0,00"),"")</f>
        <v/>
      </c>
      <c r="EU25" s="487"/>
      <c r="EV25" s="102"/>
      <c r="EW25" s="330"/>
      <c r="EX25" s="326"/>
      <c r="EY25" s="104"/>
      <c r="EZ25" s="73"/>
      <c r="FA25" s="99" t="str">
        <f>IFERROR(VLOOKUP(II_Jan1[[#This Row],[Emols.]],Meta!$AK$3:$AN$256,3,FALSE),"")</f>
        <v/>
      </c>
      <c r="FB25" s="330"/>
      <c r="FC25" s="332"/>
      <c r="FD25" s="494" t="str">
        <f>IF(II_Jan1[[#This Row],[Total Nota]]="",TEXT(IFERROR(VLOOKUP(II_Jan1[[#This Row],[Emols.]],Meta!$AK$3:$AN$256,2,FALSE)+II_Jan1[[#This Row],[ITBI/ITCMD]],""),"#.##0,00"),"")</f>
        <v/>
      </c>
      <c r="FE25" s="485">
        <f>II_Jan1[[#This Row],[Emols.]]-II_Jan1[[#This Row],[Comissão]]</f>
        <v>0</v>
      </c>
      <c r="FF25" s="101">
        <f>VLOOKUP($FC$29,Meta!$Q$3:$R$16,2,FALSE)*FB25</f>
        <v>0</v>
      </c>
      <c r="FG25" s="101">
        <f>II_Jan1[[#This Row],[Total Nota]]-II_Jan1[[#This Row],[Comissão]]</f>
        <v>0</v>
      </c>
      <c r="FH25" s="132"/>
      <c r="FI25" s="332"/>
      <c r="FJ25" s="494" t="str">
        <f>IF(AND(II_Jan1[[#This Row],[Total Nota]]&lt;&gt;"",II_Jan1[[#This Row],[ITBI/ITCMD]]="",II_Jan1[[#This Row],[Total Nota]]-IFERROR(VLOOKUP(II_Jan1[[#This Row],[Emols.]],Meta!$AK$3:$AN$256,2,FALSE),0)&lt;&gt;0),TEXT(IFERROR(II_Jan1[[#This Row],[Total Nota]]-VLOOKUP(II_Jan1[[#This Row],[Emols.]],Meta!$AK$3:$AN$256,2,FALSE),""),"#.##0,00"),"")</f>
        <v/>
      </c>
      <c r="FK25" s="487"/>
      <c r="FL25" s="102"/>
      <c r="FM25" s="330"/>
      <c r="FN25" s="326"/>
      <c r="FO25" s="104"/>
      <c r="FP25" s="73"/>
      <c r="FQ25" s="99" t="str">
        <f>IFERROR(VLOOKUP(JJ_Jan1[[#This Row],[Emols.]],Meta!$AK$3:$AN$256,3,FALSE),"")</f>
        <v/>
      </c>
      <c r="FR25" s="330"/>
      <c r="FS25" s="332"/>
      <c r="FT25" s="494" t="str">
        <f>IF(JJ_Jan1[[#This Row],[Total Nota]]="",TEXT(IFERROR(VLOOKUP(JJ_Jan1[[#This Row],[Emols.]],Meta!$AK$3:$AN$256,2,FALSE)+JJ_Jan1[[#This Row],[ITBI/ITCMD]],""),"#.##0,00"),"")</f>
        <v/>
      </c>
      <c r="FU25" s="485">
        <f>JJ_Jan1[[#This Row],[Emols.]]-JJ_Jan1[[#This Row],[Comissão]]</f>
        <v>0</v>
      </c>
      <c r="FV25" s="101">
        <f>VLOOKUP($FS$29,Meta!$Q$3:$R$16,2,FALSE)*FR25</f>
        <v>0</v>
      </c>
      <c r="FW25" s="101">
        <f>JJ_Jan1[[#This Row],[Total Nota]]-JJ_Jan1[[#This Row],[Comissão]]</f>
        <v>0</v>
      </c>
      <c r="FX25" s="132"/>
      <c r="FY25" s="332"/>
      <c r="FZ25" s="494" t="str">
        <f>IF(AND(JJ_Jan1[[#This Row],[Total Nota]]&lt;&gt;"",JJ_Jan1[[#This Row],[ITBI/ITCMD]]="",JJ_Jan1[[#This Row],[Total Nota]]-IFERROR(VLOOKUP(JJ_Jan1[[#This Row],[Emols.]],Meta!$AK$3:$AN$256,2,FALSE),0)&lt;&gt;0),TEXT(IFERROR(JJ_Jan1[[#This Row],[Total Nota]]-VLOOKUP(JJ_Jan1[[#This Row],[Emols.]],Meta!$AK$3:$AN$256,2,FALSE),""),"#.##0,00"),"")</f>
        <v/>
      </c>
      <c r="GA25" s="487"/>
      <c r="GB25" s="102"/>
      <c r="GC25" s="330"/>
      <c r="GD25" s="326"/>
      <c r="GE25" s="104"/>
      <c r="GF25" s="73"/>
      <c r="GG25" s="99" t="str">
        <f>IFERROR(VLOOKUP(KK_Jan1[[#This Row],[Emols.]],Meta!$AK$3:$AN$256,3,FALSE),"")</f>
        <v/>
      </c>
      <c r="GH25" s="330"/>
      <c r="GI25" s="332"/>
      <c r="GJ25" s="494" t="str">
        <f>IF(KK_Jan1[[#This Row],[Total Nota]]="",TEXT(IFERROR(VLOOKUP(KK_Jan1[[#This Row],[Emols.]],Meta!$AK$3:$AN$256,2,FALSE)+KK_Jan1[[#This Row],[ITBI/ITCMD]],""),"#.##0,00"),"")</f>
        <v/>
      </c>
      <c r="GK25" s="485">
        <f>KK_Jan1[[#This Row],[Emols.]]-KK_Jan1[[#This Row],[Comissão]]</f>
        <v>0</v>
      </c>
      <c r="GL25" s="101">
        <f>VLOOKUP($GI$29,Meta!$Q$3:$R$16,2,FALSE)*GH25</f>
        <v>0</v>
      </c>
      <c r="GM25" s="101">
        <f>KK_Jan1[[#This Row],[Total Nota]]-KK_Jan1[[#This Row],[Comissão]]</f>
        <v>0</v>
      </c>
      <c r="GN25" s="132"/>
      <c r="GO25" s="332"/>
      <c r="GP25" s="494" t="str">
        <f>IF(AND(KK_Jan1[[#This Row],[Total Nota]]&lt;&gt;"",KK_Jan1[[#This Row],[ITBI/ITCMD]]="",KK_Jan1[[#This Row],[Total Nota]]-IFERROR(VLOOKUP(KK_Jan1[[#This Row],[Emols.]],Meta!$AK$3:$AN$256,2,FALSE),0)&lt;&gt;0),TEXT(IFERROR(KK_Jan1[[#This Row],[Total Nota]]-VLOOKUP(KK_Jan1[[#This Row],[Emols.]],Meta!$AK$3:$AN$256,2,FALSE),""),"#.##0,00"),"")</f>
        <v/>
      </c>
      <c r="GQ25" s="487"/>
      <c r="GR25" s="102"/>
      <c r="GS25" s="330"/>
      <c r="GT25" s="326"/>
      <c r="GU25" s="104"/>
      <c r="GV25" s="73"/>
      <c r="GW25" s="99" t="str">
        <f>IFERROR(VLOOKUP(LL_Jan1[[#This Row],[Emols.]],Meta!$AK$3:$AN$256,3,FALSE),"")</f>
        <v/>
      </c>
      <c r="GX25" s="330"/>
      <c r="GY25" s="332"/>
      <c r="GZ25" s="494" t="str">
        <f>IF(LL_Jan1[[#This Row],[Total Nota]]="",TEXT(IFERROR(VLOOKUP(LL_Jan1[[#This Row],[Emols.]],Meta!$AK$3:$AN$256,2,FALSE)+LL_Jan1[[#This Row],[ITBI/ITCMD]],""),"#.##0,00"),"")</f>
        <v/>
      </c>
      <c r="HA25" s="485">
        <f>LL_Jan1[[#This Row],[Emols.]]-LL_Jan1[[#This Row],[Comissão]]</f>
        <v>0</v>
      </c>
      <c r="HB25" s="101">
        <f>VLOOKUP($GY$29,Meta!$Q$3:$R$16,2,FALSE)*GX25</f>
        <v>0</v>
      </c>
      <c r="HC25" s="101">
        <f>LL_Jan1[[#This Row],[Total Nota]]-LL_Jan1[[#This Row],[Comissão]]</f>
        <v>0</v>
      </c>
      <c r="HD25" s="132"/>
      <c r="HE25" s="332"/>
      <c r="HF25" s="494" t="str">
        <f>IF(AND(LL_Jan1[[#This Row],[Total Nota]]&lt;&gt;"",LL_Jan1[[#This Row],[ITBI/ITCMD]]="",LL_Jan1[[#This Row],[Total Nota]]-IFERROR(VLOOKUP(LL_Jan1[[#This Row],[Emols.]],Meta!$AK$3:$AN$256,2,FALSE),0)&lt;&gt;0),TEXT(IFERROR(LL_Jan1[[#This Row],[Total Nota]]-VLOOKUP(LL_Jan1[[#This Row],[Emols.]],Meta!$AK$3:$AN$256,2,FALSE),""),"#.##0,00"),"")</f>
        <v/>
      </c>
      <c r="HG25" s="487"/>
      <c r="HH25" s="102"/>
      <c r="HI25" s="330"/>
      <c r="HJ25" s="326"/>
      <c r="HK25" s="104"/>
      <c r="HL25" s="105"/>
    </row>
    <row r="26" spans="1:220" s="220" customFormat="1" ht="14.45" customHeight="1" thickBot="1" x14ac:dyDescent="0.3">
      <c r="A26" s="184"/>
      <c r="B26" s="541" t="str">
        <f>IF(FU29=Meta!$D$3,Meta!$Q$12,"")</f>
        <v>Joana</v>
      </c>
      <c r="C26" s="541"/>
      <c r="D26" s="541"/>
      <c r="E26" s="541"/>
      <c r="F26" s="541"/>
      <c r="G26" s="541"/>
      <c r="H26" s="541"/>
      <c r="I26" s="547"/>
      <c r="J26" s="549">
        <f>IF(FU29=Meta!$D$3,Y26-Z26,"")</f>
        <v>0</v>
      </c>
      <c r="K26" s="176" t="str">
        <f t="shared" si="3"/>
        <v/>
      </c>
      <c r="L26" s="500" t="str">
        <f t="shared" si="4"/>
        <v/>
      </c>
      <c r="M26" s="524" t="str">
        <f t="shared" si="5"/>
        <v/>
      </c>
      <c r="N26" s="508"/>
      <c r="O26" s="535"/>
      <c r="P26" s="207" t="str">
        <f>IF(FU29=Meta!$D$3,Meta!$Q$12,"")</f>
        <v>Joana</v>
      </c>
      <c r="Q26" s="214">
        <f>IF(FU29=Meta!$D$3,-($S26-$R26),"")</f>
        <v>0</v>
      </c>
      <c r="R26" s="215">
        <f>IF(FU29=Meta!$D$3,ROUND($Q11*VLOOKUP($Q15,Meta!$E$3:$F$4,2,FALSE)+R11*VLOOKUP($R15,Meta!$E$3:$F$4,2,FALSE)+S11*VLOOKUP($S15,Meta!$E$3:$F$4,2,FALSE)+T11*VLOOKUP($T15,Meta!$E$3:$F$4,2,FALSE)+U11*VLOOKUP($U15,Meta!$E$3:$F$4,2,FALSE)+V11*VLOOKUP($V15,Meta!$E$3:$F$4,2,FALSE)+W11*VLOOKUP($W15,Meta!$E$3:$F$4,2,FALSE)+X11*VLOOKUP($X15,Meta!$E$3:$F$4,2,FALSE)+Y11*VLOOKUP($Y15,Meta!$E$3:$F$4,2,FALSE),2),"")</f>
        <v>0</v>
      </c>
      <c r="S26" s="216">
        <f>IF(FU29=Meta!$D$3,JJ_Jan1[[#Totals],[A Receber]]*VLOOKUP(FU29,Meta!$D$3:$F$4,3,FALSE),"")</f>
        <v>0</v>
      </c>
      <c r="T26" s="215">
        <f>IF(FU29=Meta!$D$3,$Z11-$R26,"")</f>
        <v>0</v>
      </c>
      <c r="U26" s="217">
        <f>IF(FU29=Meta!$D$3,IF(Q26&lt;0,Q26+T26,-1*(GC29+Q26)),"")</f>
        <v>0</v>
      </c>
      <c r="V26" s="218">
        <f>IF(FU29=Meta!$D$3,SUMIF(JJ_Jan1[[ ]],"",JJ_Jan1[ITBI/ITCMD]),"")</f>
        <v>0</v>
      </c>
      <c r="W26" s="215">
        <f>IF(FU29=Meta!$D$3,SUMIF(JJ_Jan1[[ ]],Meta!$AA$4,JJ_Jan1[ITBI/ITCMD]),"")</f>
        <v>0</v>
      </c>
      <c r="X26" s="215">
        <f>IF(FU29=Meta!$D$3,SUMIF(JJ_Jan1[[ ]],Meta!$AA$3,JJ_Jan1[ITBI/ITCMD]),"")</f>
        <v>0</v>
      </c>
      <c r="Y26" s="216">
        <f>IF(FU29=Meta!$D$3,SUM($V26:$X26),"")</f>
        <v>0</v>
      </c>
      <c r="Z26" s="219">
        <f>IF(FU29=Meta!$D$3,$Y26-$V26*VLOOKUP($V30,Meta!$E$2:$F$4,2,FALSE)-$W26*VLOOKUP($W30,Meta!$E$2:$F$4,2,FALSE)-$X26*VLOOKUP($X30,Meta!$E$2:$F$4,2,FALSE),"")</f>
        <v>0</v>
      </c>
      <c r="AA26" s="175"/>
      <c r="AB26" s="73"/>
      <c r="AC26" s="81" t="str">
        <f>IFERROR(VLOOKUP(AA_Jan1[[#This Row],[Emols.]],Meta!$AK$3:$AN$256,3,FALSE),"")</f>
        <v/>
      </c>
      <c r="AD26" s="325"/>
      <c r="AE26" s="324"/>
      <c r="AF26" s="493" t="str">
        <f>IF(AA_Jan1[[#This Row],[Total Nota]]="",TEXT(IFERROR(VLOOKUP(AA_Jan1[[#This Row],[Emols.]],Meta!$AK$3:$AN$256,2,FALSE)+AA_Jan1[[#This Row],[ITBI/ITCMD]],""),"#.##0,00"),"")</f>
        <v/>
      </c>
      <c r="AG26" s="482">
        <f>AA_Jan1[[#This Row],[Emols.]]-AA_Jan1[[#This Row],[Comissão]]</f>
        <v>0</v>
      </c>
      <c r="AH26" s="83">
        <f>VLOOKUP($AE$29,Meta!$Q$3:$R$16,2,FALSE)*AD26</f>
        <v>0</v>
      </c>
      <c r="AI26" s="83">
        <f>AA_Jan1[[#This Row],[Total Nota]]-AA_Jan1[[#This Row],[Comissão]]</f>
        <v>0</v>
      </c>
      <c r="AJ26" s="42"/>
      <c r="AK26" s="324"/>
      <c r="AL26" s="493" t="str">
        <f>IF(AND(AA_Jan1[[#This Row],[Total Nota]]&lt;&gt;"",AA_Jan1[[#This Row],[ITBI/ITCMD]]="",AA_Jan1[[#This Row],[Total Nota]]-IFERROR(VLOOKUP(AA_Jan1[[#This Row],[Emols.]],Meta!$AK$3:$AN$256,2,FALSE),0)&lt;&gt;0),TEXT(IFERROR(AA_Jan1[[#This Row],[Total Nota]]-VLOOKUP(AA_Jan1[[#This Row],[Emols.]],Meta!$AK$3:$AN$256,2,FALSE),""),"#.##0,00"),"")</f>
        <v/>
      </c>
      <c r="AM26" s="484"/>
      <c r="AN26" s="40"/>
      <c r="AO26" s="325"/>
      <c r="AP26" s="326"/>
      <c r="AQ26" s="85"/>
      <c r="AR26" s="73"/>
      <c r="AS26" s="87" t="str">
        <f>IFERROR(VLOOKUP(BB_Jan1[[#This Row],[Emols.]],Meta!$AK$3:$AN$256,3,FALSE),"")</f>
        <v/>
      </c>
      <c r="AT26" s="325"/>
      <c r="AU26" s="489"/>
      <c r="AV26" s="494" t="str">
        <f>IF(BB_Jan1[[#This Row],[Total Nota]]="",TEXT(IFERROR(VLOOKUP(BB_Jan1[[#This Row],[Emols.]],Meta!$AK$3:$AN$256,2,FALSE)+BB_Jan1[[#This Row],[ITBI/ITCMD]],""),"#.##0,00"),"")</f>
        <v/>
      </c>
      <c r="AW26" s="482">
        <f>BB_Jan1[[#This Row],[Emols.]]-BB_Jan1[[#This Row],[Comissão]]</f>
        <v>0</v>
      </c>
      <c r="AX26" s="83">
        <f>VLOOKUP($AU$29,Meta!$Q$3:$R$16,2,FALSE)*AT26</f>
        <v>0</v>
      </c>
      <c r="AY26" s="83">
        <f>BB_Jan1[[#This Row],[Total Nota]]-BB_Jan1[[#This Row],[Comissão]]</f>
        <v>0</v>
      </c>
      <c r="AZ26" s="43"/>
      <c r="BA26" s="489"/>
      <c r="BB26" s="494" t="str">
        <f>IF(AND(BB_Jan1[[#This Row],[Total Nota]]&lt;&gt;"",BB_Jan1[[#This Row],[ITBI/ITCMD]]="",BB_Jan1[[#This Row],[Total Nota]]-IFERROR(VLOOKUP(BB_Jan1[[#This Row],[Emols.]],Meta!$AK$3:$AN$256,2,FALSE),0)&lt;&gt;0),TEXT(IFERROR(BB_Jan1[[#This Row],[Total Nota]]-VLOOKUP(BB_Jan1[[#This Row],[Emols.]],Meta!$AK$3:$AN$256,2,FALSE),""),"#.##0,00"),"")</f>
        <v/>
      </c>
      <c r="BC26" s="484"/>
      <c r="BD26" s="41"/>
      <c r="BE26" s="325"/>
      <c r="BF26" s="326"/>
      <c r="BG26" s="89"/>
      <c r="BH26" s="73"/>
      <c r="BI26" s="90" t="str">
        <f>IFERROR(VLOOKUP(CC_Jan1[[#This Row],[Emols.]],Meta!$AK$3:$AN$256,3,FALSE),"")</f>
        <v/>
      </c>
      <c r="BJ26" s="325"/>
      <c r="BK26" s="489"/>
      <c r="BL26" s="494" t="str">
        <f>IF(CC_Jan1[[#This Row],[Total Nota]]="",TEXT(IFERROR(VLOOKUP(CC_Jan1[[#This Row],[Emols.]],Meta!$AK$3:$AN$256,2,FALSE)+CC_Jan1[[#This Row],[ITBI/ITCMD]],""),"#.##0,00"),"")</f>
        <v/>
      </c>
      <c r="BM26" s="482">
        <f>CC_Jan1[[#This Row],[Emols.]]-CC_Jan1[[#This Row],[Comissão]]</f>
        <v>0</v>
      </c>
      <c r="BN26" s="83">
        <f>VLOOKUP($BK$29,Meta!$Q$3:$R$16,2,FALSE)*BJ26</f>
        <v>0</v>
      </c>
      <c r="BO26" s="83">
        <f>CC_Jan1[[#This Row],[Total Nota]]-CC_Jan1[[#This Row],[Comissão]]</f>
        <v>0</v>
      </c>
      <c r="BP26" s="44"/>
      <c r="BQ26" s="489"/>
      <c r="BR26" s="494" t="str">
        <f>IF(AND(CC_Jan1[[#This Row],[Total Nota]]&lt;&gt;"",CC_Jan1[[#This Row],[ITBI/ITCMD]]="",CC_Jan1[[#This Row],[Total Nota]]-IFERROR(VLOOKUP(CC_Jan1[[#This Row],[Emols.]],Meta!$AK$3:$AN$256,2,FALSE),0)&lt;&gt;0),TEXT(IFERROR(CC_Jan1[[#This Row],[Total Nota]]-VLOOKUP(CC_Jan1[[#This Row],[Emols.]],Meta!$AK$3:$AN$256,2,FALSE),""),"#.##0,00"),"")</f>
        <v/>
      </c>
      <c r="BS26" s="484"/>
      <c r="BT26" s="47"/>
      <c r="BU26" s="325"/>
      <c r="BV26" s="326"/>
      <c r="BW26" s="91"/>
      <c r="BX26" s="73"/>
      <c r="BY26" s="92" t="str">
        <f>IFERROR(VLOOKUP(DD_Jan1[[#This Row],[Emols.]],Meta!$AK$3:$AN$256,3,FALSE),"")</f>
        <v/>
      </c>
      <c r="BZ26" s="325"/>
      <c r="CA26" s="489"/>
      <c r="CB26" s="494" t="str">
        <f>IF(DD_Jan1[[#This Row],[Total Nota]]="",TEXT(IFERROR(VLOOKUP(DD_Jan1[[#This Row],[Emols.]],Meta!$AK$3:$AN$256,2,FALSE)+DD_Jan1[[#This Row],[ITBI/ITCMD]],""),"#.##0,00"),"")</f>
        <v/>
      </c>
      <c r="CC26" s="482">
        <f>DD_Jan1[[#This Row],[Emols.]]-DD_Jan1[[#This Row],[Comissão]]</f>
        <v>0</v>
      </c>
      <c r="CD26" s="83">
        <f>VLOOKUP($CA$29,Meta!$Q$3:$R$16,2,FALSE)*BZ26</f>
        <v>0</v>
      </c>
      <c r="CE26" s="83">
        <f>DD_Jan1[[#This Row],[Total Nota]]-DD_Jan1[[#This Row],[Comissão]]</f>
        <v>0</v>
      </c>
      <c r="CF26" s="139"/>
      <c r="CG26" s="324"/>
      <c r="CH26" s="493" t="str">
        <f>IF(AND(DD_Jan1[[#This Row],[Total Nota]]&lt;&gt;"",DD_Jan1[[#This Row],[ITBI/ITCMD]]="",DD_Jan1[[#This Row],[Total Nota]]-IFERROR(VLOOKUP(DD_Jan1[[#This Row],[Emols.]],Meta!$AK$3:$AN$256,2,FALSE),0)&lt;&gt;0),TEXT(IFERROR(DD_Jan1[[#This Row],[Total Nota]]-VLOOKUP(DD_Jan1[[#This Row],[Emols.]],Meta!$AK$3:$AN$256,2,FALSE),""),"#.##0,00"),"")</f>
        <v/>
      </c>
      <c r="CI26" s="484"/>
      <c r="CJ26" s="93"/>
      <c r="CK26" s="325"/>
      <c r="CL26" s="326"/>
      <c r="CM26" s="94"/>
      <c r="CN26" s="73"/>
      <c r="CO26" s="95" t="str">
        <f>IFERROR(VLOOKUP(EE_Jan1[[#This Row],[Emols.]],Meta!$AK$3:$AN$256,3,FALSE),"")</f>
        <v/>
      </c>
      <c r="CP26" s="325"/>
      <c r="CQ26" s="489"/>
      <c r="CR26" s="494" t="str">
        <f>IF(EE_Jan1[[#This Row],[Total Nota]]="",TEXT(IFERROR(VLOOKUP(EE_Jan1[[#This Row],[Emols.]],Meta!$AK$3:$AN$256,2,FALSE)+EE_Jan1[[#This Row],[ITBI/ITCMD]],""),"#.##0,00"),"")</f>
        <v/>
      </c>
      <c r="CS26" s="482">
        <f>EE_Jan1[[#This Row],[Emols.]]-EE_Jan1[[#This Row],[Comissão]]</f>
        <v>0</v>
      </c>
      <c r="CT26" s="83">
        <f>VLOOKUP($CQ$29,Meta!$Q$3:$R$16,2,FALSE)*CP26</f>
        <v>0</v>
      </c>
      <c r="CU26" s="83">
        <f>EE_Jan1[[#This Row],[Total Nota]]-EE_Jan1[[#This Row],[Comissão]]</f>
        <v>0</v>
      </c>
      <c r="CV26" s="140"/>
      <c r="CW26" s="324"/>
      <c r="CX26" s="493" t="str">
        <f>IF(AND(EE_Jan1[[#This Row],[Total Nota]]&lt;&gt;"",EE_Jan1[[#This Row],[ITBI/ITCMD]]="",EE_Jan1[[#This Row],[Total Nota]]-IFERROR(VLOOKUP(EE_Jan1[[#This Row],[Emols.]],Meta!$AK$3:$AN$256,2,FALSE),0)&lt;&gt;0),TEXT(IFERROR(EE_Jan1[[#This Row],[Total Nota]]-VLOOKUP(EE_Jan1[[#This Row],[Emols.]],Meta!$AK$3:$AN$256,2,FALSE),""),"#.##0,00"),"")</f>
        <v/>
      </c>
      <c r="CY26" s="484"/>
      <c r="CZ26" s="96"/>
      <c r="DA26" s="325"/>
      <c r="DB26" s="326"/>
      <c r="DC26" s="97"/>
      <c r="DD26" s="73"/>
      <c r="DE26" s="87" t="str">
        <f>IFERROR(VLOOKUP(FF_Jan1[[#This Row],[Emols.]],Meta!$AK$3:$AN$256,3,FALSE),"")</f>
        <v/>
      </c>
      <c r="DF26" s="325"/>
      <c r="DG26" s="324"/>
      <c r="DH26" s="493" t="str">
        <f>IF(FF_Jan1[[#This Row],[Total Nota]]="",TEXT(IFERROR(VLOOKUP(FF_Jan1[[#This Row],[Emols.]],Meta!$AK$3:$AN$256,2,FALSE)+FF_Jan1[[#This Row],[ITBI/ITCMD]],""),"#.##0,00"),"")</f>
        <v/>
      </c>
      <c r="DI26" s="482">
        <f>FF_Jan1[[#This Row],[Emols.]]-FF_Jan1[[#This Row],[Comissão]]</f>
        <v>0</v>
      </c>
      <c r="DJ26" s="83">
        <f>VLOOKUP($DG$29,Meta!$Q$3:$R$16,2,FALSE)*DF26</f>
        <v>0</v>
      </c>
      <c r="DK26" s="83">
        <f>FF_Jan1[[#This Row],[Total Nota]]-FF_Jan1[[#This Row],[Comissão]]</f>
        <v>0</v>
      </c>
      <c r="DL26" s="43"/>
      <c r="DM26" s="489"/>
      <c r="DN26" s="494" t="str">
        <f>IF(AND(FF_Jan1[[#This Row],[Total Nota]]&lt;&gt;"",FF_Jan1[[#This Row],[ITBI/ITCMD]]="",FF_Jan1[[#This Row],[Total Nota]]-IFERROR(VLOOKUP(FF_Jan1[[#This Row],[Emols.]],Meta!$AK$3:$AN$256,2,FALSE),0)&lt;&gt;0),TEXT(IFERROR(FF_Jan1[[#This Row],[Total Nota]]-VLOOKUP(FF_Jan1[[#This Row],[Emols.]],Meta!$AK$3:$AN$256,2,FALSE),""),"#.##0,00"),"")</f>
        <v/>
      </c>
      <c r="DO26" s="484"/>
      <c r="DP26" s="41"/>
      <c r="DQ26" s="325"/>
      <c r="DR26" s="326"/>
      <c r="DS26" s="98"/>
      <c r="DT26" s="73"/>
      <c r="DU26" s="99" t="str">
        <f>IFERROR(VLOOKUP(GG_Jan1[[#This Row],[Emols.]],Meta!$AK$3:$AN$256,3,FALSE),"")</f>
        <v/>
      </c>
      <c r="DV26" s="330"/>
      <c r="DW26" s="492"/>
      <c r="DX26" s="494" t="str">
        <f>IF(GG_Jan1[[#This Row],[Total Nota]]="",TEXT(IFERROR(VLOOKUP(GG_Jan1[[#This Row],[Emols.]],Meta!$AK$3:$AN$256,2,FALSE)+GG_Jan1[[#This Row],[ITBI/ITCMD]],""),"#.##0,00"),"")</f>
        <v/>
      </c>
      <c r="DY26" s="485">
        <f>GG_Jan1[[#This Row],[Emols.]]-GG_Jan1[[#This Row],[Comissão]]</f>
        <v>0</v>
      </c>
      <c r="DZ26" s="101">
        <f>VLOOKUP($DW$29,Meta!$Q$3:$R$16,2,FALSE)*DV26</f>
        <v>0</v>
      </c>
      <c r="EA26" s="101">
        <f>GG_Jan1[[#This Row],[Total Nota]]-GG_Jan1[[#This Row],[Comissão]]</f>
        <v>0</v>
      </c>
      <c r="EB26" s="132"/>
      <c r="EC26" s="332"/>
      <c r="ED26" s="493" t="str">
        <f>IF(AND(GG_Jan1[[#This Row],[Total Nota]]&lt;&gt;"",GG_Jan1[[#This Row],[ITBI/ITCMD]]="",GG_Jan1[[#This Row],[Total Nota]]-IFERROR(VLOOKUP(GG_Jan1[[#This Row],[Emols.]],Meta!$AK$3:$AN$256,2,FALSE),0)&lt;&gt;0),TEXT(IFERROR(GG_Jan1[[#This Row],[Total Nota]]-VLOOKUP(GG_Jan1[[#This Row],[Emols.]],Meta!$AK$3:$AN$256,2,FALSE),""),"#.##0,00"),"")</f>
        <v/>
      </c>
      <c r="EE26" s="487"/>
      <c r="EF26" s="102"/>
      <c r="EG26" s="330"/>
      <c r="EH26" s="326"/>
      <c r="EI26" s="104"/>
      <c r="EJ26" s="73"/>
      <c r="EK26" s="99" t="str">
        <f>IFERROR(VLOOKUP(HH_Jan1[[#This Row],[Emols.]],Meta!$AK$3:$AN$256,3,FALSE),"")</f>
        <v/>
      </c>
      <c r="EL26" s="330"/>
      <c r="EM26" s="332"/>
      <c r="EN26" s="493" t="str">
        <f>IF(HH_Jan1[[#This Row],[Total Nota]]="",TEXT(IFERROR(VLOOKUP(HH_Jan1[[#This Row],[Emols.]],Meta!$AK$3:$AN$256,2,FALSE)+HH_Jan1[[#This Row],[ITBI/ITCMD]],""),"#.##0,00"),"")</f>
        <v/>
      </c>
      <c r="EO26" s="485">
        <f>HH_Jan1[[#This Row],[Emols.]]-HH_Jan1[[#This Row],[Comissão]]</f>
        <v>0</v>
      </c>
      <c r="EP26" s="101">
        <f>VLOOKUP($EM$29,Meta!$Q$3:$R$16,2,FALSE)*EL26</f>
        <v>0</v>
      </c>
      <c r="EQ26" s="101">
        <f>HH_Jan1[[#This Row],[Total Nota]]-HH_Jan1[[#This Row],[Comissão]]</f>
        <v>0</v>
      </c>
      <c r="ER26" s="132"/>
      <c r="ES26" s="332"/>
      <c r="ET26" s="493" t="str">
        <f>IF(AND(HH_Jan1[[#This Row],[Total Nota]]&lt;&gt;"",HH_Jan1[[#This Row],[ITBI/ITCMD]]="",HH_Jan1[[#This Row],[Total Nota]]-IFERROR(VLOOKUP(HH_Jan1[[#This Row],[Emols.]],Meta!$AK$3:$AN$256,2,FALSE),0)&lt;&gt;0),TEXT(IFERROR(HH_Jan1[[#This Row],[Total Nota]]-VLOOKUP(HH_Jan1[[#This Row],[Emols.]],Meta!$AK$3:$AN$256,2,FALSE),""),"#.##0,00"),"")</f>
        <v/>
      </c>
      <c r="EU26" s="487"/>
      <c r="EV26" s="102"/>
      <c r="EW26" s="330"/>
      <c r="EX26" s="326"/>
      <c r="EY26" s="104"/>
      <c r="EZ26" s="73"/>
      <c r="FA26" s="99" t="str">
        <f>IFERROR(VLOOKUP(II_Jan1[[#This Row],[Emols.]],Meta!$AK$3:$AN$256,3,FALSE),"")</f>
        <v/>
      </c>
      <c r="FB26" s="330"/>
      <c r="FC26" s="332"/>
      <c r="FD26" s="493" t="str">
        <f>IF(II_Jan1[[#This Row],[Total Nota]]="",TEXT(IFERROR(VLOOKUP(II_Jan1[[#This Row],[Emols.]],Meta!$AK$3:$AN$256,2,FALSE)+II_Jan1[[#This Row],[ITBI/ITCMD]],""),"#.##0,00"),"")</f>
        <v/>
      </c>
      <c r="FE26" s="485">
        <f>II_Jan1[[#This Row],[Emols.]]-II_Jan1[[#This Row],[Comissão]]</f>
        <v>0</v>
      </c>
      <c r="FF26" s="101">
        <f>VLOOKUP($FC$29,Meta!$Q$3:$R$16,2,FALSE)*FB26</f>
        <v>0</v>
      </c>
      <c r="FG26" s="101">
        <f>II_Jan1[[#This Row],[Total Nota]]-II_Jan1[[#This Row],[Comissão]]</f>
        <v>0</v>
      </c>
      <c r="FH26" s="132"/>
      <c r="FI26" s="332"/>
      <c r="FJ26" s="493" t="str">
        <f>IF(AND(II_Jan1[[#This Row],[Total Nota]]&lt;&gt;"",II_Jan1[[#This Row],[ITBI/ITCMD]]="",II_Jan1[[#This Row],[Total Nota]]-IFERROR(VLOOKUP(II_Jan1[[#This Row],[Emols.]],Meta!$AK$3:$AN$256,2,FALSE),0)&lt;&gt;0),TEXT(IFERROR(II_Jan1[[#This Row],[Total Nota]]-VLOOKUP(II_Jan1[[#This Row],[Emols.]],Meta!$AK$3:$AN$256,2,FALSE),""),"#.##0,00"),"")</f>
        <v/>
      </c>
      <c r="FK26" s="487"/>
      <c r="FL26" s="102"/>
      <c r="FM26" s="330"/>
      <c r="FN26" s="326"/>
      <c r="FO26" s="104"/>
      <c r="FP26" s="73"/>
      <c r="FQ26" s="99" t="str">
        <f>IFERROR(VLOOKUP(JJ_Jan1[[#This Row],[Emols.]],Meta!$AK$3:$AN$256,3,FALSE),"")</f>
        <v/>
      </c>
      <c r="FR26" s="330"/>
      <c r="FS26" s="332"/>
      <c r="FT26" s="493" t="str">
        <f>IF(JJ_Jan1[[#This Row],[Total Nota]]="",TEXT(IFERROR(VLOOKUP(JJ_Jan1[[#This Row],[Emols.]],Meta!$AK$3:$AN$256,2,FALSE)+JJ_Jan1[[#This Row],[ITBI/ITCMD]],""),"#.##0,00"),"")</f>
        <v/>
      </c>
      <c r="FU26" s="485">
        <f>JJ_Jan1[[#This Row],[Emols.]]-JJ_Jan1[[#This Row],[Comissão]]</f>
        <v>0</v>
      </c>
      <c r="FV26" s="101">
        <f>VLOOKUP($FS$29,Meta!$Q$3:$R$16,2,FALSE)*FR26</f>
        <v>0</v>
      </c>
      <c r="FW26" s="101">
        <f>JJ_Jan1[[#This Row],[Total Nota]]-JJ_Jan1[[#This Row],[Comissão]]</f>
        <v>0</v>
      </c>
      <c r="FX26" s="132"/>
      <c r="FY26" s="492"/>
      <c r="FZ26" s="494" t="str">
        <f>IF(AND(JJ_Jan1[[#This Row],[Total Nota]]&lt;&gt;"",JJ_Jan1[[#This Row],[ITBI/ITCMD]]="",JJ_Jan1[[#This Row],[Total Nota]]-IFERROR(VLOOKUP(JJ_Jan1[[#This Row],[Emols.]],Meta!$AK$3:$AN$256,2,FALSE),0)&lt;&gt;0),TEXT(IFERROR(JJ_Jan1[[#This Row],[Total Nota]]-VLOOKUP(JJ_Jan1[[#This Row],[Emols.]],Meta!$AK$3:$AN$256,2,FALSE),""),"#.##0,00"),"")</f>
        <v/>
      </c>
      <c r="GA26" s="487"/>
      <c r="GB26" s="102"/>
      <c r="GC26" s="330"/>
      <c r="GD26" s="326"/>
      <c r="GE26" s="104"/>
      <c r="GF26" s="73"/>
      <c r="GG26" s="99" t="str">
        <f>IFERROR(VLOOKUP(KK_Jan1[[#This Row],[Emols.]],Meta!$AK$3:$AN$256,3,FALSE),"")</f>
        <v/>
      </c>
      <c r="GH26" s="330"/>
      <c r="GI26" s="332"/>
      <c r="GJ26" s="493" t="str">
        <f>IF(KK_Jan1[[#This Row],[Total Nota]]="",TEXT(IFERROR(VLOOKUP(KK_Jan1[[#This Row],[Emols.]],Meta!$AK$3:$AN$256,2,FALSE)+KK_Jan1[[#This Row],[ITBI/ITCMD]],""),"#.##0,00"),"")</f>
        <v/>
      </c>
      <c r="GK26" s="485">
        <f>KK_Jan1[[#This Row],[Emols.]]-KK_Jan1[[#This Row],[Comissão]]</f>
        <v>0</v>
      </c>
      <c r="GL26" s="101">
        <f>VLOOKUP($GI$29,Meta!$Q$3:$R$16,2,FALSE)*GH26</f>
        <v>0</v>
      </c>
      <c r="GM26" s="101">
        <f>KK_Jan1[[#This Row],[Total Nota]]-KK_Jan1[[#This Row],[Comissão]]</f>
        <v>0</v>
      </c>
      <c r="GN26" s="132"/>
      <c r="GO26" s="332"/>
      <c r="GP26" s="493" t="str">
        <f>IF(AND(KK_Jan1[[#This Row],[Total Nota]]&lt;&gt;"",KK_Jan1[[#This Row],[ITBI/ITCMD]]="",KK_Jan1[[#This Row],[Total Nota]]-IFERROR(VLOOKUP(KK_Jan1[[#This Row],[Emols.]],Meta!$AK$3:$AN$256,2,FALSE),0)&lt;&gt;0),TEXT(IFERROR(KK_Jan1[[#This Row],[Total Nota]]-VLOOKUP(KK_Jan1[[#This Row],[Emols.]],Meta!$AK$3:$AN$256,2,FALSE),""),"#.##0,00"),"")</f>
        <v/>
      </c>
      <c r="GQ26" s="487"/>
      <c r="GR26" s="102"/>
      <c r="GS26" s="330"/>
      <c r="GT26" s="326"/>
      <c r="GU26" s="104"/>
      <c r="GV26" s="73"/>
      <c r="GW26" s="99" t="str">
        <f>IFERROR(VLOOKUP(LL_Jan1[[#This Row],[Emols.]],Meta!$AK$3:$AN$256,3,FALSE),"")</f>
        <v/>
      </c>
      <c r="GX26" s="330"/>
      <c r="GY26" s="332"/>
      <c r="GZ26" s="493" t="str">
        <f>IF(LL_Jan1[[#This Row],[Total Nota]]="",TEXT(IFERROR(VLOOKUP(LL_Jan1[[#This Row],[Emols.]],Meta!$AK$3:$AN$256,2,FALSE)+LL_Jan1[[#This Row],[ITBI/ITCMD]],""),"#.##0,00"),"")</f>
        <v/>
      </c>
      <c r="HA26" s="485">
        <f>LL_Jan1[[#This Row],[Emols.]]-LL_Jan1[[#This Row],[Comissão]]</f>
        <v>0</v>
      </c>
      <c r="HB26" s="101">
        <f>VLOOKUP($GY$29,Meta!$Q$3:$R$16,2,FALSE)*GX26</f>
        <v>0</v>
      </c>
      <c r="HC26" s="101">
        <f>LL_Jan1[[#This Row],[Total Nota]]-LL_Jan1[[#This Row],[Comissão]]</f>
        <v>0</v>
      </c>
      <c r="HD26" s="132"/>
      <c r="HE26" s="492"/>
      <c r="HF26" s="494" t="str">
        <f>IF(AND(LL_Jan1[[#This Row],[Total Nota]]&lt;&gt;"",LL_Jan1[[#This Row],[ITBI/ITCMD]]="",LL_Jan1[[#This Row],[Total Nota]]-IFERROR(VLOOKUP(LL_Jan1[[#This Row],[Emols.]],Meta!$AK$3:$AN$256,2,FALSE),0)&lt;&gt;0),TEXT(IFERROR(LL_Jan1[[#This Row],[Total Nota]]-VLOOKUP(LL_Jan1[[#This Row],[Emols.]],Meta!$AK$3:$AN$256,2,FALSE),""),"#.##0,00"),"")</f>
        <v/>
      </c>
      <c r="HG26" s="487"/>
      <c r="HH26" s="102"/>
      <c r="HI26" s="330"/>
      <c r="HJ26" s="326"/>
      <c r="HK26" s="104"/>
      <c r="HL26" s="105"/>
    </row>
    <row r="27" spans="1:220" ht="14.45" customHeight="1" x14ac:dyDescent="0.25">
      <c r="A27" s="184"/>
      <c r="B27" s="559" t="str">
        <f>IF(GK29=Meta!$D$3,Meta!$Q$13,"")</f>
        <v>Kiko</v>
      </c>
      <c r="C27" s="559"/>
      <c r="D27" s="559"/>
      <c r="E27" s="559"/>
      <c r="F27" s="559"/>
      <c r="G27" s="559"/>
      <c r="H27" s="559"/>
      <c r="I27" s="557"/>
      <c r="J27" s="550">
        <f>IF(GK29=Meta!$D$3,Y27-Z27,"")</f>
        <v>0</v>
      </c>
      <c r="K27" s="501" t="str">
        <f t="shared" si="3"/>
        <v/>
      </c>
      <c r="L27" s="502" t="str">
        <f t="shared" si="4"/>
        <v/>
      </c>
      <c r="M27" s="525" t="str">
        <f t="shared" si="5"/>
        <v/>
      </c>
      <c r="N27" s="508"/>
      <c r="O27" s="535"/>
      <c r="P27" s="207" t="str">
        <f>IF(GK29=Meta!$D$3,Meta!$Q$13,"")</f>
        <v>Kiko</v>
      </c>
      <c r="Q27" s="208">
        <f>IF(GK29=Meta!$D$3,-($S27-$R27),"")</f>
        <v>0</v>
      </c>
      <c r="R27" s="209">
        <f>IF(GK29=Meta!$D$3,ROUND($Q12*VLOOKUP($Q15,Meta!$E$3:$F$4,2,FALSE)+R12*VLOOKUP($R15,Meta!$E$3:$F$4,2,FALSE)+S12*VLOOKUP($S15,Meta!$E$3:$F$4,2,FALSE)+T12*VLOOKUP($T15,Meta!$E$3:$F$4,2,FALSE)+U12*VLOOKUP($U15,Meta!$E$3:$F$4,2,FALSE)+V12*VLOOKUP($V15,Meta!$E$3:$F$4,2,FALSE)+W12*VLOOKUP($W15,Meta!$E$3:$F$4,2,FALSE)+X12*VLOOKUP($X15,Meta!$E$3:$F$4,2,FALSE)+Y12*VLOOKUP($Y15,Meta!$E$3:$F$4,2,FALSE),2),"")</f>
        <v>0</v>
      </c>
      <c r="S27" s="210">
        <f>IF(GK29=Meta!$D$3,KK_Jan1[[#Totals],[A Receber]]*VLOOKUP(GK29,Meta!$D$3:$F$4,3,FALSE),"")</f>
        <v>0</v>
      </c>
      <c r="T27" s="209">
        <f>IF(GK29=Meta!$D$3,$Z12-$R27,"")</f>
        <v>0</v>
      </c>
      <c r="U27" s="211">
        <f>IF(GK29=Meta!$D$3,IF(Q27&lt;0,Q27+T27,-1*(GS29+Q27)),"")</f>
        <v>0</v>
      </c>
      <c r="V27" s="212">
        <f>IF(GK29=Meta!$D$3,SUMIF(KK_Jan1[[ ]],"",KK_Jan1[ITBI/ITCMD]),"")</f>
        <v>0</v>
      </c>
      <c r="W27" s="209">
        <f>IF(GK29=Meta!$D$3,SUMIF(KK_Jan1[[ ]],Meta!$AA$4,KK_Jan1[ITBI/ITCMD]),"")</f>
        <v>0</v>
      </c>
      <c r="X27" s="209">
        <f>IF(GK29=Meta!$D$3,SUMIF(KK_Jan1[[ ]],Meta!$AA$3,KK_Jan1[ITBI/ITCMD]),"")</f>
        <v>0</v>
      </c>
      <c r="Y27" s="210">
        <f>IF(GK29=Meta!$D$3,SUM($V27:$X27),"")</f>
        <v>0</v>
      </c>
      <c r="Z27" s="213">
        <f>IF(GK29=Meta!$D$3,$Y27-$V27*VLOOKUP($V30,Meta!$E$2:$F$4,2,FALSE)-$W27*VLOOKUP($W30,Meta!$E$2:$F$4,2,FALSE)-$X27*VLOOKUP($X30,Meta!$E$2:$F$4,2,FALSE),"")</f>
        <v>0</v>
      </c>
      <c r="AA27" s="175"/>
      <c r="AB27" s="73"/>
      <c r="AC27" s="81" t="str">
        <f>IFERROR(VLOOKUP(AA_Jan1[[#This Row],[Emols.]],Meta!$AK$3:$AN$256,3,FALSE),"")</f>
        <v/>
      </c>
      <c r="AD27" s="325"/>
      <c r="AE27" s="324"/>
      <c r="AF27" s="495" t="str">
        <f>IF(AA_Jan1[[#This Row],[Total Nota]]="",TEXT(IFERROR(VLOOKUP(AA_Jan1[[#This Row],[Emols.]],Meta!$AK$3:$AN$256,2,FALSE)+AA_Jan1[[#This Row],[ITBI/ITCMD]],""),"#.##0,00"),"")</f>
        <v/>
      </c>
      <c r="AG27" s="483">
        <f>AA_Jan1[[#This Row],[Emols.]]-AA_Jan1[[#This Row],[Comissão]]</f>
        <v>0</v>
      </c>
      <c r="AH27" s="83">
        <f>VLOOKUP($AE$29,Meta!$Q$3:$R$16,2,FALSE)*AD27</f>
        <v>0</v>
      </c>
      <c r="AI27" s="221">
        <f>AA_Jan1[[#This Row],[Total Nota]]-AA_Jan1[[#This Row],[Comissão]]</f>
        <v>0</v>
      </c>
      <c r="AJ27" s="42"/>
      <c r="AK27" s="324"/>
      <c r="AL27" s="494" t="str">
        <f>IF(AND(AA_Jan1[[#This Row],[Total Nota]]&lt;&gt;"",AA_Jan1[[#This Row],[ITBI/ITCMD]]="",AA_Jan1[[#This Row],[Total Nota]]-IFERROR(VLOOKUP(AA_Jan1[[#This Row],[Emols.]],Meta!$AK$3:$AN$256,2,FALSE),0)&lt;&gt;0),TEXT(IFERROR(AA_Jan1[[#This Row],[Total Nota]]-VLOOKUP(AA_Jan1[[#This Row],[Emols.]],Meta!$AK$3:$AN$256,2,FALSE),""),"#.##0,00"),"")</f>
        <v/>
      </c>
      <c r="AM27" s="484"/>
      <c r="AN27" s="40"/>
      <c r="AO27" s="327"/>
      <c r="AP27" s="328"/>
      <c r="AQ27" s="85"/>
      <c r="AR27" s="73"/>
      <c r="AS27" s="87" t="str">
        <f>IFERROR(VLOOKUP(BB_Jan1[[#This Row],[Emols.]],Meta!$AK$3:$AN$256,3,FALSE),"")</f>
        <v/>
      </c>
      <c r="AT27" s="327"/>
      <c r="AU27" s="329"/>
      <c r="AV27" s="495" t="str">
        <f>IF(BB_Jan1[[#This Row],[Total Nota]]="",TEXT(IFERROR(VLOOKUP(BB_Jan1[[#This Row],[Emols.]],Meta!$AK$3:$AN$256,2,FALSE)+BB_Jan1[[#This Row],[ITBI/ITCMD]],""),"#.##0,00"),"")</f>
        <v/>
      </c>
      <c r="AW27" s="483">
        <f>BB_Jan1[[#This Row],[Emols.]]-BB_Jan1[[#This Row],[Comissão]]</f>
        <v>0</v>
      </c>
      <c r="AX27" s="221">
        <f>VLOOKUP($AU$29,Meta!$Q$3:$R$16,2,FALSE)*AT27</f>
        <v>0</v>
      </c>
      <c r="AY27" s="221">
        <f>BB_Jan1[[#This Row],[Total Nota]]-BB_Jan1[[#This Row],[Comissão]]</f>
        <v>0</v>
      </c>
      <c r="AZ27" s="43"/>
      <c r="BA27" s="329"/>
      <c r="BB27" s="494" t="str">
        <f>IF(AND(BB_Jan1[[#This Row],[Total Nota]]&lt;&gt;"",BB_Jan1[[#This Row],[ITBI/ITCMD]]="",BB_Jan1[[#This Row],[Total Nota]]-IFERROR(VLOOKUP(BB_Jan1[[#This Row],[Emols.]],Meta!$AK$3:$AN$256,2,FALSE),0)&lt;&gt;0),TEXT(IFERROR(BB_Jan1[[#This Row],[Total Nota]]-VLOOKUP(BB_Jan1[[#This Row],[Emols.]],Meta!$AK$3:$AN$256,2,FALSE),""),"#.##0,00"),"")</f>
        <v/>
      </c>
      <c r="BC27" s="484"/>
      <c r="BD27" s="41"/>
      <c r="BE27" s="327"/>
      <c r="BF27" s="328"/>
      <c r="BG27" s="89"/>
      <c r="BH27" s="73"/>
      <c r="BI27" s="90" t="str">
        <f>IFERROR(VLOOKUP(CC_Jan1[[#This Row],[Emols.]],Meta!$AK$3:$AN$256,3,FALSE),"")</f>
        <v/>
      </c>
      <c r="BJ27" s="327"/>
      <c r="BK27" s="329"/>
      <c r="BL27" s="495" t="str">
        <f>IF(CC_Jan1[[#This Row],[Total Nota]]="",TEXT(IFERROR(VLOOKUP(CC_Jan1[[#This Row],[Emols.]],Meta!$AK$3:$AN$256,2,FALSE)+CC_Jan1[[#This Row],[ITBI/ITCMD]],""),"#.##0,00"),"")</f>
        <v/>
      </c>
      <c r="BM27" s="483">
        <f>CC_Jan1[[#This Row],[Emols.]]-CC_Jan1[[#This Row],[Comissão]]</f>
        <v>0</v>
      </c>
      <c r="BN27" s="221">
        <f>VLOOKUP($BK$29,Meta!$Q$3:$R$16,2,FALSE)*BJ27</f>
        <v>0</v>
      </c>
      <c r="BO27" s="221">
        <f>CC_Jan1[[#This Row],[Total Nota]]-CC_Jan1[[#This Row],[Comissão]]</f>
        <v>0</v>
      </c>
      <c r="BP27" s="44"/>
      <c r="BQ27" s="329"/>
      <c r="BR27" s="494" t="str">
        <f>IF(AND(CC_Jan1[[#This Row],[Total Nota]]&lt;&gt;"",CC_Jan1[[#This Row],[ITBI/ITCMD]]="",CC_Jan1[[#This Row],[Total Nota]]-IFERROR(VLOOKUP(CC_Jan1[[#This Row],[Emols.]],Meta!$AK$3:$AN$256,2,FALSE),0)&lt;&gt;0),TEXT(IFERROR(CC_Jan1[[#This Row],[Total Nota]]-VLOOKUP(CC_Jan1[[#This Row],[Emols.]],Meta!$AK$3:$AN$256,2,FALSE),""),"#.##0,00"),"")</f>
        <v/>
      </c>
      <c r="BS27" s="484"/>
      <c r="BT27" s="47"/>
      <c r="BU27" s="327"/>
      <c r="BV27" s="328"/>
      <c r="BW27" s="91"/>
      <c r="BX27" s="73"/>
      <c r="BY27" s="92" t="str">
        <f>IFERROR(VLOOKUP(DD_Jan1[[#This Row],[Emols.]],Meta!$AK$3:$AN$256,3,FALSE),"")</f>
        <v/>
      </c>
      <c r="BZ27" s="327"/>
      <c r="CA27" s="329"/>
      <c r="CB27" s="495" t="str">
        <f>IF(DD_Jan1[[#This Row],[Total Nota]]="",TEXT(IFERROR(VLOOKUP(DD_Jan1[[#This Row],[Emols.]],Meta!$AK$3:$AN$256,2,FALSE)+DD_Jan1[[#This Row],[ITBI/ITCMD]],""),"#.##0,00"),"")</f>
        <v/>
      </c>
      <c r="CC27" s="483">
        <f>DD_Jan1[[#This Row],[Emols.]]-DD_Jan1[[#This Row],[Comissão]]</f>
        <v>0</v>
      </c>
      <c r="CD27" s="221">
        <f>VLOOKUP($CA$29,Meta!$Q$3:$R$16,2,FALSE)*BZ27</f>
        <v>0</v>
      </c>
      <c r="CE27" s="221">
        <f>DD_Jan1[[#This Row],[Total Nota]]-DD_Jan1[[#This Row],[Comissão]]</f>
        <v>0</v>
      </c>
      <c r="CF27" s="139"/>
      <c r="CG27" s="329"/>
      <c r="CH27" s="494" t="str">
        <f>IF(AND(DD_Jan1[[#This Row],[Total Nota]]&lt;&gt;"",DD_Jan1[[#This Row],[ITBI/ITCMD]]="",DD_Jan1[[#This Row],[Total Nota]]-IFERROR(VLOOKUP(DD_Jan1[[#This Row],[Emols.]],Meta!$AK$3:$AN$256,2,FALSE),0)&lt;&gt;0),TEXT(IFERROR(DD_Jan1[[#This Row],[Total Nota]]-VLOOKUP(DD_Jan1[[#This Row],[Emols.]],Meta!$AK$3:$AN$256,2,FALSE),""),"#.##0,00"),"")</f>
        <v/>
      </c>
      <c r="CI27" s="484"/>
      <c r="CJ27" s="93"/>
      <c r="CK27" s="327"/>
      <c r="CL27" s="328"/>
      <c r="CM27" s="94"/>
      <c r="CN27" s="73"/>
      <c r="CO27" s="95" t="str">
        <f>IFERROR(VLOOKUP(EE_Jan1[[#This Row],[Emols.]],Meta!$AK$3:$AN$256,3,FALSE),"")</f>
        <v/>
      </c>
      <c r="CP27" s="327"/>
      <c r="CQ27" s="329"/>
      <c r="CR27" s="495" t="str">
        <f>IF(EE_Jan1[[#This Row],[Total Nota]]="",TEXT(IFERROR(VLOOKUP(EE_Jan1[[#This Row],[Emols.]],Meta!$AK$3:$AN$256,2,FALSE)+EE_Jan1[[#This Row],[ITBI/ITCMD]],""),"#.##0,00"),"")</f>
        <v/>
      </c>
      <c r="CS27" s="483">
        <f>EE_Jan1[[#This Row],[Emols.]]-EE_Jan1[[#This Row],[Comissão]]</f>
        <v>0</v>
      </c>
      <c r="CT27" s="221">
        <f>VLOOKUP($CQ$29,Meta!$Q$3:$R$16,2,FALSE)*CP27</f>
        <v>0</v>
      </c>
      <c r="CU27" s="221">
        <f>EE_Jan1[[#This Row],[Total Nota]]-EE_Jan1[[#This Row],[Comissão]]</f>
        <v>0</v>
      </c>
      <c r="CV27" s="140"/>
      <c r="CW27" s="329"/>
      <c r="CX27" s="494" t="str">
        <f>IF(AND(EE_Jan1[[#This Row],[Total Nota]]&lt;&gt;"",EE_Jan1[[#This Row],[ITBI/ITCMD]]="",EE_Jan1[[#This Row],[Total Nota]]-IFERROR(VLOOKUP(EE_Jan1[[#This Row],[Emols.]],Meta!$AK$3:$AN$256,2,FALSE),0)&lt;&gt;0),TEXT(IFERROR(EE_Jan1[[#This Row],[Total Nota]]-VLOOKUP(EE_Jan1[[#This Row],[Emols.]],Meta!$AK$3:$AN$256,2,FALSE),""),"#.##0,00"),"")</f>
        <v/>
      </c>
      <c r="CY27" s="484"/>
      <c r="CZ27" s="96"/>
      <c r="DA27" s="327"/>
      <c r="DB27" s="328"/>
      <c r="DC27" s="97"/>
      <c r="DD27" s="73"/>
      <c r="DE27" s="87" t="str">
        <f>IFERROR(VLOOKUP(FF_Jan1[[#This Row],[Emols.]],Meta!$AK$3:$AN$256,3,FALSE),"")</f>
        <v/>
      </c>
      <c r="DF27" s="327"/>
      <c r="DG27" s="329"/>
      <c r="DH27" s="495" t="str">
        <f>IF(FF_Jan1[[#This Row],[Total Nota]]="",TEXT(IFERROR(VLOOKUP(FF_Jan1[[#This Row],[Emols.]],Meta!$AK$3:$AN$256,2,FALSE)+FF_Jan1[[#This Row],[ITBI/ITCMD]],""),"#.##0,00"),"")</f>
        <v/>
      </c>
      <c r="DI27" s="483">
        <f>FF_Jan1[[#This Row],[Emols.]]-FF_Jan1[[#This Row],[Comissão]]</f>
        <v>0</v>
      </c>
      <c r="DJ27" s="221">
        <f>VLOOKUP($DG$29,Meta!$Q$3:$R$16,2,FALSE)*DF27</f>
        <v>0</v>
      </c>
      <c r="DK27" s="221">
        <f>FF_Jan1[[#This Row],[Total Nota]]-FF_Jan1[[#This Row],[Comissão]]</f>
        <v>0</v>
      </c>
      <c r="DL27" s="43"/>
      <c r="DM27" s="329"/>
      <c r="DN27" s="494" t="str">
        <f>IF(AND(FF_Jan1[[#This Row],[Total Nota]]&lt;&gt;"",FF_Jan1[[#This Row],[ITBI/ITCMD]]="",FF_Jan1[[#This Row],[Total Nota]]-IFERROR(VLOOKUP(FF_Jan1[[#This Row],[Emols.]],Meta!$AK$3:$AN$256,2,FALSE),0)&lt;&gt;0),TEXT(IFERROR(FF_Jan1[[#This Row],[Total Nota]]-VLOOKUP(FF_Jan1[[#This Row],[Emols.]],Meta!$AK$3:$AN$256,2,FALSE),""),"#.##0,00"),"")</f>
        <v/>
      </c>
      <c r="DO27" s="484"/>
      <c r="DP27" s="41"/>
      <c r="DQ27" s="327"/>
      <c r="DR27" s="328"/>
      <c r="DS27" s="98"/>
      <c r="DT27" s="73"/>
      <c r="DU27" s="99" t="str">
        <f>IFERROR(VLOOKUP(GG_Jan1[[#This Row],[Emols.]],Meta!$AK$3:$AN$256,3,FALSE),"")</f>
        <v/>
      </c>
      <c r="DV27" s="331"/>
      <c r="DW27" s="333"/>
      <c r="DX27" s="495" t="str">
        <f>IF(GG_Jan1[[#This Row],[Total Nota]]="",TEXT(IFERROR(VLOOKUP(GG_Jan1[[#This Row],[Emols.]],Meta!$AK$3:$AN$256,2,FALSE)+GG_Jan1[[#This Row],[ITBI/ITCMD]],""),"#.##0,00"),"")</f>
        <v/>
      </c>
      <c r="DY27" s="486">
        <f>GG_Jan1[[#This Row],[Emols.]]-GG_Jan1[[#This Row],[Comissão]]</f>
        <v>0</v>
      </c>
      <c r="DZ27" s="222">
        <f>VLOOKUP($DW$29,Meta!$Q$3:$R$16,2,FALSE)*DV27</f>
        <v>0</v>
      </c>
      <c r="EA27" s="222">
        <f>GG_Jan1[[#This Row],[Total Nota]]-GG_Jan1[[#This Row],[Comissão]]</f>
        <v>0</v>
      </c>
      <c r="EB27" s="132"/>
      <c r="EC27" s="333"/>
      <c r="ED27" s="494" t="str">
        <f>IF(AND(GG_Jan1[[#This Row],[Total Nota]]&lt;&gt;"",GG_Jan1[[#This Row],[ITBI/ITCMD]]="",GG_Jan1[[#This Row],[Total Nota]]-IFERROR(VLOOKUP(GG_Jan1[[#This Row],[Emols.]],Meta!$AK$3:$AN$256,2,FALSE),0)&lt;&gt;0),TEXT(IFERROR(GG_Jan1[[#This Row],[Total Nota]]-VLOOKUP(GG_Jan1[[#This Row],[Emols.]],Meta!$AK$3:$AN$256,2,FALSE),""),"#.##0,00"),"")</f>
        <v/>
      </c>
      <c r="EE27" s="487"/>
      <c r="EF27" s="102"/>
      <c r="EG27" s="331"/>
      <c r="EH27" s="328"/>
      <c r="EI27" s="104"/>
      <c r="EJ27" s="73"/>
      <c r="EK27" s="99" t="str">
        <f>IFERROR(VLOOKUP(HH_Jan1[[#This Row],[Emols.]],Meta!$AK$3:$AN$256,3,FALSE),"")</f>
        <v/>
      </c>
      <c r="EL27" s="331"/>
      <c r="EM27" s="332"/>
      <c r="EN27" s="494" t="str">
        <f>IF(HH_Jan1[[#This Row],[Total Nota]]="",TEXT(IFERROR(VLOOKUP(HH_Jan1[[#This Row],[Emols.]],Meta!$AK$3:$AN$256,2,FALSE)+HH_Jan1[[#This Row],[ITBI/ITCMD]],""),"#.##0,00"),"")</f>
        <v/>
      </c>
      <c r="EO27" s="486">
        <f>HH_Jan1[[#This Row],[Emols.]]-HH_Jan1[[#This Row],[Comissão]]</f>
        <v>0</v>
      </c>
      <c r="EP27" s="101">
        <f>VLOOKUP($EM$29,Meta!$Q$3:$R$16,2,FALSE)*EL27</f>
        <v>0</v>
      </c>
      <c r="EQ27" s="222">
        <f>HH_Jan1[[#This Row],[Total Nota]]-HH_Jan1[[#This Row],[Comissão]]</f>
        <v>0</v>
      </c>
      <c r="ER27" s="132"/>
      <c r="ES27" s="333"/>
      <c r="ET27" s="494" t="str">
        <f>IF(AND(HH_Jan1[[#This Row],[Total Nota]]&lt;&gt;"",HH_Jan1[[#This Row],[ITBI/ITCMD]]="",HH_Jan1[[#This Row],[Total Nota]]-IFERROR(VLOOKUP(HH_Jan1[[#This Row],[Emols.]],Meta!$AK$3:$AN$256,2,FALSE),0)&lt;&gt;0),TEXT(IFERROR(HH_Jan1[[#This Row],[Total Nota]]-VLOOKUP(HH_Jan1[[#This Row],[Emols.]],Meta!$AK$3:$AN$256,2,FALSE),""),"#.##0,00"),"")</f>
        <v/>
      </c>
      <c r="EU27" s="487"/>
      <c r="EV27" s="102"/>
      <c r="EW27" s="331"/>
      <c r="EX27" s="328"/>
      <c r="EY27" s="104"/>
      <c r="EZ27" s="73"/>
      <c r="FA27" s="99" t="str">
        <f>IFERROR(VLOOKUP(II_Jan1[[#This Row],[Emols.]],Meta!$AK$3:$AN$256,3,FALSE),"")</f>
        <v/>
      </c>
      <c r="FB27" s="331"/>
      <c r="FC27" s="332"/>
      <c r="FD27" s="494" t="str">
        <f>IF(II_Jan1[[#This Row],[Total Nota]]="",TEXT(IFERROR(VLOOKUP(II_Jan1[[#This Row],[Emols.]],Meta!$AK$3:$AN$256,2,FALSE)+II_Jan1[[#This Row],[ITBI/ITCMD]],""),"#.##0,00"),"")</f>
        <v/>
      </c>
      <c r="FE27" s="486">
        <f>II_Jan1[[#This Row],[Emols.]]-II_Jan1[[#This Row],[Comissão]]</f>
        <v>0</v>
      </c>
      <c r="FF27" s="222">
        <f>VLOOKUP($FC$29,Meta!$Q$3:$R$16,2,FALSE)*FB27</f>
        <v>0</v>
      </c>
      <c r="FG27" s="222">
        <f>II_Jan1[[#This Row],[Total Nota]]-II_Jan1[[#This Row],[Comissão]]</f>
        <v>0</v>
      </c>
      <c r="FH27" s="132"/>
      <c r="FI27" s="333"/>
      <c r="FJ27" s="494" t="str">
        <f>IF(AND(II_Jan1[[#This Row],[Total Nota]]&lt;&gt;"",II_Jan1[[#This Row],[ITBI/ITCMD]]="",II_Jan1[[#This Row],[Total Nota]]-IFERROR(VLOOKUP(II_Jan1[[#This Row],[Emols.]],Meta!$AK$3:$AN$256,2,FALSE),0)&lt;&gt;0),TEXT(IFERROR(II_Jan1[[#This Row],[Total Nota]]-VLOOKUP(II_Jan1[[#This Row],[Emols.]],Meta!$AK$3:$AN$256,2,FALSE),""),"#.##0,00"),"")</f>
        <v/>
      </c>
      <c r="FK27" s="487"/>
      <c r="FL27" s="102"/>
      <c r="FM27" s="331"/>
      <c r="FN27" s="328"/>
      <c r="FO27" s="104"/>
      <c r="FP27" s="73"/>
      <c r="FQ27" s="99" t="str">
        <f>IFERROR(VLOOKUP(JJ_Jan1[[#This Row],[Emols.]],Meta!$AK$3:$AN$256,3,FALSE),"")</f>
        <v/>
      </c>
      <c r="FR27" s="331"/>
      <c r="FS27" s="332"/>
      <c r="FT27" s="494" t="str">
        <f>IF(JJ_Jan1[[#This Row],[Total Nota]]="",TEXT(IFERROR(VLOOKUP(JJ_Jan1[[#This Row],[Emols.]],Meta!$AK$3:$AN$256,2,FALSE)+JJ_Jan1[[#This Row],[ITBI/ITCMD]],""),"#.##0,00"),"")</f>
        <v/>
      </c>
      <c r="FU27" s="486">
        <f>JJ_Jan1[[#This Row],[Emols.]]-JJ_Jan1[[#This Row],[Comissão]]</f>
        <v>0</v>
      </c>
      <c r="FV27" s="222">
        <f>VLOOKUP($FS$29,Meta!$Q$3:$R$16,2,FALSE)*FR27</f>
        <v>0</v>
      </c>
      <c r="FW27" s="222">
        <f>JJ_Jan1[[#This Row],[Total Nota]]-JJ_Jan1[[#This Row],[Comissão]]</f>
        <v>0</v>
      </c>
      <c r="FX27" s="132"/>
      <c r="FY27" s="333"/>
      <c r="FZ27" s="494" t="str">
        <f>IF(AND(JJ_Jan1[[#This Row],[Total Nota]]&lt;&gt;"",JJ_Jan1[[#This Row],[ITBI/ITCMD]]="",JJ_Jan1[[#This Row],[Total Nota]]-IFERROR(VLOOKUP(JJ_Jan1[[#This Row],[Emols.]],Meta!$AK$3:$AN$256,2,FALSE),0)&lt;&gt;0),TEXT(IFERROR(JJ_Jan1[[#This Row],[Total Nota]]-VLOOKUP(JJ_Jan1[[#This Row],[Emols.]],Meta!$AK$3:$AN$256,2,FALSE),""),"#.##0,00"),"")</f>
        <v/>
      </c>
      <c r="GA27" s="487"/>
      <c r="GB27" s="102"/>
      <c r="GC27" s="331"/>
      <c r="GD27" s="328"/>
      <c r="GE27" s="104"/>
      <c r="GF27" s="73"/>
      <c r="GG27" s="99" t="str">
        <f>IFERROR(VLOOKUP(KK_Jan1[[#This Row],[Emols.]],Meta!$AK$3:$AN$256,3,FALSE),"")</f>
        <v/>
      </c>
      <c r="GH27" s="331"/>
      <c r="GI27" s="332"/>
      <c r="GJ27" s="494" t="str">
        <f>IF(KK_Jan1[[#This Row],[Total Nota]]="",TEXT(IFERROR(VLOOKUP(KK_Jan1[[#This Row],[Emols.]],Meta!$AK$3:$AN$256,2,FALSE)+KK_Jan1[[#This Row],[ITBI/ITCMD]],""),"#.##0,00"),"")</f>
        <v/>
      </c>
      <c r="GK27" s="486">
        <f>KK_Jan1[[#This Row],[Emols.]]-KK_Jan1[[#This Row],[Comissão]]</f>
        <v>0</v>
      </c>
      <c r="GL27" s="222">
        <f>VLOOKUP($GI$29,Meta!$Q$3:$R$16,2,FALSE)*GH27</f>
        <v>0</v>
      </c>
      <c r="GM27" s="222">
        <f>KK_Jan1[[#This Row],[Total Nota]]-KK_Jan1[[#This Row],[Comissão]]</f>
        <v>0</v>
      </c>
      <c r="GN27" s="132"/>
      <c r="GO27" s="333"/>
      <c r="GP27" s="494" t="str">
        <f>IF(AND(KK_Jan1[[#This Row],[Total Nota]]&lt;&gt;"",KK_Jan1[[#This Row],[ITBI/ITCMD]]="",KK_Jan1[[#This Row],[Total Nota]]-IFERROR(VLOOKUP(KK_Jan1[[#This Row],[Emols.]],Meta!$AK$3:$AN$256,2,FALSE),0)&lt;&gt;0),TEXT(IFERROR(KK_Jan1[[#This Row],[Total Nota]]-VLOOKUP(KK_Jan1[[#This Row],[Emols.]],Meta!$AK$3:$AN$256,2,FALSE),""),"#.##0,00"),"")</f>
        <v/>
      </c>
      <c r="GQ27" s="487"/>
      <c r="GR27" s="102"/>
      <c r="GS27" s="331"/>
      <c r="GT27" s="328"/>
      <c r="GU27" s="104"/>
      <c r="GV27" s="73"/>
      <c r="GW27" s="99" t="str">
        <f>IFERROR(VLOOKUP(LL_Jan1[[#This Row],[Emols.]],Meta!$AK$3:$AN$256,3,FALSE),"")</f>
        <v/>
      </c>
      <c r="GX27" s="331"/>
      <c r="GY27" s="332"/>
      <c r="GZ27" s="494" t="str">
        <f>IF(LL_Jan1[[#This Row],[Total Nota]]="",TEXT(IFERROR(VLOOKUP(LL_Jan1[[#This Row],[Emols.]],Meta!$AK$3:$AN$256,2,FALSE)+LL_Jan1[[#This Row],[ITBI/ITCMD]],""),"#.##0,00"),"")</f>
        <v/>
      </c>
      <c r="HA27" s="486">
        <f>LL_Jan1[[#This Row],[Emols.]]-LL_Jan1[[#This Row],[Comissão]]</f>
        <v>0</v>
      </c>
      <c r="HB27" s="222">
        <f>VLOOKUP($GY$29,Meta!$Q$3:$R$16,2,FALSE)*GX27</f>
        <v>0</v>
      </c>
      <c r="HC27" s="222">
        <f>LL_Jan1[[#This Row],[Total Nota]]-LL_Jan1[[#This Row],[Comissão]]</f>
        <v>0</v>
      </c>
      <c r="HD27" s="132"/>
      <c r="HE27" s="333"/>
      <c r="HF27" s="494" t="str">
        <f>IF(AND(LL_Jan1[[#This Row],[Total Nota]]&lt;&gt;"",LL_Jan1[[#This Row],[ITBI/ITCMD]]="",LL_Jan1[[#This Row],[Total Nota]]-IFERROR(VLOOKUP(LL_Jan1[[#This Row],[Emols.]],Meta!$AK$3:$AN$256,2,FALSE),0)&lt;&gt;0),TEXT(IFERROR(LL_Jan1[[#This Row],[Total Nota]]-VLOOKUP(LL_Jan1[[#This Row],[Emols.]],Meta!$AK$3:$AN$256,2,FALSE),""),"#.##0,00"),"")</f>
        <v/>
      </c>
      <c r="HG27" s="487"/>
      <c r="HH27" s="102"/>
      <c r="HI27" s="331"/>
      <c r="HJ27" s="328"/>
      <c r="HK27" s="104"/>
      <c r="HL27" s="105"/>
    </row>
    <row r="28" spans="1:220" ht="14.45" customHeight="1" x14ac:dyDescent="0.25">
      <c r="A28" s="184"/>
      <c r="B28" s="540" t="str">
        <f>IF(HA29=Meta!$D$3,Meta!$Q$14,"")</f>
        <v>Laura</v>
      </c>
      <c r="C28" s="541"/>
      <c r="D28" s="531"/>
      <c r="E28" s="541"/>
      <c r="F28" s="541"/>
      <c r="G28" s="541"/>
      <c r="H28" s="541"/>
      <c r="I28" s="547"/>
      <c r="J28" s="551">
        <f>IF(HA29=Meta!$D$3,Y28-Z28,"")</f>
        <v>0</v>
      </c>
      <c r="K28" s="526" t="str">
        <f t="shared" si="3"/>
        <v/>
      </c>
      <c r="L28" s="527" t="str">
        <f t="shared" si="4"/>
        <v/>
      </c>
      <c r="M28" s="528" t="str">
        <f t="shared" si="5"/>
        <v/>
      </c>
      <c r="N28" s="508"/>
      <c r="O28" s="535"/>
      <c r="P28" s="223" t="str">
        <f>IF(HA29=Meta!$D$3,Meta!$Q$14,"")</f>
        <v>Laura</v>
      </c>
      <c r="Q28" s="224">
        <f>IF(HA29=Meta!$D$3,-($S28-$R28),"")</f>
        <v>0</v>
      </c>
      <c r="R28" s="225">
        <f>IF(HA29=Meta!$D$3,ROUND($Q13*VLOOKUP($Q15,Meta!$E$3:$F$4,2,FALSE)+R13*VLOOKUP($R15,Meta!$E$3:$F$4,2,FALSE)+S13*VLOOKUP($S15,Meta!$E$3:$F$4,2,FALSE)+T13*VLOOKUP($T15,Meta!$E$3:$F$4,2,FALSE)+U13*VLOOKUP($U15,Meta!$E$3:$F$4,2,FALSE)+V13*VLOOKUP($V15,Meta!$E$3:$F$4,2,FALSE)+W13*VLOOKUP($W15,Meta!$E$3:$F$4,2,FALSE)+X13*VLOOKUP($X15,Meta!$E$3:$F$4,2,FALSE)+Y13*VLOOKUP($Y15,Meta!$E$3:$F$4,2,FALSE),2),"")</f>
        <v>0</v>
      </c>
      <c r="S28" s="226">
        <f>IF(HA29=Meta!$D$3,LL_Jan1[[#Totals],[A Receber]]*VLOOKUP(HA29,Meta!$D$3:$F$4,3,FALSE),"")</f>
        <v>0</v>
      </c>
      <c r="T28" s="225">
        <f>IF(HA29=Meta!$D$3,$Z13-$R28,"")</f>
        <v>0</v>
      </c>
      <c r="U28" s="227">
        <f>IF(HA29=Meta!$D$3,IF(Q28&lt;0,Q28+T28,-1*(HI29+Q28)),"")</f>
        <v>0</v>
      </c>
      <c r="V28" s="228">
        <f>IF(HA29=Meta!$D$3,SUMIF(LL_Jan1[[ ]],"",LL_Jan1[ITBI/ITCMD]),"")</f>
        <v>0</v>
      </c>
      <c r="W28" s="225">
        <f>IF(HA29=Meta!$D$3,SUMIF(LL_Jan1[[ ]],Meta!$AA$4,LL_Jan1[ITBI/ITCMD]),"")</f>
        <v>0</v>
      </c>
      <c r="X28" s="225">
        <f>IF(HA29=Meta!$D$3,SUMIF(LL_Jan1[[ ]],Meta!$AA$3,LL_Jan1[ITBI/ITCMD]),"")</f>
        <v>0</v>
      </c>
      <c r="Y28" s="226">
        <f>IF(HA29=Meta!$D$3,SUM($V28:$X28),"")</f>
        <v>0</v>
      </c>
      <c r="Z28" s="229">
        <f>IF(HA29=Meta!$D$3,$Y28-$V28*VLOOKUP($V30,Meta!$E$2:$F$4,2,FALSE)-$W28*VLOOKUP($W30,Meta!$E$2:$F$4,2,FALSE)-$X28*VLOOKUP($X30,Meta!$E$2:$F$4,2,FALSE),"")</f>
        <v>0</v>
      </c>
      <c r="AA28" s="175"/>
      <c r="AB28" s="73"/>
      <c r="AC28" s="230"/>
      <c r="AD28" s="82">
        <f>SUM(AA_Jan1[Emols.])</f>
        <v>0</v>
      </c>
      <c r="AE28" s="88">
        <f>SUM(AA_Jan1[Total Nota])</f>
        <v>0</v>
      </c>
      <c r="AF28" s="231"/>
      <c r="AG28" s="231">
        <f>SUM(AA_Jan1[Do Tabelião])</f>
        <v>0</v>
      </c>
      <c r="AH28" s="82">
        <f>SUM(AA_Jan1[Comissão])</f>
        <v>0</v>
      </c>
      <c r="AI28" s="82">
        <f>ROUND(SUM(AA_Jan1[A Receber]),2)</f>
        <v>0</v>
      </c>
      <c r="AJ28" s="40"/>
      <c r="AK28" s="88">
        <f>SUM(AA_Jan1[ITBI/ITCMD])</f>
        <v>0</v>
      </c>
      <c r="AL28" s="481"/>
      <c r="AM28" s="231"/>
      <c r="AN28" s="232"/>
      <c r="AO28" s="88">
        <f>SUM(AA_Jan1[Entregue])</f>
        <v>0</v>
      </c>
      <c r="AP28" s="231"/>
      <c r="AQ28" s="85"/>
      <c r="AR28" s="73"/>
      <c r="AS28" s="233"/>
      <c r="AT28" s="82">
        <f>SUM(BB_Jan1[Emols.])</f>
        <v>0</v>
      </c>
      <c r="AU28" s="88">
        <f>SUM(BB_Jan1[Total Nota])</f>
        <v>0</v>
      </c>
      <c r="AV28" s="231"/>
      <c r="AW28" s="231">
        <f>SUM(BB_Jan1[Do Tabelião])</f>
        <v>0</v>
      </c>
      <c r="AX28" s="82">
        <f>SUM(BB_Jan1[Comissão])</f>
        <v>0</v>
      </c>
      <c r="AY28" s="82">
        <f>ROUND(SUM(BB_Jan1[A Receber]),2)</f>
        <v>0</v>
      </c>
      <c r="AZ28" s="232"/>
      <c r="BA28" s="88">
        <f>SUM(BB_Jan1[ITBI/ITCMD])</f>
        <v>0</v>
      </c>
      <c r="BB28" s="481"/>
      <c r="BC28" s="232"/>
      <c r="BD28" s="234"/>
      <c r="BE28" s="88">
        <f>SUM(BB_Jan1[Entregue])</f>
        <v>0</v>
      </c>
      <c r="BF28" s="231"/>
      <c r="BG28" s="89"/>
      <c r="BH28" s="73"/>
      <c r="BI28" s="235"/>
      <c r="BJ28" s="82">
        <f>SUM(CC_Jan1[Emols.])</f>
        <v>0</v>
      </c>
      <c r="BK28" s="88">
        <f>SUM(CC_Jan1[Total Nota])</f>
        <v>0</v>
      </c>
      <c r="BL28" s="231"/>
      <c r="BM28" s="231">
        <f>SUM(CC_Jan1[Do Tabelião])</f>
        <v>0</v>
      </c>
      <c r="BN28" s="82">
        <f>SUM(CC_Jan1[Comissão])</f>
        <v>0</v>
      </c>
      <c r="BO28" s="82">
        <f>ROUND(SUM(CC_Jan1[A Receber]),2)</f>
        <v>0</v>
      </c>
      <c r="BP28" s="232"/>
      <c r="BQ28" s="88">
        <f>SUM(CC_Jan1[ITBI/ITCMD])</f>
        <v>0</v>
      </c>
      <c r="BR28" s="481"/>
      <c r="BS28" s="232"/>
      <c r="BT28" s="234"/>
      <c r="BU28" s="88">
        <f>SUM(CC_Jan1[Entregue])</f>
        <v>0</v>
      </c>
      <c r="BV28" s="231"/>
      <c r="BW28" s="91"/>
      <c r="BX28" s="73"/>
      <c r="BY28" s="236"/>
      <c r="BZ28" s="82">
        <f>SUM(DD_Jan1[Emols.])</f>
        <v>0</v>
      </c>
      <c r="CA28" s="88">
        <f>SUM(DD_Jan1[Total Nota])</f>
        <v>0</v>
      </c>
      <c r="CB28" s="231"/>
      <c r="CC28" s="231">
        <f>SUM(DD_Jan1[Do Tabelião])</f>
        <v>0</v>
      </c>
      <c r="CD28" s="82">
        <f>SUM(DD_Jan1[Comissão])</f>
        <v>0</v>
      </c>
      <c r="CE28" s="82">
        <f>ROUND(SUM(DD_Jan1[A Receber]),2)</f>
        <v>0</v>
      </c>
      <c r="CF28" s="232"/>
      <c r="CG28" s="88">
        <f>SUM(DD_Jan1[ITBI/ITCMD])</f>
        <v>0</v>
      </c>
      <c r="CH28" s="481"/>
      <c r="CI28" s="232"/>
      <c r="CJ28" s="234"/>
      <c r="CK28" s="88">
        <f>SUM(DD_Jan1[Entregue])</f>
        <v>0</v>
      </c>
      <c r="CL28" s="231"/>
      <c r="CM28" s="94"/>
      <c r="CN28" s="73"/>
      <c r="CO28" s="237"/>
      <c r="CP28" s="82">
        <f>SUM(EE_Jan1[Emols.])</f>
        <v>0</v>
      </c>
      <c r="CQ28" s="88">
        <f>SUM(EE_Jan1[Total Nota])</f>
        <v>0</v>
      </c>
      <c r="CR28" s="231"/>
      <c r="CS28" s="231">
        <f>SUM(EE_Jan1[Do Tabelião])</f>
        <v>0</v>
      </c>
      <c r="CT28" s="82">
        <f>SUM(EE_Jan1[Comissão])</f>
        <v>0</v>
      </c>
      <c r="CU28" s="82">
        <f>ROUND(SUM(EE_Jan1[A Receber]),2)</f>
        <v>0</v>
      </c>
      <c r="CV28" s="232"/>
      <c r="CW28" s="88">
        <f>SUM(EE_Jan1[ITBI/ITCMD])</f>
        <v>0</v>
      </c>
      <c r="CX28" s="481"/>
      <c r="CY28" s="232"/>
      <c r="CZ28" s="234"/>
      <c r="DA28" s="88">
        <f>SUM(EE_Jan1[Entregue])</f>
        <v>0</v>
      </c>
      <c r="DB28" s="231"/>
      <c r="DC28" s="97"/>
      <c r="DD28" s="73"/>
      <c r="DE28" s="233"/>
      <c r="DF28" s="82">
        <f>SUM(FF_Jan1[Emols.])</f>
        <v>0</v>
      </c>
      <c r="DG28" s="88">
        <f>SUM(FF_Jan1[Total Nota])</f>
        <v>0</v>
      </c>
      <c r="DH28" s="231"/>
      <c r="DI28" s="231">
        <f>SUM(FF_Jan1[Do Tabelião])</f>
        <v>0</v>
      </c>
      <c r="DJ28" s="82">
        <f>SUM(FF_Jan1[Comissão])</f>
        <v>0</v>
      </c>
      <c r="DK28" s="82">
        <f>ROUND(SUM(FF_Jan1[A Receber]),2)</f>
        <v>0</v>
      </c>
      <c r="DL28" s="232"/>
      <c r="DM28" s="88">
        <f>SUM(FF_Jan1[ITBI/ITCMD])</f>
        <v>0</v>
      </c>
      <c r="DN28" s="481"/>
      <c r="DO28" s="232"/>
      <c r="DP28" s="234"/>
      <c r="DQ28" s="88">
        <f>SUM(FF_Jan1[Entregue])</f>
        <v>0</v>
      </c>
      <c r="DR28" s="231"/>
      <c r="DS28" s="98"/>
      <c r="DT28" s="73"/>
      <c r="DU28" s="238"/>
      <c r="DV28" s="100">
        <f>SUM(GG_Jan1[Emols.])</f>
        <v>0</v>
      </c>
      <c r="DW28" s="103">
        <f>SUM(GG_Jan1[Total Nota])</f>
        <v>0</v>
      </c>
      <c r="DX28" s="241"/>
      <c r="DY28" s="241">
        <f>SUM(GG_Jan1[Do Tabelião])</f>
        <v>0</v>
      </c>
      <c r="DZ28" s="100">
        <f>SUM(GG_Jan1[Comissão])</f>
        <v>0</v>
      </c>
      <c r="EA28" s="100">
        <f>ROUND(SUM(GG_Jan1[A Receber]),2)</f>
        <v>0</v>
      </c>
      <c r="EB28" s="239"/>
      <c r="EC28" s="103">
        <f>SUM(GG_Jan1[ITBI/ITCMD])</f>
        <v>0</v>
      </c>
      <c r="ED28" s="490"/>
      <c r="EE28" s="239"/>
      <c r="EF28" s="240"/>
      <c r="EG28" s="103">
        <f>SUM(GG_Jan1[Entregue])</f>
        <v>0</v>
      </c>
      <c r="EH28" s="241"/>
      <c r="EI28" s="104"/>
      <c r="EJ28" s="73"/>
      <c r="EK28" s="238"/>
      <c r="EL28" s="100">
        <f>SUM(HH_Jan1[Emols.])</f>
        <v>0</v>
      </c>
      <c r="EM28" s="239">
        <f>SUM(HH_Jan1[Total Nota])</f>
        <v>0</v>
      </c>
      <c r="EN28" s="488"/>
      <c r="EO28" s="241">
        <f>SUM(HH_Jan1[Do Tabelião])</f>
        <v>0</v>
      </c>
      <c r="EP28" s="100">
        <f>SUM(HH_Jan1[Comissão])</f>
        <v>0</v>
      </c>
      <c r="EQ28" s="100">
        <f>ROUND(SUM(HH_Jan1[A Receber]),2)</f>
        <v>0</v>
      </c>
      <c r="ER28" s="239"/>
      <c r="ES28" s="103">
        <f>SUM(HH_Jan1[ITBI/ITCMD])</f>
        <v>0</v>
      </c>
      <c r="ET28" s="490"/>
      <c r="EU28" s="239"/>
      <c r="EV28" s="240"/>
      <c r="EW28" s="103">
        <f>SUM(HH_Jan1[Entregue])</f>
        <v>0</v>
      </c>
      <c r="EX28" s="241"/>
      <c r="EY28" s="104"/>
      <c r="EZ28" s="73"/>
      <c r="FA28" s="238"/>
      <c r="FB28" s="100">
        <f>SUM(II_Jan1[Emols.])</f>
        <v>0</v>
      </c>
      <c r="FC28" s="491">
        <f>SUM(II_Jan1[Total Nota])</f>
        <v>0</v>
      </c>
      <c r="FD28" s="488"/>
      <c r="FE28" s="241">
        <f>SUM(II_Jan1[Do Tabelião])</f>
        <v>0</v>
      </c>
      <c r="FF28" s="100">
        <f>SUM(II_Jan1[Comissão])</f>
        <v>0</v>
      </c>
      <c r="FG28" s="100">
        <f>ROUND(SUM(II_Jan1[A Receber]),2)</f>
        <v>0</v>
      </c>
      <c r="FH28" s="239"/>
      <c r="FI28" s="103">
        <f>SUM(II_Jan1[ITBI/ITCMD])</f>
        <v>0</v>
      </c>
      <c r="FJ28" s="490"/>
      <c r="FK28" s="239"/>
      <c r="FL28" s="240"/>
      <c r="FM28" s="103">
        <f>SUM(II_Jan1[Entregue])</f>
        <v>0</v>
      </c>
      <c r="FN28" s="241"/>
      <c r="FO28" s="104"/>
      <c r="FP28" s="73"/>
      <c r="FQ28" s="238"/>
      <c r="FR28" s="100">
        <f>SUM(JJ_Jan1[Emols.])</f>
        <v>0</v>
      </c>
      <c r="FS28" s="491">
        <f>SUM(JJ_Jan1[Total Nota])</f>
        <v>0</v>
      </c>
      <c r="FT28" s="488"/>
      <c r="FU28" s="241">
        <f>SUM(JJ_Jan1[Do Tabelião])</f>
        <v>0</v>
      </c>
      <c r="FV28" s="100">
        <f>SUM(JJ_Jan1[Comissão])</f>
        <v>0</v>
      </c>
      <c r="FW28" s="100">
        <f>ROUND(SUM(JJ_Jan1[A Receber]),2)</f>
        <v>0</v>
      </c>
      <c r="FX28" s="239"/>
      <c r="FY28" s="103">
        <f>SUM(JJ_Jan1[ITBI/ITCMD])</f>
        <v>0</v>
      </c>
      <c r="FZ28" s="490"/>
      <c r="GA28" s="239"/>
      <c r="GB28" s="240"/>
      <c r="GC28" s="241">
        <f>SUM(JJ_Jan1[Entregue])</f>
        <v>0</v>
      </c>
      <c r="GD28" s="100"/>
      <c r="GE28" s="104"/>
      <c r="GF28" s="73"/>
      <c r="GG28" s="238"/>
      <c r="GH28" s="100">
        <f>SUM(KK_Jan1[Emols.])</f>
        <v>0</v>
      </c>
      <c r="GI28" s="491">
        <f>SUM(KK_Jan1[Total Nota])</f>
        <v>0</v>
      </c>
      <c r="GJ28" s="488"/>
      <c r="GK28" s="241">
        <f>SUM(KK_Jan1[Do Tabelião])</f>
        <v>0</v>
      </c>
      <c r="GL28" s="100">
        <f>SUM(KK_Jan1[Comissão])</f>
        <v>0</v>
      </c>
      <c r="GM28" s="100">
        <f>ROUND(SUM(KK_Jan1[A Receber]),2)</f>
        <v>0</v>
      </c>
      <c r="GN28" s="239"/>
      <c r="GO28" s="103">
        <f>SUM(KK_Jan1[ITBI/ITCMD])</f>
        <v>0</v>
      </c>
      <c r="GP28" s="490"/>
      <c r="GQ28" s="239"/>
      <c r="GR28" s="240"/>
      <c r="GS28" s="241">
        <f>SUM(KK_Jan1[Entregue])</f>
        <v>0</v>
      </c>
      <c r="GT28" s="100"/>
      <c r="GU28" s="104"/>
      <c r="GV28" s="73"/>
      <c r="GW28" s="238"/>
      <c r="GX28" s="100">
        <f>SUM(LL_Jan1[Emols.])</f>
        <v>0</v>
      </c>
      <c r="GY28" s="491">
        <f>SUM(LL_Jan1[Total Nota])</f>
        <v>0</v>
      </c>
      <c r="GZ28" s="488"/>
      <c r="HA28" s="241">
        <f>SUM(LL_Jan1[Do Tabelião])</f>
        <v>0</v>
      </c>
      <c r="HB28" s="100">
        <f>SUM(LL_Jan1[Comissão])</f>
        <v>0</v>
      </c>
      <c r="HC28" s="100">
        <f>ROUND(SUM(LL_Jan1[A Receber]),2)</f>
        <v>0</v>
      </c>
      <c r="HD28" s="239"/>
      <c r="HE28" s="103">
        <f>SUM(LL_Jan1[ITBI/ITCMD])</f>
        <v>0</v>
      </c>
      <c r="HF28" s="490"/>
      <c r="HG28" s="239"/>
      <c r="HH28" s="240"/>
      <c r="HI28" s="241">
        <f>SUM(LL_Jan1[Entregue])</f>
        <v>0</v>
      </c>
      <c r="HJ28" s="100"/>
      <c r="HK28" s="104"/>
      <c r="HL28" s="105"/>
    </row>
    <row r="29" spans="1:220" ht="14.45" customHeight="1" x14ac:dyDescent="0.25">
      <c r="A29" s="184"/>
      <c r="B29" s="503"/>
      <c r="C29" s="503"/>
      <c r="D29" s="503"/>
      <c r="E29" s="503"/>
      <c r="F29" s="503"/>
      <c r="G29" s="503"/>
      <c r="H29" s="503"/>
      <c r="I29" s="503"/>
      <c r="J29" s="504">
        <f t="shared" ref="J29" si="6">Y29-Z29</f>
        <v>0</v>
      </c>
      <c r="K29" s="505" t="str">
        <f t="shared" si="3"/>
        <v/>
      </c>
      <c r="L29" s="506" t="str">
        <f t="shared" si="4"/>
        <v/>
      </c>
      <c r="M29" s="507" t="str">
        <f t="shared" si="5"/>
        <v/>
      </c>
      <c r="N29" s="508"/>
      <c r="O29" s="535"/>
      <c r="P29" s="242" t="s">
        <v>2</v>
      </c>
      <c r="Q29" s="243">
        <f t="shared" ref="Q29:W29" si="7">SUM(Q17:Q28)</f>
        <v>0</v>
      </c>
      <c r="R29" s="244">
        <f t="shared" si="7"/>
        <v>0</v>
      </c>
      <c r="S29" s="244">
        <f>SUM(S17:S28)</f>
        <v>0</v>
      </c>
      <c r="T29" s="244">
        <f>SUM(T17:T28)</f>
        <v>0</v>
      </c>
      <c r="U29" s="245">
        <f t="shared" si="7"/>
        <v>0</v>
      </c>
      <c r="V29" s="496">
        <f t="shared" si="7"/>
        <v>0</v>
      </c>
      <c r="W29" s="244">
        <f t="shared" si="7"/>
        <v>0</v>
      </c>
      <c r="X29" s="244">
        <f t="shared" ref="X29:Y29" si="8">SUM(X17:X28)</f>
        <v>0</v>
      </c>
      <c r="Y29" s="244">
        <f t="shared" si="8"/>
        <v>0</v>
      </c>
      <c r="Z29" s="246">
        <f>SUM(Z17:Z28)</f>
        <v>0</v>
      </c>
      <c r="AA29" s="151"/>
      <c r="AB29" s="73"/>
      <c r="AC29" s="247"/>
      <c r="AD29" s="346"/>
      <c r="AE29" s="248" t="str">
        <f>Meta!$Q$3</f>
        <v>Alice</v>
      </c>
      <c r="AF29" s="476"/>
      <c r="AG29" s="345" t="s">
        <v>29</v>
      </c>
      <c r="AH29" s="249" t="s">
        <v>243</v>
      </c>
      <c r="AI29" s="250"/>
      <c r="AJ29" s="250"/>
      <c r="AK29" s="250"/>
      <c r="AL29" s="250"/>
      <c r="AM29" s="250"/>
      <c r="AN29" s="250" t="s">
        <v>15</v>
      </c>
      <c r="AO29" s="251">
        <f>AA_Jan1[[#Totals],[A Receber]]-AA_Jan1[[#Totals],[Entregue]]</f>
        <v>0</v>
      </c>
      <c r="AP29" s="249" t="str">
        <f>_xlfn.IFS(AO29=0,"",AO29&gt;0,Meta!$X$4,AO29&lt;0,Meta!$X$3)</f>
        <v/>
      </c>
      <c r="AQ29" s="252"/>
      <c r="AR29" s="73"/>
      <c r="AS29" s="253"/>
      <c r="AT29" s="338" t="s">
        <v>238</v>
      </c>
      <c r="AU29" s="254" t="str">
        <f>Meta!$Q$4</f>
        <v>Beto</v>
      </c>
      <c r="AV29" s="477"/>
      <c r="AW29" s="337" t="s">
        <v>29</v>
      </c>
      <c r="AX29" s="255" t="s">
        <v>243</v>
      </c>
      <c r="AY29" s="256"/>
      <c r="AZ29" s="256"/>
      <c r="BA29" s="256"/>
      <c r="BB29" s="256"/>
      <c r="BC29" s="256"/>
      <c r="BD29" s="256" t="s">
        <v>15</v>
      </c>
      <c r="BE29" s="257">
        <f>BB_Jan1[[#Totals],[A Receber]]-BB_Jan1[[#Totals],[Entregue]]</f>
        <v>0</v>
      </c>
      <c r="BF29" s="255" t="str" cm="1">
        <f t="array" ref="BF29">_xlfn.IFS(BE29=0,"",BE29&gt;0,Meta!$X$4,BE29&lt;0,Meta!$X$3)</f>
        <v/>
      </c>
      <c r="BG29" s="258"/>
      <c r="BH29" s="73"/>
      <c r="BI29" s="259"/>
      <c r="BJ29" s="344" t="s">
        <v>258</v>
      </c>
      <c r="BK29" s="260" t="str">
        <f>Meta!$Q$5</f>
        <v>Carlos</v>
      </c>
      <c r="BL29" s="478"/>
      <c r="BM29" s="343" t="s">
        <v>29</v>
      </c>
      <c r="BN29" s="261" t="s">
        <v>243</v>
      </c>
      <c r="BO29" s="262"/>
      <c r="BP29" s="262"/>
      <c r="BQ29" s="262"/>
      <c r="BR29" s="262"/>
      <c r="BS29" s="262"/>
      <c r="BT29" s="262" t="s">
        <v>15</v>
      </c>
      <c r="BU29" s="263">
        <f>CC_Jan1[[#Totals],[A Receber]]-CC_Jan1[[#Totals],[Entregue]]</f>
        <v>0</v>
      </c>
      <c r="BV29" s="261" t="str" cm="1">
        <f t="array" ref="BV29">_xlfn.IFS(BU29=0,"",BU29&gt;0,Meta!$X$4,BU29&lt;0,Meta!$X$3)</f>
        <v/>
      </c>
      <c r="BW29" s="264"/>
      <c r="BX29" s="73"/>
      <c r="BY29" s="265"/>
      <c r="BZ29" s="342" t="s">
        <v>257</v>
      </c>
      <c r="CA29" s="266" t="str">
        <f>Meta!$Q$6</f>
        <v>Daniel</v>
      </c>
      <c r="CB29" s="479"/>
      <c r="CC29" s="341" t="s">
        <v>29</v>
      </c>
      <c r="CD29" s="267" t="s">
        <v>243</v>
      </c>
      <c r="CE29" s="268"/>
      <c r="CF29" s="268"/>
      <c r="CG29" s="268"/>
      <c r="CH29" s="268"/>
      <c r="CI29" s="268"/>
      <c r="CJ29" s="268" t="s">
        <v>15</v>
      </c>
      <c r="CK29" s="269">
        <f>DD_Jan1[[#Totals],[A Receber]]-DD_Jan1[[#Totals],[Entregue]]</f>
        <v>0</v>
      </c>
      <c r="CL29" s="267" t="str" cm="1">
        <f t="array" ref="CL29">_xlfn.IFS(CK29=0,"",CK29&gt;0,Meta!$X$4,CK29&lt;0,Meta!$X$3)</f>
        <v/>
      </c>
      <c r="CM29" s="270"/>
      <c r="CN29" s="73"/>
      <c r="CO29" s="271"/>
      <c r="CP29" s="340" t="s">
        <v>255</v>
      </c>
      <c r="CQ29" s="272" t="str">
        <f>Meta!$Q$7</f>
        <v>Eliana</v>
      </c>
      <c r="CR29" s="480"/>
      <c r="CS29" s="339" t="s">
        <v>29</v>
      </c>
      <c r="CT29" s="273" t="s">
        <v>243</v>
      </c>
      <c r="CU29" s="274"/>
      <c r="CV29" s="274"/>
      <c r="CW29" s="274"/>
      <c r="CX29" s="274"/>
      <c r="CY29" s="274"/>
      <c r="CZ29" s="274" t="s">
        <v>15</v>
      </c>
      <c r="DA29" s="275">
        <f>EE_Jan1[[#Totals],[A Receber]]-EE_Jan1[[#Totals],[Entregue]]</f>
        <v>0</v>
      </c>
      <c r="DB29" s="273" t="str" cm="1">
        <f t="array" ref="DB29">_xlfn.IFS(DA29=0,"",DA29&gt;0,Meta!$X$4,DA29&lt;0,Meta!$X$3)</f>
        <v/>
      </c>
      <c r="DC29" s="276"/>
      <c r="DD29" s="73"/>
      <c r="DE29" s="253"/>
      <c r="DF29" s="338" t="s">
        <v>256</v>
      </c>
      <c r="DG29" s="254" t="str">
        <f>Meta!$Q$8</f>
        <v>Fernando</v>
      </c>
      <c r="DH29" s="477"/>
      <c r="DI29" s="337" t="s">
        <v>29</v>
      </c>
      <c r="DJ29" s="255" t="s">
        <v>243</v>
      </c>
      <c r="DK29" s="256"/>
      <c r="DL29" s="256"/>
      <c r="DM29" s="256"/>
      <c r="DN29" s="256"/>
      <c r="DO29" s="256"/>
      <c r="DP29" s="256" t="s">
        <v>15</v>
      </c>
      <c r="DQ29" s="257">
        <f>FF_Jan1[[#Totals],[A Receber]]-FF_Jan1[[#Totals],[Entregue]]</f>
        <v>0</v>
      </c>
      <c r="DR29" s="255" t="str" cm="1">
        <f t="array" ref="DR29">_xlfn.IFS(DQ29=0,"",DQ29&gt;0,Meta!$X$4,DQ29&lt;0,Meta!$X$3)</f>
        <v/>
      </c>
      <c r="DS29" s="277"/>
      <c r="DT29" s="73"/>
      <c r="DU29" s="278"/>
      <c r="DV29" s="336"/>
      <c r="DW29" s="279" t="str">
        <f>Meta!$Q$9</f>
        <v>Gabriel</v>
      </c>
      <c r="DX29" s="282"/>
      <c r="DY29" s="334" t="s">
        <v>29</v>
      </c>
      <c r="DZ29" s="497" t="s">
        <v>243</v>
      </c>
      <c r="EA29" s="280"/>
      <c r="EB29" s="280"/>
      <c r="EC29" s="280"/>
      <c r="ED29" s="280"/>
      <c r="EE29" s="280"/>
      <c r="EF29" s="280" t="s">
        <v>15</v>
      </c>
      <c r="EG29" s="280">
        <f>GG_Jan1[[#Totals],[A Receber]]-GG_Jan1[[#Totals],[Entregue]]</f>
        <v>0</v>
      </c>
      <c r="EH29" s="280" t="str" cm="1">
        <f t="array" ref="EH29">_xlfn.IFS(EG29=0,"",EG29&gt;0,Meta!$X$4,EG29&lt;0,Meta!$X$3)</f>
        <v/>
      </c>
      <c r="EI29" s="281"/>
      <c r="EJ29" s="73"/>
      <c r="EK29" s="278"/>
      <c r="EL29" s="335"/>
      <c r="EM29" s="282" t="str">
        <f>Meta!$Q$10</f>
        <v>Henrique</v>
      </c>
      <c r="EN29" s="282"/>
      <c r="EO29" s="334" t="s">
        <v>29</v>
      </c>
      <c r="EP29" s="497" t="s">
        <v>243</v>
      </c>
      <c r="EQ29" s="280"/>
      <c r="ER29" s="280"/>
      <c r="ES29" s="280"/>
      <c r="ET29" s="280"/>
      <c r="EU29" s="280"/>
      <c r="EV29" s="280" t="s">
        <v>15</v>
      </c>
      <c r="EW29" s="280">
        <f>HH_Jan1[[#Totals],[A Receber]]-HH_Jan1[[#Totals],[Entregue]]</f>
        <v>0</v>
      </c>
      <c r="EX29" s="280" t="str" cm="1">
        <f t="array" ref="EX29">_xlfn.IFS(EW29=0,"",EW29&gt;0,Meta!$X$4,EW29&lt;0,Meta!$X$3)</f>
        <v/>
      </c>
      <c r="EY29" s="281"/>
      <c r="EZ29" s="73"/>
      <c r="FA29" s="278"/>
      <c r="FB29" s="335"/>
      <c r="FC29" s="282" t="str">
        <f>Meta!$Q$11</f>
        <v>Ingrid</v>
      </c>
      <c r="FD29" s="282"/>
      <c r="FE29" s="334" t="s">
        <v>29</v>
      </c>
      <c r="FF29" s="497" t="s">
        <v>243</v>
      </c>
      <c r="FG29" s="280"/>
      <c r="FH29" s="280"/>
      <c r="FI29" s="280"/>
      <c r="FJ29" s="280"/>
      <c r="FK29" s="280"/>
      <c r="FL29" s="280" t="s">
        <v>15</v>
      </c>
      <c r="FM29" s="280">
        <f>II_Jan1[[#Totals],[A Receber]]-II_Jan1[[#Totals],[Entregue]]</f>
        <v>0</v>
      </c>
      <c r="FN29" s="280" t="str" cm="1">
        <f t="array" ref="FN29">_xlfn.IFS(FM29=0,"",FM29&gt;0,Meta!$X$4,FM29&lt;0,Meta!$X$3)</f>
        <v/>
      </c>
      <c r="FO29" s="281"/>
      <c r="FP29" s="73"/>
      <c r="FQ29" s="278"/>
      <c r="FR29" s="335"/>
      <c r="FS29" s="282" t="str">
        <f>Meta!$Q$12</f>
        <v>Joana</v>
      </c>
      <c r="FT29" s="282"/>
      <c r="FU29" s="334" t="s">
        <v>29</v>
      </c>
      <c r="FV29" s="497" t="s">
        <v>243</v>
      </c>
      <c r="FW29" s="280"/>
      <c r="FX29" s="280"/>
      <c r="FY29" s="280"/>
      <c r="FZ29" s="280"/>
      <c r="GA29" s="280"/>
      <c r="GB29" s="280" t="s">
        <v>15</v>
      </c>
      <c r="GC29" s="280">
        <f>JJ_Jan1[[#Totals],[A Receber]]-JJ_Jan1[[#Totals],[Entregue]]</f>
        <v>0</v>
      </c>
      <c r="GD29" s="280" t="str" cm="1">
        <f t="array" ref="GD29">_xlfn.IFS(GC29=0,"",GC29&gt;0,Meta!$X$4,GC29&lt;0,Meta!$X$3)</f>
        <v/>
      </c>
      <c r="GE29" s="281"/>
      <c r="GF29" s="73"/>
      <c r="GG29" s="278"/>
      <c r="GH29" s="335"/>
      <c r="GI29" s="282" t="str">
        <f>Meta!$Q$13</f>
        <v>Kiko</v>
      </c>
      <c r="GJ29" s="282"/>
      <c r="GK29" s="334" t="s">
        <v>29</v>
      </c>
      <c r="GL29" s="497" t="s">
        <v>243</v>
      </c>
      <c r="GM29" s="280"/>
      <c r="GN29" s="280"/>
      <c r="GO29" s="280"/>
      <c r="GP29" s="280"/>
      <c r="GQ29" s="280"/>
      <c r="GR29" s="280" t="s">
        <v>15</v>
      </c>
      <c r="GS29" s="280">
        <f>KK_Jan1[[#Totals],[A Receber]]-KK_Jan1[[#Totals],[Entregue]]</f>
        <v>0</v>
      </c>
      <c r="GT29" s="280" t="str" cm="1">
        <f t="array" ref="GT29">_xlfn.IFS(GS29=0,"",GS29&gt;0,Meta!$X$4,GS29&lt;0,Meta!$X$3)</f>
        <v/>
      </c>
      <c r="GU29" s="281"/>
      <c r="GV29" s="73"/>
      <c r="GW29" s="278"/>
      <c r="GX29" s="335"/>
      <c r="GY29" s="282" t="str">
        <f>Meta!$Q$14</f>
        <v>Laura</v>
      </c>
      <c r="GZ29" s="282"/>
      <c r="HA29" s="334" t="s">
        <v>29</v>
      </c>
      <c r="HB29" s="497" t="s">
        <v>243</v>
      </c>
      <c r="HC29" s="280"/>
      <c r="HD29" s="280"/>
      <c r="HE29" s="280"/>
      <c r="HF29" s="280"/>
      <c r="HG29" s="280"/>
      <c r="HH29" s="280" t="s">
        <v>15</v>
      </c>
      <c r="HI29" s="280">
        <f>LL_Jan1[[#Totals],[A Receber]]-LL_Jan1[[#Totals],[Entregue]]</f>
        <v>0</v>
      </c>
      <c r="HJ29" s="280" t="str" cm="1">
        <f t="array" ref="HJ29">_xlfn.IFS(HI29=0,"",HI29&gt;0,Meta!$X$4,HI29&lt;0,Meta!$X$3)</f>
        <v/>
      </c>
      <c r="HK29" s="281"/>
      <c r="HL29" s="105"/>
    </row>
    <row r="30" spans="1:220" s="292" customFormat="1" ht="29.1" customHeight="1" thickBot="1" x14ac:dyDescent="0.3">
      <c r="A30" s="283"/>
      <c r="B30" s="529" t="s">
        <v>2</v>
      </c>
      <c r="C30" s="529"/>
      <c r="D30" s="529"/>
      <c r="E30" s="529"/>
      <c r="F30" s="529"/>
      <c r="G30" s="529"/>
      <c r="H30" s="529"/>
      <c r="I30" s="529"/>
      <c r="J30" s="589">
        <f>Y29</f>
        <v>0</v>
      </c>
      <c r="K30" s="589"/>
      <c r="L30" s="589"/>
      <c r="M30" s="589"/>
      <c r="N30" s="530"/>
      <c r="O30" s="538"/>
      <c r="P30" s="284"/>
      <c r="Q30" s="285"/>
      <c r="R30" s="285"/>
      <c r="S30" s="285"/>
      <c r="T30" s="285"/>
      <c r="U30" s="286" t="s">
        <v>44</v>
      </c>
      <c r="V30" s="348" t="s">
        <v>25</v>
      </c>
      <c r="W30" s="348" t="s">
        <v>26</v>
      </c>
      <c r="X30" s="348" t="s">
        <v>26</v>
      </c>
      <c r="Y30" s="287"/>
      <c r="Z30" s="287"/>
      <c r="AA30" s="288"/>
      <c r="AB30" s="289"/>
      <c r="AC30" s="290"/>
      <c r="AD30" s="285"/>
      <c r="AE30" s="285"/>
      <c r="AF30" s="285"/>
      <c r="AG30" s="285"/>
      <c r="AH30" s="285"/>
      <c r="AI30" s="285"/>
      <c r="AJ30" s="285"/>
      <c r="AK30" s="285"/>
      <c r="AL30" s="285"/>
      <c r="AM30" s="285"/>
      <c r="AN30" s="285"/>
      <c r="AO30" s="285"/>
      <c r="AP30" s="285"/>
      <c r="AQ30" s="288"/>
      <c r="AR30" s="289"/>
      <c r="AS30" s="290"/>
      <c r="AT30" s="285"/>
      <c r="AU30" s="285"/>
      <c r="AV30" s="285"/>
      <c r="AW30" s="285"/>
      <c r="AX30" s="285"/>
      <c r="AY30" s="285"/>
      <c r="AZ30" s="285"/>
      <c r="BA30" s="285"/>
      <c r="BB30" s="285"/>
      <c r="BC30" s="285"/>
      <c r="BD30" s="285"/>
      <c r="BE30" s="285"/>
      <c r="BF30" s="285"/>
      <c r="BG30" s="288"/>
      <c r="BH30" s="289"/>
      <c r="BI30" s="290"/>
      <c r="BJ30" s="285"/>
      <c r="BK30" s="285"/>
      <c r="BL30" s="285"/>
      <c r="BM30" s="285"/>
      <c r="BN30" s="285"/>
      <c r="BO30" s="285"/>
      <c r="BP30" s="285"/>
      <c r="BQ30" s="285"/>
      <c r="BR30" s="285"/>
      <c r="BS30" s="285"/>
      <c r="BT30" s="285"/>
      <c r="BU30" s="285"/>
      <c r="BV30" s="285"/>
      <c r="BW30" s="288"/>
      <c r="BX30" s="289"/>
      <c r="BY30" s="290"/>
      <c r="BZ30" s="285"/>
      <c r="CA30" s="285"/>
      <c r="CB30" s="285"/>
      <c r="CC30" s="285"/>
      <c r="CD30" s="285"/>
      <c r="CE30" s="285"/>
      <c r="CF30" s="285"/>
      <c r="CG30" s="285"/>
      <c r="CH30" s="285"/>
      <c r="CI30" s="285"/>
      <c r="CJ30" s="285"/>
      <c r="CK30" s="285"/>
      <c r="CL30" s="285"/>
      <c r="CM30" s="288"/>
      <c r="CN30" s="289"/>
      <c r="CO30" s="290"/>
      <c r="CP30" s="285"/>
      <c r="CQ30" s="285"/>
      <c r="CR30" s="285"/>
      <c r="CS30" s="285"/>
      <c r="CT30" s="285"/>
      <c r="CU30" s="285"/>
      <c r="CV30" s="285"/>
      <c r="CW30" s="285"/>
      <c r="CX30" s="285"/>
      <c r="CY30" s="285"/>
      <c r="CZ30" s="285"/>
      <c r="DA30" s="285"/>
      <c r="DB30" s="285"/>
      <c r="DC30" s="288"/>
      <c r="DD30" s="289"/>
      <c r="DE30" s="290"/>
      <c r="DF30" s="285"/>
      <c r="DG30" s="285"/>
      <c r="DH30" s="285"/>
      <c r="DI30" s="285"/>
      <c r="DJ30" s="285"/>
      <c r="DK30" s="285"/>
      <c r="DL30" s="285"/>
      <c r="DM30" s="285"/>
      <c r="DN30" s="285"/>
      <c r="DO30" s="285"/>
      <c r="DP30" s="285"/>
      <c r="DQ30" s="285"/>
      <c r="DR30" s="285"/>
      <c r="DS30" s="288"/>
      <c r="DT30" s="289"/>
      <c r="DU30" s="290"/>
      <c r="DV30" s="285"/>
      <c r="DW30" s="285"/>
      <c r="DX30" s="285"/>
      <c r="DY30" s="285"/>
      <c r="DZ30" s="285"/>
      <c r="EA30" s="285"/>
      <c r="EB30" s="285"/>
      <c r="EC30" s="285"/>
      <c r="ED30" s="285"/>
      <c r="EE30" s="285"/>
      <c r="EF30" s="285"/>
      <c r="EG30" s="285"/>
      <c r="EH30" s="285"/>
      <c r="EI30" s="288"/>
      <c r="EJ30" s="289"/>
      <c r="EK30" s="290"/>
      <c r="EL30" s="285"/>
      <c r="EM30" s="285"/>
      <c r="EN30" s="285"/>
      <c r="EO30" s="285"/>
      <c r="EP30" s="285"/>
      <c r="EQ30" s="285"/>
      <c r="ER30" s="285"/>
      <c r="ES30" s="285"/>
      <c r="ET30" s="285"/>
      <c r="EU30" s="285"/>
      <c r="EV30" s="285"/>
      <c r="EW30" s="285"/>
      <c r="EX30" s="285"/>
      <c r="EY30" s="288"/>
      <c r="EZ30" s="289"/>
      <c r="FA30" s="290"/>
      <c r="FB30" s="285"/>
      <c r="FC30" s="285"/>
      <c r="FD30" s="285"/>
      <c r="FE30" s="285"/>
      <c r="FF30" s="285"/>
      <c r="FG30" s="285"/>
      <c r="FH30" s="285"/>
      <c r="FI30" s="285"/>
      <c r="FJ30" s="285"/>
      <c r="FK30" s="285"/>
      <c r="FL30" s="285"/>
      <c r="FM30" s="285"/>
      <c r="FN30" s="285"/>
      <c r="FO30" s="288"/>
      <c r="FP30" s="289"/>
      <c r="FQ30" s="290"/>
      <c r="FR30" s="285"/>
      <c r="FS30" s="285"/>
      <c r="FT30" s="285"/>
      <c r="FU30" s="285"/>
      <c r="FV30" s="285"/>
      <c r="FW30" s="285"/>
      <c r="FX30" s="285"/>
      <c r="FY30" s="285"/>
      <c r="FZ30" s="285"/>
      <c r="GA30" s="285"/>
      <c r="GB30" s="285"/>
      <c r="GC30" s="285"/>
      <c r="GD30" s="285"/>
      <c r="GE30" s="288"/>
      <c r="GF30" s="289"/>
      <c r="GG30" s="290"/>
      <c r="GH30" s="285"/>
      <c r="GI30" s="285"/>
      <c r="GJ30" s="285"/>
      <c r="GK30" s="285"/>
      <c r="GL30" s="285"/>
      <c r="GM30" s="285"/>
      <c r="GN30" s="285"/>
      <c r="GO30" s="285"/>
      <c r="GP30" s="285"/>
      <c r="GQ30" s="285"/>
      <c r="GR30" s="285"/>
      <c r="GS30" s="285"/>
      <c r="GT30" s="285"/>
      <c r="GU30" s="288"/>
      <c r="GV30" s="289"/>
      <c r="GW30" s="290"/>
      <c r="GX30" s="285"/>
      <c r="GY30" s="285"/>
      <c r="GZ30" s="285"/>
      <c r="HA30" s="285"/>
      <c r="HB30" s="285"/>
      <c r="HC30" s="285"/>
      <c r="HD30" s="285"/>
      <c r="HE30" s="285"/>
      <c r="HF30" s="285"/>
      <c r="HG30" s="285"/>
      <c r="HH30" s="285"/>
      <c r="HI30" s="285"/>
      <c r="HJ30" s="285"/>
      <c r="HK30" s="288"/>
      <c r="HL30" s="291"/>
    </row>
    <row r="31" spans="1:220" ht="14.45" customHeight="1" thickTop="1" x14ac:dyDescent="0.25"/>
  </sheetData>
  <sheetProtection sheet="1" scenarios="1" selectLockedCells="1"/>
  <mergeCells count="18">
    <mergeCell ref="J30:M30"/>
    <mergeCell ref="K7:L7"/>
    <mergeCell ref="K8:L8"/>
    <mergeCell ref="K9:L9"/>
    <mergeCell ref="K10:L10"/>
    <mergeCell ref="K11:L11"/>
    <mergeCell ref="K12:L12"/>
    <mergeCell ref="J16:M16"/>
    <mergeCell ref="J1:M1"/>
    <mergeCell ref="A1:A14"/>
    <mergeCell ref="A15:A18"/>
    <mergeCell ref="K13:L13"/>
    <mergeCell ref="K14:L14"/>
    <mergeCell ref="K2:L2"/>
    <mergeCell ref="K3:L3"/>
    <mergeCell ref="K4:L4"/>
    <mergeCell ref="K5:L5"/>
    <mergeCell ref="K6:L6"/>
  </mergeCells>
  <conditionalFormatting sqref="A1:A15 A19:A29">
    <cfRule type="expression" dxfId="29" priority="36">
      <formula>OR(WEEKDAY(A$1)=1,WEEKDAY(A$1)=7)</formula>
    </cfRule>
  </conditionalFormatting>
  <conditionalFormatting sqref="Q2:Q13">
    <cfRule type="expression" dxfId="25" priority="17">
      <formula>AND(Q2&gt;0,Q2&lt;&gt;"")</formula>
    </cfRule>
  </conditionalFormatting>
  <conditionalFormatting sqref="Q17:Q29 U17:U29">
    <cfRule type="cellIs" dxfId="24" priority="44" operator="greaterThan">
      <formula>0</formula>
    </cfRule>
    <cfRule type="cellIs" dxfId="23" priority="45" operator="lessThan">
      <formula>0</formula>
    </cfRule>
  </conditionalFormatting>
  <conditionalFormatting sqref="Q17:Z28 Q2:Z13">
    <cfRule type="cellIs" dxfId="22" priority="16" operator="equal">
      <formula>0</formula>
    </cfRule>
  </conditionalFormatting>
  <conditionalFormatting sqref="V17:V28">
    <cfRule type="expression" dxfId="21" priority="15">
      <formula>AND(V17&gt;0,V17&lt;&gt;"")</formula>
    </cfRule>
  </conditionalFormatting>
  <conditionalFormatting sqref="X2:X13">
    <cfRule type="expression" dxfId="20" priority="43">
      <formula>AND(X2&gt;0,X2&lt;&gt;"")</formula>
    </cfRule>
  </conditionalFormatting>
  <conditionalFormatting sqref="Y2:Y13">
    <cfRule type="expression" dxfId="19" priority="21">
      <formula>AND(Y2&gt;0,Y2&lt;&gt;"")</formula>
    </cfRule>
  </conditionalFormatting>
  <conditionalFormatting sqref="Z17:Z28">
    <cfRule type="expression" dxfId="18" priority="42">
      <formula>AND(Z17&gt;0,Z17&lt;&gt;"")</formula>
    </cfRule>
  </conditionalFormatting>
  <dataValidations count="1">
    <dataValidation type="decimal" operator="notEqual" allowBlank="1" showInputMessage="1" showErrorMessage="1" sqref="AO2:AO27 HI2:HI27 GX2:GY27 AD3:AD27 AE2:AE27 BQ2:BQ27 BE2:BE27 BU2:BU27 AT2:AU27 CG2:CG27 CK2:CK27 BJ2:BK27 CW2:CW27 DA2:DA27 BZ2:CA27 DM2:DM27 DQ2:DQ27 CP2:CQ27 EC2:EC27 EG2:EG27 DF2:DG27 ES2:ES27 EW2:EW27 DV2:DW27 FI2:FI27 FM2:FM27 EL2:EM27 FY2:FY27 FB2:FC27 GO2:GO27 GC2:GC27 FR2:FS27 HE2:HE27 GS2:GS27 GH2:GI27 AK2:AK27 BA2:BA27" xr:uid="{0EE782BC-084E-456E-8FF5-D950B0666122}">
      <formula1>-9999999</formula1>
    </dataValidation>
  </dataValidations>
  <pageMargins left="0.25" right="0.25" top="0.75" bottom="0.75" header="0.3" footer="0.3"/>
  <pageSetup paperSize="9" scale="90" orientation="landscape" r:id="rId1"/>
  <legacyDrawing r:id="rId2"/>
  <tableParts count="12">
    <tablePart r:id="rId3"/>
    <tablePart r:id="rId4"/>
    <tablePart r:id="rId5"/>
    <tablePart r:id="rId6"/>
    <tablePart r:id="rId7"/>
    <tablePart r:id="rId8"/>
    <tablePart r:id="rId9"/>
    <tablePart r:id="rId10"/>
    <tablePart r:id="rId11"/>
    <tablePart r:id="rId12"/>
    <tablePart r:id="rId13"/>
    <tablePart r:id="rId14"/>
  </tableParts>
  <extLst>
    <ext xmlns:x14="http://schemas.microsoft.com/office/spreadsheetml/2009/9/main" uri="{78C0D931-6437-407d-A8EE-F0AAD7539E65}">
      <x14:conditionalFormattings>
        <x14:conditionalFormatting xmlns:xm="http://schemas.microsoft.com/office/excel/2006/main">
          <x14:cfRule type="cellIs" priority="37" operator="equal" id="{CB6563AD-9CCC-447F-9CE1-A9DBDAF61918}">
            <xm:f>Meta!$X$3</xm:f>
            <x14:dxf>
              <font>
                <b/>
                <i val="0"/>
                <color theme="9"/>
              </font>
            </x14:dxf>
          </x14:cfRule>
          <xm:sqref>K2:L13</xm:sqref>
        </x14:conditionalFormatting>
        <x14:conditionalFormatting xmlns:xm="http://schemas.microsoft.com/office/excel/2006/main">
          <x14:cfRule type="cellIs" priority="38" operator="equal" id="{73411323-6EE5-4C2B-8F58-F8E38755198D}">
            <xm:f>Meta!$X$4</xm:f>
            <x14:dxf>
              <font>
                <b/>
                <i val="0"/>
                <color rgb="FFC00000"/>
              </font>
            </x14:dxf>
          </x14:cfRule>
          <x14:cfRule type="cellIs" priority="40" operator="equal" id="{6F9DF575-3CBF-4DF4-B49D-74E080BFAE26}">
            <xm:f>Meta!$X$3</xm:f>
            <x14:dxf>
              <font>
                <b val="0"/>
                <i val="0"/>
                <strike val="0"/>
                <color theme="9" tint="-0.24994659260841701"/>
              </font>
            </x14:dxf>
          </x14:cfRule>
          <xm:sqref>M2:M13</xm:sqref>
        </x14:conditionalFormatting>
        <x14:conditionalFormatting xmlns:xm="http://schemas.microsoft.com/office/excel/2006/main">
          <x14:cfRule type="expression" priority="22" id="{F9D4A019-C5E6-4F72-9930-50C5DC9440C5}">
            <xm:f>NOT(ISNUMBER(MATCH(AD2:AD27,Meta!$AK:$AK,0)))</xm:f>
            <x14:dxf>
              <font>
                <b val="0"/>
                <i/>
                <color auto="1"/>
              </font>
            </x14:dxf>
          </x14:cfRule>
          <xm:sqref>AD2:AD27 AT2:AT27 BJ2:BJ27 BZ2:BZ27 CP2:CP27 DF2:DF27 DV2:DV27 EL2:EL27 FB2:FB27 FR2:FR27 GH2:GH27 GX2:GX27</xm:sqref>
        </x14:conditionalFormatting>
        <x14:conditionalFormatting xmlns:xm="http://schemas.microsoft.com/office/excel/2006/main">
          <x14:cfRule type="expression" priority="18" id="{0D36CA23-7888-4ADF-8106-091342086525}">
            <xm:f>IF((AE2-AK2)&lt;&gt;VLOOKUP(AD2,Meta!$AK$3:$AN$256,2,FALSE),TRUE,FALSE)</xm:f>
            <x14:dxf>
              <font>
                <b/>
                <i val="0"/>
                <strike val="0"/>
                <color rgb="FFC00000"/>
              </font>
            </x14:dxf>
          </x14:cfRule>
          <xm:sqref>AE2:AE27 AU2:AU27 BK2:BK27 CA2:CA27 CQ2:CQ27 DG2:DG27 DW2:DW27 EM2:EM27 FC2:FC27 FS2:FS27 GI2:GI27 GY2:GY27</xm:sqref>
        </x14:conditionalFormatting>
      </x14:conditionalFormattings>
    </ext>
    <ext xmlns:x14="http://schemas.microsoft.com/office/spreadsheetml/2009/9/main" uri="{CCE6A557-97BC-4b89-ADB6-D9C93CAAB3DF}">
      <x14:dataValidations xmlns:xm="http://schemas.microsoft.com/office/excel/2006/main" count="5">
        <x14:dataValidation type="list" allowBlank="1" showInputMessage="1" showErrorMessage="1" xr:uid="{F5BE646C-DDB8-4CF2-BBEE-054D826867AF}">
          <x14:formula1>
            <xm:f>Meta!$V$3:$V$10</xm:f>
          </x14:formula1>
          <xm:sqref>AP2:AP27 HJ2:HJ27 GT2:GT27 GD2:GD27 FN2:FN27 EX2:EX27 EH2:EH27 DR2:DR27 DB2:DB27 CL2:CL27 BV2:BV27 BF2:BF27</xm:sqref>
        </x14:dataValidation>
        <x14:dataValidation type="list" allowBlank="1" showInputMessage="1" showErrorMessage="1" xr:uid="{560DE40E-357A-4BE4-A6C7-86486EA7950D}">
          <x14:formula1>
            <xm:f>Meta!$AA$3:$AA$10</xm:f>
          </x14:formula1>
          <xm:sqref>AM2:AM27 HG2:HG27 GQ2:GQ27 GA2:GA27 FK2:FK27 EU2:EU27 EE2:EE27 DO2:DO27 CY2:CY27 CI2:CI27 BS2:BS27 BC2:BC27</xm:sqref>
        </x14:dataValidation>
        <x14:dataValidation type="list" allowBlank="1" showInputMessage="1" showErrorMessage="1" xr:uid="{A921048B-9522-49EA-83FA-00C48356ACB2}">
          <x14:formula1>
            <xm:f>Meta!$D$3:$D$4</xm:f>
          </x14:formula1>
          <xm:sqref>AG29 HA29 GK29 FU29 FE29 EO29 DY29 DI29 CS29 CC29 BM29 AW29</xm:sqref>
        </x14:dataValidation>
        <x14:dataValidation type="list" allowBlank="1" showInputMessage="1" showErrorMessage="1" xr:uid="{9FAFB0E0-AE9B-469F-8C2F-D100B80E25F3}">
          <x14:formula1>
            <xm:f>Meta!$E$3:$E$4</xm:f>
          </x14:formula1>
          <xm:sqref>Q15:Y15 V30:Z30</xm:sqref>
        </x14:dataValidation>
        <x14:dataValidation type="list" showInputMessage="1" showErrorMessage="1" xr:uid="{65E3CE60-9465-44E7-BBD2-7D4599E7E1FA}">
          <x14:formula1>
            <xm:f>Meta!$C$3:$C$4</xm:f>
          </x14:formula1>
          <xm:sqref>C2:C13</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BE7DD8-B456-46F8-8E42-E60703836438}">
  <sheetPr codeName="Planilha4"/>
  <dimension ref="A1:AC31"/>
  <sheetViews>
    <sheetView topLeftCell="D1" zoomScaleNormal="100" workbookViewId="0">
      <selection activeCell="H12" sqref="H12"/>
    </sheetView>
  </sheetViews>
  <sheetFormatPr defaultColWidth="9.140625" defaultRowHeight="14.45" customHeight="1" x14ac:dyDescent="0.25"/>
  <cols>
    <col min="1" max="1" width="2" style="293" customWidth="1"/>
    <col min="2" max="2" width="8" style="474" bestFit="1" customWidth="1"/>
    <col min="3" max="3" width="9.85546875" style="387" customWidth="1"/>
    <col min="4" max="6" width="1" style="387" customWidth="1"/>
    <col min="7" max="7" width="12.7109375" style="475" customWidth="1"/>
    <col min="8" max="8" width="9.85546875" style="475" customWidth="1"/>
    <col min="9" max="9" width="7.28515625" style="387" customWidth="1"/>
    <col min="10" max="10" width="12.7109375" style="475" customWidth="1"/>
    <col min="11" max="11" width="9.85546875" style="475" customWidth="1"/>
    <col min="12" max="12" width="7.28515625" style="387" customWidth="1"/>
    <col min="13" max="13" width="12.7109375" style="387" hidden="1" customWidth="1"/>
    <col min="14" max="14" width="9.85546875" style="387" hidden="1" customWidth="1"/>
    <col min="15" max="15" width="7.28515625" style="387" hidden="1" customWidth="1"/>
    <col min="16" max="18" width="1" style="387" customWidth="1"/>
    <col min="19" max="19" width="10.140625" style="387" customWidth="1"/>
    <col min="20" max="27" width="9.85546875" style="387" customWidth="1"/>
    <col min="28" max="28" width="1.28515625" style="387" customWidth="1"/>
    <col min="29" max="29" width="2.7109375" style="387" customWidth="1"/>
    <col min="30" max="16384" width="9.140625" style="387"/>
  </cols>
  <sheetData>
    <row r="1" spans="1:29" s="369" customFormat="1" ht="14.45" customHeight="1" thickTop="1" x14ac:dyDescent="0.25">
      <c r="A1" s="593">
        <f>Notas!A1</f>
        <v>0</v>
      </c>
      <c r="B1" s="349"/>
      <c r="C1" s="350" t="s">
        <v>61</v>
      </c>
      <c r="D1" s="351"/>
      <c r="E1" s="352"/>
      <c r="F1" s="353"/>
      <c r="G1" s="354"/>
      <c r="H1" s="354"/>
      <c r="I1" s="355" t="s">
        <v>64</v>
      </c>
      <c r="J1" s="354"/>
      <c r="K1" s="354"/>
      <c r="L1" s="354"/>
      <c r="M1" s="356" t="s">
        <v>190</v>
      </c>
      <c r="N1" s="357" t="s">
        <v>188</v>
      </c>
      <c r="O1" s="358" t="s">
        <v>189</v>
      </c>
      <c r="P1" s="359"/>
      <c r="Q1" s="352"/>
      <c r="R1" s="360"/>
      <c r="S1" s="361"/>
      <c r="T1" s="594" t="s">
        <v>66</v>
      </c>
      <c r="U1" s="594"/>
      <c r="V1" s="362"/>
      <c r="W1" s="363" t="s">
        <v>193</v>
      </c>
      <c r="X1" s="364">
        <f>ROUND(IF(ISNUMBER(C2),C2-TRUNC(C2),0)+IF(ISNUMBER(C3),C3-TRUNC(C3),0)+IF(ISNUMBER(C4),C4-TRUNC(C4),0)+IF(ISNUMBER(C5),C5-TRUNC(C5),0)+IF(ISNUMBER(C6),C6-TRUNC(C6),0)+IF(ISNUMBER(C7),C7-TRUNC(C7),0)+IF(ISNUMBER(C8),C8-TRUNC(C8),0)+IF(ISNUMBER(C9),C9-TRUNC(C9),0)+IF(ISNUMBER(C10),C10-TRUNC(C10),0)+IF(ISNUMBER(C11),C11-TRUNC(C11),0)+IF(ISNUMBER(C12),C12-TRUNC(C12),0)+IF(ISNUMBER(C13),C13-TRUNC(C13),0),2)</f>
        <v>0</v>
      </c>
      <c r="Y1" s="365"/>
      <c r="Z1" s="366"/>
      <c r="AA1" s="366"/>
      <c r="AB1" s="367"/>
      <c r="AC1" s="368"/>
    </row>
    <row r="2" spans="1:29" ht="14.45" customHeight="1" x14ac:dyDescent="0.25">
      <c r="A2" s="593"/>
      <c r="B2" s="370" t="str">
        <f>Notas!B2</f>
        <v>Alice</v>
      </c>
      <c r="C2" s="371" t="str">
        <f>IF(Notas!Q17&gt;=0,"",(-1)*Notas!Q17)</f>
        <v/>
      </c>
      <c r="D2" s="372"/>
      <c r="E2" s="373"/>
      <c r="F2" s="374" t="str">
        <f>IF(W27=Meta!D3,Meta!Q3,"")</f>
        <v/>
      </c>
      <c r="G2" s="375" t="s">
        <v>63</v>
      </c>
      <c r="H2" s="376">
        <f>Notas!Y29</f>
        <v>0</v>
      </c>
      <c r="I2" s="377"/>
      <c r="J2" s="378" t="s">
        <v>225</v>
      </c>
      <c r="K2" s="302"/>
      <c r="L2" s="379" t="str">
        <f>IF(AND(WEEKDAY(A1)=6,K2=""),"é Segunda!","")</f>
        <v/>
      </c>
      <c r="M2" s="380"/>
      <c r="N2" s="381"/>
      <c r="O2" s="382"/>
      <c r="P2" s="383"/>
      <c r="Q2" s="373"/>
      <c r="R2" s="384"/>
      <c r="S2" s="603">
        <f>ROUND(C29-K29,2)</f>
        <v>0</v>
      </c>
      <c r="T2" s="603"/>
      <c r="U2" s="603"/>
      <c r="V2" s="603"/>
      <c r="W2" s="604" t="str">
        <f>_xlfn.CONCAT("(",TEXT(S2-X1,"R$ #.##0,00"),") &lt;-- Pro tabelião deu isso")</f>
        <v>(R$ 0,00) &lt;-- Pro tabelião deu isso</v>
      </c>
      <c r="X2" s="604"/>
      <c r="Y2" s="604"/>
      <c r="Z2" s="604"/>
      <c r="AA2" s="604"/>
      <c r="AB2" s="385"/>
      <c r="AC2" s="386"/>
    </row>
    <row r="3" spans="1:29" ht="14.45" customHeight="1" x14ac:dyDescent="0.25">
      <c r="A3" s="593"/>
      <c r="B3" s="370" t="str">
        <f>Notas!B3</f>
        <v>Beto</v>
      </c>
      <c r="C3" s="388" t="str">
        <f>IF(Notas!Q18&gt;=0,"",(-1)*Notas!Q18)</f>
        <v/>
      </c>
      <c r="D3" s="372"/>
      <c r="E3" s="373"/>
      <c r="F3" s="374" t="str">
        <f>IF(AK27=Meta!D3,Meta!Q4,"")</f>
        <v/>
      </c>
      <c r="G3" s="375" t="s">
        <v>191</v>
      </c>
      <c r="H3" s="301"/>
      <c r="I3" s="377"/>
      <c r="J3" s="375" t="s">
        <v>14</v>
      </c>
      <c r="K3" s="303"/>
      <c r="L3" s="389"/>
      <c r="M3" s="390"/>
      <c r="N3" s="391"/>
      <c r="O3" s="392"/>
      <c r="P3" s="383"/>
      <c r="Q3" s="373"/>
      <c r="R3" s="393"/>
      <c r="S3" s="603"/>
      <c r="T3" s="603"/>
      <c r="U3" s="603"/>
      <c r="V3" s="603"/>
      <c r="W3" s="604"/>
      <c r="X3" s="604"/>
      <c r="Y3" s="604"/>
      <c r="Z3" s="604"/>
      <c r="AA3" s="604"/>
      <c r="AB3" s="385"/>
      <c r="AC3" s="386"/>
    </row>
    <row r="4" spans="1:29" ht="14.45" customHeight="1" x14ac:dyDescent="0.25">
      <c r="A4" s="593"/>
      <c r="B4" s="370" t="str">
        <f>Notas!B4</f>
        <v>Carlos</v>
      </c>
      <c r="C4" s="394" t="str">
        <f>IF(Notas!Q19&gt;=0,"",(-1)*Notas!Q19)</f>
        <v/>
      </c>
      <c r="D4" s="372"/>
      <c r="E4" s="373"/>
      <c r="F4" s="374" t="str">
        <f>IF(AY27=Meta!D3,Meta!Q5,"")</f>
        <v/>
      </c>
      <c r="G4" s="375"/>
      <c r="H4" s="375"/>
      <c r="I4" s="395"/>
      <c r="J4" s="396"/>
      <c r="K4" s="375"/>
      <c r="L4" s="397"/>
      <c r="M4" s="380"/>
      <c r="N4" s="381"/>
      <c r="O4" s="382"/>
      <c r="P4" s="383"/>
      <c r="Q4" s="373"/>
      <c r="R4" s="398"/>
      <c r="S4" s="399" t="s">
        <v>65</v>
      </c>
      <c r="T4" s="323">
        <v>0</v>
      </c>
      <c r="U4" s="400" t="str">
        <f>IF(ABS(S2-T4)&lt;=X1+0.000001,"OK","")</f>
        <v>OK</v>
      </c>
      <c r="V4" s="401"/>
      <c r="W4" s="401"/>
      <c r="X4" s="401"/>
      <c r="Y4" s="401"/>
      <c r="Z4" s="401"/>
      <c r="AA4" s="401"/>
      <c r="AB4" s="402"/>
      <c r="AC4" s="386"/>
    </row>
    <row r="5" spans="1:29" ht="14.45" customHeight="1" x14ac:dyDescent="0.25">
      <c r="A5" s="593"/>
      <c r="B5" s="370" t="str">
        <f>Notas!B5</f>
        <v>Daniel</v>
      </c>
      <c r="C5" s="388" t="str">
        <f>IF(Notas!Q20&gt;=0,"",(-1)*Notas!Q20)</f>
        <v/>
      </c>
      <c r="D5" s="372"/>
      <c r="E5" s="373"/>
      <c r="F5" s="374" t="str">
        <f>IF(BM27=Meta!D3,Meta!Q6,"")</f>
        <v/>
      </c>
      <c r="G5" s="403" t="s">
        <v>190</v>
      </c>
      <c r="H5" s="404" t="s">
        <v>188</v>
      </c>
      <c r="I5" s="405" t="s">
        <v>189</v>
      </c>
      <c r="J5" s="403" t="s">
        <v>190</v>
      </c>
      <c r="K5" s="404" t="s">
        <v>188</v>
      </c>
      <c r="L5" s="405" t="s">
        <v>189</v>
      </c>
      <c r="M5" s="390"/>
      <c r="N5" s="391"/>
      <c r="O5" s="392"/>
      <c r="P5" s="383"/>
      <c r="Q5" s="406"/>
      <c r="R5" s="407"/>
      <c r="S5" s="407"/>
      <c r="T5" s="408"/>
      <c r="U5" s="409"/>
      <c r="V5" s="407"/>
      <c r="W5" s="407"/>
      <c r="X5" s="407"/>
      <c r="Y5" s="407"/>
      <c r="Z5" s="407"/>
      <c r="AA5" s="407"/>
      <c r="AB5" s="407"/>
      <c r="AC5" s="410"/>
    </row>
    <row r="6" spans="1:29" ht="14.45" customHeight="1" x14ac:dyDescent="0.25">
      <c r="A6" s="593"/>
      <c r="B6" s="370" t="str">
        <f>Notas!B6</f>
        <v>Eliana</v>
      </c>
      <c r="C6" s="394" t="str">
        <f>IF(Notas!Q21&gt;=0,"",(-1)*Notas!Q21)</f>
        <v/>
      </c>
      <c r="D6" s="372"/>
      <c r="E6" s="373"/>
      <c r="F6" s="374" t="str">
        <f>IF(CA27=Meta!D3,Meta!Q7,"")</f>
        <v/>
      </c>
      <c r="G6" s="304"/>
      <c r="H6" s="305"/>
      <c r="I6" s="306"/>
      <c r="J6" s="304"/>
      <c r="K6" s="305"/>
      <c r="L6" s="306"/>
      <c r="M6" s="380"/>
      <c r="N6" s="381"/>
      <c r="O6" s="382"/>
      <c r="P6" s="383"/>
      <c r="Q6" s="373"/>
      <c r="R6" s="411"/>
      <c r="S6" s="412"/>
      <c r="T6" s="413"/>
      <c r="U6" s="414" t="s">
        <v>186</v>
      </c>
      <c r="V6" s="415"/>
      <c r="W6" s="415"/>
      <c r="X6" s="415"/>
      <c r="Y6" s="415"/>
      <c r="Z6" s="415"/>
      <c r="AA6" s="415"/>
      <c r="AB6" s="416"/>
      <c r="AC6" s="386"/>
    </row>
    <row r="7" spans="1:29" ht="14.45" customHeight="1" x14ac:dyDescent="0.25">
      <c r="A7" s="593"/>
      <c r="B7" s="370" t="str">
        <f>Notas!B7</f>
        <v>Fernando</v>
      </c>
      <c r="C7" s="388" t="str">
        <f>IF(Notas!Q22&gt;=0,"",(-1)*Notas!Q22)</f>
        <v/>
      </c>
      <c r="D7" s="372"/>
      <c r="E7" s="373"/>
      <c r="F7" s="374" t="str">
        <f>IF(CO27=Meta!D3,Meta!Q8,"")</f>
        <v/>
      </c>
      <c r="G7" s="307"/>
      <c r="H7" s="308"/>
      <c r="I7" s="309"/>
      <c r="J7" s="307"/>
      <c r="K7" s="308"/>
      <c r="L7" s="309"/>
      <c r="M7" s="390"/>
      <c r="N7" s="391"/>
      <c r="O7" s="392"/>
      <c r="P7" s="383"/>
      <c r="Q7" s="373"/>
      <c r="R7" s="595"/>
      <c r="S7" s="596"/>
      <c r="T7" s="417" t="str">
        <f>Meta!$AD$3</f>
        <v>Conta</v>
      </c>
      <c r="U7" s="417" t="str">
        <f>Meta!$AD$4</f>
        <v>Cheque</v>
      </c>
      <c r="V7" s="417" t="str">
        <f>Meta!$AD$5</f>
        <v>Agência</v>
      </c>
      <c r="W7" s="417" t="str">
        <f>Meta!$AD$6</f>
        <v>Celcoin</v>
      </c>
      <c r="X7" s="417" t="str">
        <f>Meta!$AD$7</f>
        <v>Física</v>
      </c>
      <c r="Y7" s="417" t="str">
        <f>Meta!$AD$8</f>
        <v>Não Paga</v>
      </c>
      <c r="Z7" s="417" t="s">
        <v>14</v>
      </c>
      <c r="AA7" s="417" t="s">
        <v>2</v>
      </c>
      <c r="AB7" s="418"/>
      <c r="AC7" s="386"/>
    </row>
    <row r="8" spans="1:29" ht="14.45" customHeight="1" x14ac:dyDescent="0.25">
      <c r="A8" s="593"/>
      <c r="B8" s="370" t="str">
        <f>Notas!B8</f>
        <v>Gabriel</v>
      </c>
      <c r="C8" s="394" t="str">
        <f>IF(Notas!Q23&gt;=0,"",(-1)*Notas!Q23)</f>
        <v/>
      </c>
      <c r="D8" s="372"/>
      <c r="E8" s="373"/>
      <c r="F8" s="374" t="str">
        <f>IF(DC27=Meta!D3,Meta!Q9,"")</f>
        <v/>
      </c>
      <c r="G8" s="304"/>
      <c r="H8" s="310"/>
      <c r="I8" s="306"/>
      <c r="J8" s="304"/>
      <c r="K8" s="310"/>
      <c r="L8" s="306"/>
      <c r="M8" s="380"/>
      <c r="N8" s="381"/>
      <c r="O8" s="382"/>
      <c r="P8" s="383"/>
      <c r="Q8" s="373"/>
      <c r="R8" s="597" t="str">
        <f>IF(Meta!$AC$3&lt;&gt;"",Meta!$AC$3,"")</f>
        <v>Almoxarifado</v>
      </c>
      <c r="S8" s="598"/>
      <c r="T8" s="419">
        <f t="shared" ref="T8:Y17" si="0">IF(OR($R8="",T$7=""),"",SUMIFS($H$6:$H$27,$G$6:$G$27,$R8,$I$6:$I$27,T$7)+SUMIFS($K$6:$K$27,$J$6:$J$27,$R8,$L$6:$L$27,T$7)+SUMIFS($N$2:$N$27,$M$2:$M$27,$R8,$O$2:$O$27,T$7))</f>
        <v>0</v>
      </c>
      <c r="U8" s="419">
        <f t="shared" si="0"/>
        <v>0</v>
      </c>
      <c r="V8" s="419">
        <f t="shared" si="0"/>
        <v>0</v>
      </c>
      <c r="W8" s="419">
        <f t="shared" si="0"/>
        <v>0</v>
      </c>
      <c r="X8" s="419">
        <f t="shared" si="0"/>
        <v>0</v>
      </c>
      <c r="Y8" s="419">
        <f t="shared" si="0"/>
        <v>0</v>
      </c>
      <c r="Z8" s="419">
        <f t="shared" ref="Z8:Z27" si="1">IF(OR($R8="",Z$7=""),"",SUMIFS($H$6:$H$27,$G$6:$G$27,$R8,$I$6:$I$27,"")+SUMIFS($K$6:$K$27,$J$6:$J$27,$R8,$L$6:$L$27,"")+SUMIFS($N$2:$N$27,$M$2:$M$27,$R8,$O$2:$O$27,""))</f>
        <v>0</v>
      </c>
      <c r="AA8" s="420">
        <f>SUM(T8:Z8)</f>
        <v>0</v>
      </c>
      <c r="AB8" s="418"/>
      <c r="AC8" s="386"/>
    </row>
    <row r="9" spans="1:29" ht="14.45" customHeight="1" x14ac:dyDescent="0.25">
      <c r="A9" s="593"/>
      <c r="B9" s="370" t="str">
        <f>Notas!B9</f>
        <v>Henrique</v>
      </c>
      <c r="C9" s="388" t="str">
        <f>IF(Notas!Q24&gt;=0,"",(-1)*Notas!Q24)</f>
        <v/>
      </c>
      <c r="D9" s="372"/>
      <c r="E9" s="373"/>
      <c r="F9" s="374" t="str">
        <f>IF(DQ27=Meta!D3,Meta!Q10,"")</f>
        <v/>
      </c>
      <c r="G9" s="307"/>
      <c r="H9" s="308"/>
      <c r="I9" s="309"/>
      <c r="J9" s="307"/>
      <c r="K9" s="308"/>
      <c r="L9" s="309"/>
      <c r="M9" s="390"/>
      <c r="N9" s="391"/>
      <c r="O9" s="392"/>
      <c r="P9" s="383"/>
      <c r="Q9" s="373"/>
      <c r="R9" s="597" t="str">
        <f>IF(Meta!$AC$4&lt;&gt;"",Meta!$AC$4,"")</f>
        <v>Serviços</v>
      </c>
      <c r="S9" s="598"/>
      <c r="T9" s="421">
        <f t="shared" si="0"/>
        <v>0</v>
      </c>
      <c r="U9" s="421">
        <f t="shared" si="0"/>
        <v>0</v>
      </c>
      <c r="V9" s="421">
        <f t="shared" si="0"/>
        <v>0</v>
      </c>
      <c r="W9" s="421">
        <f t="shared" si="0"/>
        <v>0</v>
      </c>
      <c r="X9" s="421">
        <f t="shared" si="0"/>
        <v>0</v>
      </c>
      <c r="Y9" s="421">
        <f t="shared" si="0"/>
        <v>0</v>
      </c>
      <c r="Z9" s="421">
        <f t="shared" si="1"/>
        <v>0</v>
      </c>
      <c r="AA9" s="422">
        <f t="shared" ref="AA9:AA26" si="2">SUM(T9:Z9)</f>
        <v>0</v>
      </c>
      <c r="AB9" s="418"/>
      <c r="AC9" s="386"/>
    </row>
    <row r="10" spans="1:29" ht="14.45" customHeight="1" x14ac:dyDescent="0.25">
      <c r="A10" s="593"/>
      <c r="B10" s="370" t="str">
        <f>Notas!B10</f>
        <v>Ingrid</v>
      </c>
      <c r="C10" s="394" t="str">
        <f>IF(Notas!Q25&gt;=0,"",(-1)*Notas!Q25)</f>
        <v/>
      </c>
      <c r="D10" s="372"/>
      <c r="E10" s="373"/>
      <c r="F10" s="374" t="str">
        <f>IF(EE27=Meta!D3,Meta!Q11,"")</f>
        <v/>
      </c>
      <c r="G10" s="304"/>
      <c r="H10" s="310"/>
      <c r="I10" s="306"/>
      <c r="J10" s="304"/>
      <c r="K10" s="310"/>
      <c r="L10" s="306"/>
      <c r="M10" s="380"/>
      <c r="N10" s="381"/>
      <c r="O10" s="382"/>
      <c r="P10" s="383"/>
      <c r="Q10" s="373"/>
      <c r="R10" s="597" t="str">
        <f>IF(Meta!$AC$5&lt;&gt;"",Meta!$AC$5,"")</f>
        <v>Serv. Informát.</v>
      </c>
      <c r="S10" s="598"/>
      <c r="T10" s="419">
        <f t="shared" si="0"/>
        <v>0</v>
      </c>
      <c r="U10" s="419">
        <f t="shared" si="0"/>
        <v>0</v>
      </c>
      <c r="V10" s="419">
        <f t="shared" si="0"/>
        <v>0</v>
      </c>
      <c r="W10" s="419">
        <f t="shared" si="0"/>
        <v>0</v>
      </c>
      <c r="X10" s="419">
        <f t="shared" si="0"/>
        <v>0</v>
      </c>
      <c r="Y10" s="419">
        <f t="shared" si="0"/>
        <v>0</v>
      </c>
      <c r="Z10" s="419">
        <f t="shared" si="1"/>
        <v>0</v>
      </c>
      <c r="AA10" s="420">
        <f t="shared" si="2"/>
        <v>0</v>
      </c>
      <c r="AB10" s="418"/>
      <c r="AC10" s="386"/>
    </row>
    <row r="11" spans="1:29" ht="14.45" customHeight="1" x14ac:dyDescent="0.25">
      <c r="A11" s="593"/>
      <c r="B11" s="370" t="str">
        <f>Notas!B11</f>
        <v>Joana</v>
      </c>
      <c r="C11" s="388" t="str">
        <f>IF(Notas!Q26&gt;=0,"",(-1)*Notas!Q26)</f>
        <v/>
      </c>
      <c r="D11" s="372"/>
      <c r="E11" s="373"/>
      <c r="F11" s="374" t="str">
        <f>IF(ES27=Meta!D3,Meta!Q12,"")</f>
        <v/>
      </c>
      <c r="G11" s="307"/>
      <c r="H11" s="308"/>
      <c r="I11" s="309"/>
      <c r="J11" s="307"/>
      <c r="K11" s="308"/>
      <c r="L11" s="309"/>
      <c r="M11" s="390"/>
      <c r="N11" s="391"/>
      <c r="O11" s="392"/>
      <c r="P11" s="383"/>
      <c r="Q11" s="373"/>
      <c r="R11" s="597" t="str">
        <f>IF(Meta!$AC$6&lt;&gt;"",Meta!$AC$6,"")</f>
        <v>Telefonia</v>
      </c>
      <c r="S11" s="598"/>
      <c r="T11" s="421">
        <f t="shared" si="0"/>
        <v>0</v>
      </c>
      <c r="U11" s="421">
        <f t="shared" si="0"/>
        <v>0</v>
      </c>
      <c r="V11" s="421">
        <f t="shared" si="0"/>
        <v>0</v>
      </c>
      <c r="W11" s="421">
        <f t="shared" si="0"/>
        <v>0</v>
      </c>
      <c r="X11" s="421">
        <f t="shared" si="0"/>
        <v>0</v>
      </c>
      <c r="Y11" s="421">
        <f t="shared" si="0"/>
        <v>0</v>
      </c>
      <c r="Z11" s="421">
        <f t="shared" si="1"/>
        <v>0</v>
      </c>
      <c r="AA11" s="422">
        <f t="shared" si="2"/>
        <v>0</v>
      </c>
      <c r="AB11" s="418"/>
      <c r="AC11" s="386"/>
    </row>
    <row r="12" spans="1:29" ht="14.45" customHeight="1" x14ac:dyDescent="0.25">
      <c r="A12" s="593"/>
      <c r="B12" s="370" t="str">
        <f>Notas!B12</f>
        <v>Kiko</v>
      </c>
      <c r="C12" s="394" t="str">
        <f>IF(Notas!Q27&gt;=0,"",(-1)*Notas!Q27)</f>
        <v/>
      </c>
      <c r="D12" s="372"/>
      <c r="E12" s="373"/>
      <c r="F12" s="374" t="str">
        <f>IF(FG27=Meta!D3,Meta!Q13,"")</f>
        <v/>
      </c>
      <c r="G12" s="304"/>
      <c r="H12" s="310"/>
      <c r="I12" s="306"/>
      <c r="J12" s="304"/>
      <c r="K12" s="310"/>
      <c r="L12" s="306"/>
      <c r="M12" s="380"/>
      <c r="N12" s="381"/>
      <c r="O12" s="382"/>
      <c r="P12" s="383"/>
      <c r="Q12" s="373"/>
      <c r="R12" s="597" t="str">
        <f>IF(Meta!$AC$7&lt;&gt;"",Meta!$AC$7,"")</f>
        <v>CPFL/DAE</v>
      </c>
      <c r="S12" s="598"/>
      <c r="T12" s="419">
        <f t="shared" si="0"/>
        <v>0</v>
      </c>
      <c r="U12" s="419">
        <f t="shared" si="0"/>
        <v>0</v>
      </c>
      <c r="V12" s="419">
        <f t="shared" si="0"/>
        <v>0</v>
      </c>
      <c r="W12" s="419">
        <f t="shared" si="0"/>
        <v>0</v>
      </c>
      <c r="X12" s="419">
        <f t="shared" si="0"/>
        <v>0</v>
      </c>
      <c r="Y12" s="419">
        <f t="shared" si="0"/>
        <v>0</v>
      </c>
      <c r="Z12" s="419">
        <f t="shared" si="1"/>
        <v>0</v>
      </c>
      <c r="AA12" s="420">
        <f t="shared" si="2"/>
        <v>0</v>
      </c>
      <c r="AB12" s="418"/>
      <c r="AC12" s="386"/>
    </row>
    <row r="13" spans="1:29" ht="14.45" customHeight="1" x14ac:dyDescent="0.25">
      <c r="A13" s="593"/>
      <c r="B13" s="370" t="str">
        <f>Notas!B13</f>
        <v>Laura</v>
      </c>
      <c r="C13" s="423" t="str">
        <f>IF(Notas!Q28&gt;=0,"",(-1)*Notas!Q28)</f>
        <v/>
      </c>
      <c r="D13" s="372"/>
      <c r="E13" s="373"/>
      <c r="F13" s="374" t="str">
        <f>IF(FU27=Meta!D3,Meta!Q14,"")</f>
        <v/>
      </c>
      <c r="G13" s="307"/>
      <c r="H13" s="308"/>
      <c r="I13" s="309"/>
      <c r="J13" s="307"/>
      <c r="K13" s="308"/>
      <c r="L13" s="309"/>
      <c r="M13" s="390"/>
      <c r="N13" s="391"/>
      <c r="O13" s="392"/>
      <c r="P13" s="383"/>
      <c r="Q13" s="373"/>
      <c r="R13" s="597" t="str">
        <f>IF(Meta!$AC$8&lt;&gt;"",Meta!$AC$8,"")</f>
        <v>Tv. Assinatura</v>
      </c>
      <c r="S13" s="598"/>
      <c r="T13" s="424">
        <f t="shared" si="0"/>
        <v>0</v>
      </c>
      <c r="U13" s="424">
        <f t="shared" si="0"/>
        <v>0</v>
      </c>
      <c r="V13" s="421">
        <f t="shared" si="0"/>
        <v>0</v>
      </c>
      <c r="W13" s="421">
        <f t="shared" si="0"/>
        <v>0</v>
      </c>
      <c r="X13" s="421">
        <f t="shared" si="0"/>
        <v>0</v>
      </c>
      <c r="Y13" s="421">
        <f t="shared" si="0"/>
        <v>0</v>
      </c>
      <c r="Z13" s="421">
        <f t="shared" si="1"/>
        <v>0</v>
      </c>
      <c r="AA13" s="422">
        <f t="shared" si="2"/>
        <v>0</v>
      </c>
      <c r="AB13" s="418"/>
      <c r="AC13" s="386"/>
    </row>
    <row r="14" spans="1:29" s="431" customFormat="1" ht="14.45" customHeight="1" x14ac:dyDescent="0.25">
      <c r="A14" s="593"/>
      <c r="B14" s="425"/>
      <c r="C14" s="426">
        <f>SUM(C2:C13)</f>
        <v>0</v>
      </c>
      <c r="D14" s="372"/>
      <c r="E14" s="373"/>
      <c r="F14" s="374"/>
      <c r="G14" s="304"/>
      <c r="H14" s="310"/>
      <c r="I14" s="306"/>
      <c r="J14" s="304"/>
      <c r="K14" s="310"/>
      <c r="L14" s="306"/>
      <c r="M14" s="380"/>
      <c r="N14" s="381"/>
      <c r="O14" s="382"/>
      <c r="P14" s="383"/>
      <c r="Q14" s="427"/>
      <c r="R14" s="597" t="str">
        <f>IF(Meta!$AC$9&lt;&gt;"",Meta!$AC$9,"")</f>
        <v>Anoreg/IEPTB</v>
      </c>
      <c r="S14" s="598"/>
      <c r="T14" s="428">
        <f t="shared" si="0"/>
        <v>0</v>
      </c>
      <c r="U14" s="428">
        <f t="shared" si="0"/>
        <v>0</v>
      </c>
      <c r="V14" s="419">
        <f t="shared" si="0"/>
        <v>0</v>
      </c>
      <c r="W14" s="419">
        <f t="shared" si="0"/>
        <v>0</v>
      </c>
      <c r="X14" s="419">
        <f t="shared" si="0"/>
        <v>0</v>
      </c>
      <c r="Y14" s="419">
        <f t="shared" si="0"/>
        <v>0</v>
      </c>
      <c r="Z14" s="419">
        <f t="shared" si="1"/>
        <v>0</v>
      </c>
      <c r="AA14" s="420">
        <f t="shared" si="2"/>
        <v>0</v>
      </c>
      <c r="AB14" s="429"/>
      <c r="AC14" s="430"/>
    </row>
    <row r="15" spans="1:29" ht="14.45" customHeight="1" x14ac:dyDescent="0.25">
      <c r="A15" s="592" t="s">
        <v>75</v>
      </c>
      <c r="B15" s="370"/>
      <c r="C15" s="432"/>
      <c r="D15" s="372"/>
      <c r="E15" s="373"/>
      <c r="F15" s="374"/>
      <c r="G15" s="311"/>
      <c r="H15" s="312"/>
      <c r="I15" s="313"/>
      <c r="J15" s="311"/>
      <c r="K15" s="312"/>
      <c r="L15" s="313"/>
      <c r="M15" s="434"/>
      <c r="N15" s="435"/>
      <c r="O15" s="433"/>
      <c r="P15" s="383"/>
      <c r="Q15" s="373"/>
      <c r="R15" s="597" t="str">
        <f>IF(Meta!$AC$10&lt;&gt;"",Meta!$AC$10,"")</f>
        <v>Trib. Federal</v>
      </c>
      <c r="S15" s="598"/>
      <c r="T15" s="436">
        <f t="shared" si="0"/>
        <v>0</v>
      </c>
      <c r="U15" s="436">
        <f t="shared" si="0"/>
        <v>0</v>
      </c>
      <c r="V15" s="421">
        <f t="shared" si="0"/>
        <v>0</v>
      </c>
      <c r="W15" s="421">
        <f t="shared" si="0"/>
        <v>0</v>
      </c>
      <c r="X15" s="421">
        <f t="shared" si="0"/>
        <v>0</v>
      </c>
      <c r="Y15" s="421">
        <f t="shared" si="0"/>
        <v>0</v>
      </c>
      <c r="Z15" s="421">
        <f t="shared" si="1"/>
        <v>0</v>
      </c>
      <c r="AA15" s="422">
        <f t="shared" si="2"/>
        <v>0</v>
      </c>
      <c r="AB15" s="418"/>
      <c r="AC15" s="386"/>
    </row>
    <row r="16" spans="1:29" ht="14.45" customHeight="1" x14ac:dyDescent="0.25">
      <c r="A16" s="592"/>
      <c r="B16" s="370" t="s">
        <v>62</v>
      </c>
      <c r="C16" s="297"/>
      <c r="D16" s="372"/>
      <c r="E16" s="373"/>
      <c r="F16" s="374"/>
      <c r="G16" s="314"/>
      <c r="H16" s="315"/>
      <c r="I16" s="316"/>
      <c r="J16" s="314"/>
      <c r="K16" s="315"/>
      <c r="L16" s="316"/>
      <c r="M16" s="438"/>
      <c r="N16" s="439"/>
      <c r="O16" s="437"/>
      <c r="P16" s="383"/>
      <c r="Q16" s="373"/>
      <c r="R16" s="597" t="str">
        <f>IF(Meta!$AC$11&lt;&gt;"",Meta!$AC$11,"")</f>
        <v>Trib. Estadual</v>
      </c>
      <c r="S16" s="598"/>
      <c r="T16" s="419">
        <f t="shared" si="0"/>
        <v>0</v>
      </c>
      <c r="U16" s="419">
        <f t="shared" si="0"/>
        <v>0</v>
      </c>
      <c r="V16" s="419">
        <f t="shared" si="0"/>
        <v>0</v>
      </c>
      <c r="W16" s="419">
        <f t="shared" si="0"/>
        <v>0</v>
      </c>
      <c r="X16" s="419">
        <f t="shared" si="0"/>
        <v>0</v>
      </c>
      <c r="Y16" s="419">
        <f t="shared" si="0"/>
        <v>0</v>
      </c>
      <c r="Z16" s="419">
        <f t="shared" si="1"/>
        <v>0</v>
      </c>
      <c r="AA16" s="420">
        <f t="shared" si="2"/>
        <v>0</v>
      </c>
      <c r="AB16" s="418"/>
      <c r="AC16" s="386"/>
    </row>
    <row r="17" spans="1:29" ht="14.45" customHeight="1" x14ac:dyDescent="0.25">
      <c r="A17" s="592"/>
      <c r="B17" s="370"/>
      <c r="C17" s="298"/>
      <c r="D17" s="372"/>
      <c r="E17" s="373"/>
      <c r="F17" s="374"/>
      <c r="G17" s="311"/>
      <c r="H17" s="312"/>
      <c r="I17" s="313"/>
      <c r="J17" s="311"/>
      <c r="K17" s="312"/>
      <c r="L17" s="313"/>
      <c r="M17" s="434"/>
      <c r="N17" s="435"/>
      <c r="O17" s="433"/>
      <c r="P17" s="383"/>
      <c r="Q17" s="373"/>
      <c r="R17" s="597" t="str">
        <f>IF(Meta!$AC$12&lt;&gt;"",Meta!$AC$12,"")</f>
        <v>Trib. Municip.</v>
      </c>
      <c r="S17" s="598"/>
      <c r="T17" s="421">
        <f t="shared" si="0"/>
        <v>0</v>
      </c>
      <c r="U17" s="421">
        <f t="shared" si="0"/>
        <v>0</v>
      </c>
      <c r="V17" s="421">
        <f t="shared" si="0"/>
        <v>0</v>
      </c>
      <c r="W17" s="421">
        <f t="shared" si="0"/>
        <v>0</v>
      </c>
      <c r="X17" s="421">
        <f t="shared" si="0"/>
        <v>0</v>
      </c>
      <c r="Y17" s="421">
        <f t="shared" si="0"/>
        <v>0</v>
      </c>
      <c r="Z17" s="421">
        <f t="shared" si="1"/>
        <v>0</v>
      </c>
      <c r="AA17" s="422">
        <f t="shared" si="2"/>
        <v>0</v>
      </c>
      <c r="AB17" s="418"/>
      <c r="AC17" s="386"/>
    </row>
    <row r="18" spans="1:29" ht="14.45" customHeight="1" x14ac:dyDescent="0.25">
      <c r="A18" s="592"/>
      <c r="B18" s="370"/>
      <c r="C18" s="299"/>
      <c r="D18" s="372"/>
      <c r="E18" s="373"/>
      <c r="F18" s="374"/>
      <c r="G18" s="314"/>
      <c r="H18" s="315"/>
      <c r="I18" s="316"/>
      <c r="J18" s="314"/>
      <c r="K18" s="315"/>
      <c r="L18" s="316"/>
      <c r="M18" s="438"/>
      <c r="N18" s="439"/>
      <c r="O18" s="437"/>
      <c r="P18" s="383"/>
      <c r="Q18" s="373"/>
      <c r="R18" s="597" t="str">
        <f>IF(Meta!$AC$13&lt;&gt;"",Meta!$AC$13,"")</f>
        <v/>
      </c>
      <c r="S18" s="598"/>
      <c r="T18" s="419" t="str">
        <f t="shared" ref="T18:Y27" si="3">IF(OR($R18="",T$7=""),"",SUMIFS($H$6:$H$27,$G$6:$G$27,$R18,$I$6:$I$27,T$7)+SUMIFS($K$6:$K$27,$J$6:$J$27,$R18,$L$6:$L$27,T$7)+SUMIFS($N$2:$N$27,$M$2:$M$27,$R18,$O$2:$O$27,T$7))</f>
        <v/>
      </c>
      <c r="U18" s="419" t="str">
        <f t="shared" si="3"/>
        <v/>
      </c>
      <c r="V18" s="419" t="str">
        <f t="shared" si="3"/>
        <v/>
      </c>
      <c r="W18" s="419" t="str">
        <f t="shared" si="3"/>
        <v/>
      </c>
      <c r="X18" s="419" t="str">
        <f t="shared" si="3"/>
        <v/>
      </c>
      <c r="Y18" s="419" t="str">
        <f t="shared" si="3"/>
        <v/>
      </c>
      <c r="Z18" s="419" t="str">
        <f t="shared" si="1"/>
        <v/>
      </c>
      <c r="AA18" s="420">
        <f t="shared" si="2"/>
        <v>0</v>
      </c>
      <c r="AB18" s="418"/>
      <c r="AC18" s="386"/>
    </row>
    <row r="19" spans="1:29" ht="14.45" customHeight="1" x14ac:dyDescent="0.25">
      <c r="A19" s="184"/>
      <c r="B19" s="370"/>
      <c r="C19" s="298"/>
      <c r="D19" s="372"/>
      <c r="E19" s="373"/>
      <c r="F19" s="374"/>
      <c r="G19" s="311"/>
      <c r="H19" s="312"/>
      <c r="I19" s="313"/>
      <c r="J19" s="311"/>
      <c r="K19" s="312"/>
      <c r="L19" s="313"/>
      <c r="M19" s="434"/>
      <c r="N19" s="435"/>
      <c r="O19" s="433"/>
      <c r="P19" s="383"/>
      <c r="Q19" s="373"/>
      <c r="R19" s="597" t="str">
        <f>IF(Meta!$AC$14&lt;&gt;"",Meta!$AC$14,"")</f>
        <v/>
      </c>
      <c r="S19" s="598"/>
      <c r="T19" s="421" t="str">
        <f t="shared" si="3"/>
        <v/>
      </c>
      <c r="U19" s="421" t="str">
        <f t="shared" si="3"/>
        <v/>
      </c>
      <c r="V19" s="421" t="str">
        <f t="shared" si="3"/>
        <v/>
      </c>
      <c r="W19" s="421" t="str">
        <f t="shared" si="3"/>
        <v/>
      </c>
      <c r="X19" s="421" t="str">
        <f t="shared" si="3"/>
        <v/>
      </c>
      <c r="Y19" s="421" t="str">
        <f t="shared" si="3"/>
        <v/>
      </c>
      <c r="Z19" s="421" t="str">
        <f t="shared" si="1"/>
        <v/>
      </c>
      <c r="AA19" s="422">
        <f t="shared" si="2"/>
        <v>0</v>
      </c>
      <c r="AB19" s="418"/>
      <c r="AC19" s="386"/>
    </row>
    <row r="20" spans="1:29" ht="14.45" customHeight="1" x14ac:dyDescent="0.25">
      <c r="A20" s="184"/>
      <c r="B20" s="370"/>
      <c r="C20" s="299"/>
      <c r="D20" s="372"/>
      <c r="E20" s="373"/>
      <c r="F20" s="374"/>
      <c r="G20" s="314"/>
      <c r="H20" s="315"/>
      <c r="I20" s="316"/>
      <c r="J20" s="314"/>
      <c r="K20" s="315"/>
      <c r="L20" s="316"/>
      <c r="M20" s="438"/>
      <c r="N20" s="439"/>
      <c r="O20" s="437"/>
      <c r="P20" s="383"/>
      <c r="Q20" s="373"/>
      <c r="R20" s="597" t="str">
        <f>IF(Meta!$AC$15&lt;&gt;"",Meta!$AC$15,"")</f>
        <v>Contribuições</v>
      </c>
      <c r="S20" s="598"/>
      <c r="T20" s="419">
        <f t="shared" si="3"/>
        <v>0</v>
      </c>
      <c r="U20" s="419">
        <f t="shared" si="3"/>
        <v>0</v>
      </c>
      <c r="V20" s="419">
        <f t="shared" si="3"/>
        <v>0</v>
      </c>
      <c r="W20" s="419">
        <f t="shared" si="3"/>
        <v>0</v>
      </c>
      <c r="X20" s="419">
        <f t="shared" si="3"/>
        <v>0</v>
      </c>
      <c r="Y20" s="419">
        <f t="shared" si="3"/>
        <v>0</v>
      </c>
      <c r="Z20" s="419">
        <f t="shared" si="1"/>
        <v>0</v>
      </c>
      <c r="AA20" s="420">
        <f t="shared" si="2"/>
        <v>0</v>
      </c>
      <c r="AB20" s="418"/>
      <c r="AC20" s="386"/>
    </row>
    <row r="21" spans="1:29" ht="14.45" customHeight="1" x14ac:dyDescent="0.25">
      <c r="A21" s="184"/>
      <c r="B21" s="370"/>
      <c r="C21" s="298"/>
      <c r="D21" s="372"/>
      <c r="E21" s="373"/>
      <c r="F21" s="374"/>
      <c r="G21" s="311"/>
      <c r="H21" s="312"/>
      <c r="I21" s="313"/>
      <c r="J21" s="311"/>
      <c r="K21" s="312"/>
      <c r="L21" s="313"/>
      <c r="M21" s="434"/>
      <c r="N21" s="435"/>
      <c r="O21" s="433"/>
      <c r="P21" s="383"/>
      <c r="Q21" s="373"/>
      <c r="R21" s="597" t="str">
        <f>IF(Meta!$AC$16&lt;&gt;"",Meta!$AC$16,"")</f>
        <v>Unimed</v>
      </c>
      <c r="S21" s="598"/>
      <c r="T21" s="421">
        <f t="shared" si="3"/>
        <v>0</v>
      </c>
      <c r="U21" s="421">
        <f t="shared" si="3"/>
        <v>0</v>
      </c>
      <c r="V21" s="421">
        <f t="shared" si="3"/>
        <v>0</v>
      </c>
      <c r="W21" s="421">
        <f t="shared" si="3"/>
        <v>0</v>
      </c>
      <c r="X21" s="421">
        <f t="shared" si="3"/>
        <v>0</v>
      </c>
      <c r="Y21" s="421">
        <f t="shared" si="3"/>
        <v>0</v>
      </c>
      <c r="Z21" s="421">
        <f t="shared" si="1"/>
        <v>0</v>
      </c>
      <c r="AA21" s="422">
        <f t="shared" si="2"/>
        <v>0</v>
      </c>
      <c r="AB21" s="418"/>
      <c r="AC21" s="386"/>
    </row>
    <row r="22" spans="1:29" ht="14.45" customHeight="1" x14ac:dyDescent="0.25">
      <c r="A22" s="184"/>
      <c r="B22" s="370"/>
      <c r="C22" s="299"/>
      <c r="D22" s="372"/>
      <c r="E22" s="373"/>
      <c r="F22" s="374"/>
      <c r="G22" s="314"/>
      <c r="H22" s="315"/>
      <c r="I22" s="316"/>
      <c r="J22" s="314"/>
      <c r="K22" s="315"/>
      <c r="L22" s="316"/>
      <c r="M22" s="438"/>
      <c r="N22" s="439"/>
      <c r="O22" s="437"/>
      <c r="P22" s="383"/>
      <c r="Q22" s="373"/>
      <c r="R22" s="597" t="str">
        <f>IF(Meta!$AC$17&lt;&gt;"",Meta!$AC$17,"")</f>
        <v>Escola</v>
      </c>
      <c r="S22" s="598"/>
      <c r="T22" s="419">
        <f t="shared" si="3"/>
        <v>0</v>
      </c>
      <c r="U22" s="419">
        <f t="shared" si="3"/>
        <v>0</v>
      </c>
      <c r="V22" s="419">
        <f t="shared" si="3"/>
        <v>0</v>
      </c>
      <c r="W22" s="419">
        <f t="shared" si="3"/>
        <v>0</v>
      </c>
      <c r="X22" s="419">
        <f t="shared" si="3"/>
        <v>0</v>
      </c>
      <c r="Y22" s="419">
        <f t="shared" si="3"/>
        <v>0</v>
      </c>
      <c r="Z22" s="419">
        <f t="shared" si="1"/>
        <v>0</v>
      </c>
      <c r="AA22" s="420">
        <f t="shared" si="2"/>
        <v>0</v>
      </c>
      <c r="AB22" s="418"/>
      <c r="AC22" s="386"/>
    </row>
    <row r="23" spans="1:29" ht="14.45" customHeight="1" x14ac:dyDescent="0.25">
      <c r="A23" s="184"/>
      <c r="B23" s="370"/>
      <c r="C23" s="298"/>
      <c r="D23" s="372"/>
      <c r="E23" s="373"/>
      <c r="F23" s="374"/>
      <c r="G23" s="311"/>
      <c r="H23" s="312"/>
      <c r="I23" s="313"/>
      <c r="J23" s="311"/>
      <c r="K23" s="312"/>
      <c r="L23" s="313"/>
      <c r="M23" s="434"/>
      <c r="N23" s="435"/>
      <c r="O23" s="433"/>
      <c r="P23" s="383"/>
      <c r="Q23" s="373"/>
      <c r="R23" s="597" t="str">
        <f>IF(Meta!$AC$18&lt;&gt;"",Meta!$AC$18,"")</f>
        <v>Condomínios</v>
      </c>
      <c r="S23" s="598"/>
      <c r="T23" s="421">
        <f t="shared" si="3"/>
        <v>0</v>
      </c>
      <c r="U23" s="421">
        <f t="shared" si="3"/>
        <v>0</v>
      </c>
      <c r="V23" s="421">
        <f t="shared" si="3"/>
        <v>0</v>
      </c>
      <c r="W23" s="421">
        <f t="shared" si="3"/>
        <v>0</v>
      </c>
      <c r="X23" s="421">
        <f t="shared" si="3"/>
        <v>0</v>
      </c>
      <c r="Y23" s="421">
        <f t="shared" si="3"/>
        <v>0</v>
      </c>
      <c r="Z23" s="421">
        <f t="shared" si="1"/>
        <v>0</v>
      </c>
      <c r="AA23" s="422">
        <f t="shared" si="2"/>
        <v>0</v>
      </c>
      <c r="AB23" s="418"/>
      <c r="AC23" s="386"/>
    </row>
    <row r="24" spans="1:29" ht="14.45" customHeight="1" x14ac:dyDescent="0.25">
      <c r="A24" s="184"/>
      <c r="B24" s="370"/>
      <c r="C24" s="299"/>
      <c r="D24" s="372"/>
      <c r="E24" s="373"/>
      <c r="F24" s="374"/>
      <c r="G24" s="314"/>
      <c r="H24" s="315"/>
      <c r="I24" s="316"/>
      <c r="J24" s="314"/>
      <c r="K24" s="315"/>
      <c r="L24" s="316"/>
      <c r="M24" s="438"/>
      <c r="N24" s="439"/>
      <c r="O24" s="437"/>
      <c r="P24" s="383"/>
      <c r="Q24" s="373"/>
      <c r="R24" s="597" t="str">
        <f>IF(Meta!$AC$19&lt;&gt;"",Meta!$AC$19,"")</f>
        <v>Assinaturas</v>
      </c>
      <c r="S24" s="598"/>
      <c r="T24" s="419">
        <f t="shared" si="3"/>
        <v>0</v>
      </c>
      <c r="U24" s="419">
        <f t="shared" si="3"/>
        <v>0</v>
      </c>
      <c r="V24" s="419">
        <f t="shared" si="3"/>
        <v>0</v>
      </c>
      <c r="W24" s="419">
        <f t="shared" si="3"/>
        <v>0</v>
      </c>
      <c r="X24" s="419">
        <f t="shared" si="3"/>
        <v>0</v>
      </c>
      <c r="Y24" s="419">
        <f t="shared" si="3"/>
        <v>0</v>
      </c>
      <c r="Z24" s="419">
        <f t="shared" si="1"/>
        <v>0</v>
      </c>
      <c r="AA24" s="420">
        <f t="shared" si="2"/>
        <v>0</v>
      </c>
      <c r="AB24" s="418"/>
      <c r="AC24" s="386"/>
    </row>
    <row r="25" spans="1:29" ht="14.45" customHeight="1" x14ac:dyDescent="0.25">
      <c r="A25" s="184"/>
      <c r="B25" s="370"/>
      <c r="C25" s="298"/>
      <c r="D25" s="372"/>
      <c r="E25" s="373"/>
      <c r="F25" s="374"/>
      <c r="G25" s="311"/>
      <c r="H25" s="312"/>
      <c r="I25" s="313"/>
      <c r="J25" s="311"/>
      <c r="K25" s="312"/>
      <c r="L25" s="313"/>
      <c r="M25" s="434"/>
      <c r="N25" s="435"/>
      <c r="O25" s="433"/>
      <c r="P25" s="383"/>
      <c r="Q25" s="373"/>
      <c r="R25" s="597" t="str">
        <f>IF(Meta!$AC$20&lt;&gt;"",Meta!$AC$20,"")</f>
        <v>Seguros</v>
      </c>
      <c r="S25" s="598"/>
      <c r="T25" s="421">
        <f t="shared" si="3"/>
        <v>0</v>
      </c>
      <c r="U25" s="421">
        <f t="shared" si="3"/>
        <v>0</v>
      </c>
      <c r="V25" s="421">
        <f t="shared" si="3"/>
        <v>0</v>
      </c>
      <c r="W25" s="421">
        <f t="shared" si="3"/>
        <v>0</v>
      </c>
      <c r="X25" s="421">
        <f t="shared" si="3"/>
        <v>0</v>
      </c>
      <c r="Y25" s="421">
        <f t="shared" si="3"/>
        <v>0</v>
      </c>
      <c r="Z25" s="421">
        <f t="shared" si="1"/>
        <v>0</v>
      </c>
      <c r="AA25" s="422">
        <f t="shared" si="2"/>
        <v>0</v>
      </c>
      <c r="AB25" s="418"/>
      <c r="AC25" s="386"/>
    </row>
    <row r="26" spans="1:29" ht="14.45" customHeight="1" x14ac:dyDescent="0.25">
      <c r="A26" s="184"/>
      <c r="B26" s="370" t="s">
        <v>0</v>
      </c>
      <c r="C26" s="299"/>
      <c r="D26" s="372"/>
      <c r="E26" s="373"/>
      <c r="F26" s="374"/>
      <c r="G26" s="317"/>
      <c r="H26" s="318"/>
      <c r="I26" s="319"/>
      <c r="J26" s="317"/>
      <c r="K26" s="318"/>
      <c r="L26" s="319"/>
      <c r="M26" s="438"/>
      <c r="N26" s="439"/>
      <c r="O26" s="437"/>
      <c r="P26" s="383"/>
      <c r="Q26" s="373"/>
      <c r="R26" s="597" t="str">
        <f>IF(Meta!$AC$21&lt;&gt;"",Meta!$AC$21,"")</f>
        <v>Sítio</v>
      </c>
      <c r="S26" s="598"/>
      <c r="T26" s="419">
        <f t="shared" si="3"/>
        <v>0</v>
      </c>
      <c r="U26" s="419">
        <f t="shared" si="3"/>
        <v>0</v>
      </c>
      <c r="V26" s="419">
        <f t="shared" si="3"/>
        <v>0</v>
      </c>
      <c r="W26" s="419">
        <f t="shared" si="3"/>
        <v>0</v>
      </c>
      <c r="X26" s="419">
        <f t="shared" si="3"/>
        <v>0</v>
      </c>
      <c r="Y26" s="419">
        <f t="shared" si="3"/>
        <v>0</v>
      </c>
      <c r="Z26" s="419">
        <f t="shared" si="1"/>
        <v>0</v>
      </c>
      <c r="AA26" s="420">
        <f t="shared" si="2"/>
        <v>0</v>
      </c>
      <c r="AB26" s="418"/>
      <c r="AC26" s="386"/>
    </row>
    <row r="27" spans="1:29" ht="14.45" customHeight="1" x14ac:dyDescent="0.25">
      <c r="A27" s="184"/>
      <c r="B27" s="370" t="s">
        <v>14</v>
      </c>
      <c r="C27" s="300"/>
      <c r="D27" s="372"/>
      <c r="E27" s="373"/>
      <c r="F27" s="374"/>
      <c r="G27" s="320"/>
      <c r="H27" s="321"/>
      <c r="I27" s="322"/>
      <c r="J27" s="320"/>
      <c r="K27" s="321"/>
      <c r="L27" s="322"/>
      <c r="M27" s="440"/>
      <c r="N27" s="441"/>
      <c r="O27" s="442"/>
      <c r="P27" s="383"/>
      <c r="Q27" s="373"/>
      <c r="R27" s="601" t="str">
        <f>IF(Meta!$AC$22&lt;&gt;"",Meta!$AC$22,"")</f>
        <v>Cacarecos</v>
      </c>
      <c r="S27" s="602"/>
      <c r="T27" s="443">
        <f t="shared" si="3"/>
        <v>0</v>
      </c>
      <c r="U27" s="443">
        <f t="shared" si="3"/>
        <v>0</v>
      </c>
      <c r="V27" s="443">
        <f t="shared" si="3"/>
        <v>0</v>
      </c>
      <c r="W27" s="443">
        <f t="shared" si="3"/>
        <v>0</v>
      </c>
      <c r="X27" s="443">
        <f t="shared" si="3"/>
        <v>0</v>
      </c>
      <c r="Y27" s="443">
        <f t="shared" si="3"/>
        <v>0</v>
      </c>
      <c r="Z27" s="443">
        <f t="shared" si="1"/>
        <v>0</v>
      </c>
      <c r="AA27" s="444">
        <f>SUM(T27:Z27)</f>
        <v>0</v>
      </c>
      <c r="AB27" s="418"/>
      <c r="AC27" s="386"/>
    </row>
    <row r="28" spans="1:29" ht="14.45" customHeight="1" x14ac:dyDescent="0.25">
      <c r="A28" s="184"/>
      <c r="B28" s="370"/>
      <c r="C28" s="426">
        <f>SUM(C16:C27)</f>
        <v>0</v>
      </c>
      <c r="D28" s="372"/>
      <c r="E28" s="373"/>
      <c r="F28" s="445"/>
      <c r="G28" s="446"/>
      <c r="H28" s="447">
        <f>SUM(H6:H27)</f>
        <v>0</v>
      </c>
      <c r="I28" s="448"/>
      <c r="J28" s="449"/>
      <c r="K28" s="450">
        <f>SUM(K6:K27)</f>
        <v>0</v>
      </c>
      <c r="L28" s="451"/>
      <c r="M28" s="451"/>
      <c r="N28" s="452">
        <f>SUM(N2:N27)</f>
        <v>0</v>
      </c>
      <c r="O28" s="451"/>
      <c r="P28" s="383"/>
      <c r="Q28" s="373"/>
      <c r="R28" s="601" t="s">
        <v>14</v>
      </c>
      <c r="S28" s="602"/>
      <c r="T28" s="419">
        <f t="shared" ref="T28:Y28" si="4">IF(OR($R28="",T$7=""),"",SUMIFS($H$6:$H$27,$G$6:$G$27,"",$I$6:$I$27,T$7)+SUMIFS($K$6:$K$27,$J$6:$J$27,"",$L$6:$L$27,T$7)+SUMIFS($N$2:$N$27,$M$2:$M$27,"",$O$2:$O$27,T$7))</f>
        <v>0</v>
      </c>
      <c r="U28" s="419">
        <f t="shared" si="4"/>
        <v>0</v>
      </c>
      <c r="V28" s="419">
        <f t="shared" si="4"/>
        <v>0</v>
      </c>
      <c r="W28" s="419">
        <f t="shared" si="4"/>
        <v>0</v>
      </c>
      <c r="X28" s="419">
        <f t="shared" si="4"/>
        <v>0</v>
      </c>
      <c r="Y28" s="419">
        <f t="shared" si="4"/>
        <v>0</v>
      </c>
      <c r="Z28" s="419">
        <f>IF(OR($R28="",Z$7=""),"",SUMIFS($H$6:$H$27,$G$6:$G$27,"",$I$6:$I$27,"")+SUMIFS($K$6:$K$27,$J$6:$J$27,"",$L$6:$L$27,"")+SUMIFS($N$2:$N$27,$M$2:$M$27,"",$O$2:$O$27,""))</f>
        <v>0</v>
      </c>
      <c r="AA28" s="420">
        <f>SUM(T28:Z28)</f>
        <v>0</v>
      </c>
      <c r="AB28" s="453"/>
      <c r="AC28" s="386"/>
    </row>
    <row r="29" spans="1:29" ht="14.45" customHeight="1" x14ac:dyDescent="0.25">
      <c r="A29" s="454"/>
      <c r="B29" s="455" t="s">
        <v>60</v>
      </c>
      <c r="C29" s="456">
        <f>C14+C28</f>
        <v>0</v>
      </c>
      <c r="D29" s="457"/>
      <c r="E29" s="406"/>
      <c r="F29" s="458"/>
      <c r="G29" s="459"/>
      <c r="H29" s="459"/>
      <c r="I29" s="460"/>
      <c r="J29" s="461" t="s">
        <v>60</v>
      </c>
      <c r="K29" s="591">
        <f>SUM(H2,H3,K2,K3,H28,K28,N28)</f>
        <v>0</v>
      </c>
      <c r="L29" s="591"/>
      <c r="M29" s="462"/>
      <c r="N29" s="462"/>
      <c r="O29" s="462"/>
      <c r="P29" s="463"/>
      <c r="Q29" s="373"/>
      <c r="R29" s="599" t="s">
        <v>2</v>
      </c>
      <c r="S29" s="600"/>
      <c r="T29" s="464">
        <f t="shared" ref="T29:Z29" si="5">SUM(T8:T27)</f>
        <v>0</v>
      </c>
      <c r="U29" s="464">
        <f t="shared" si="5"/>
        <v>0</v>
      </c>
      <c r="V29" s="464">
        <f t="shared" si="5"/>
        <v>0</v>
      </c>
      <c r="W29" s="464">
        <f t="shared" si="5"/>
        <v>0</v>
      </c>
      <c r="X29" s="464">
        <f t="shared" si="5"/>
        <v>0</v>
      </c>
      <c r="Y29" s="464">
        <f t="shared" si="5"/>
        <v>0</v>
      </c>
      <c r="Z29" s="464">
        <f t="shared" si="5"/>
        <v>0</v>
      </c>
      <c r="AA29" s="464">
        <f>SUM(AA8:AA28)</f>
        <v>0</v>
      </c>
      <c r="AB29" s="465"/>
      <c r="AC29" s="386"/>
    </row>
    <row r="30" spans="1:29" s="473" customFormat="1" ht="28.5" customHeight="1" thickBot="1" x14ac:dyDescent="0.3">
      <c r="A30" s="466"/>
      <c r="B30" s="467"/>
      <c r="C30" s="468"/>
      <c r="D30" s="468"/>
      <c r="E30" s="469"/>
      <c r="F30" s="469"/>
      <c r="G30" s="470"/>
      <c r="H30" s="470"/>
      <c r="I30" s="469"/>
      <c r="J30" s="471"/>
      <c r="K30" s="471"/>
      <c r="L30" s="468"/>
      <c r="M30" s="468"/>
      <c r="N30" s="468"/>
      <c r="O30" s="468"/>
      <c r="P30" s="468"/>
      <c r="Q30" s="469"/>
      <c r="R30" s="468"/>
      <c r="S30" s="468"/>
      <c r="T30" s="468"/>
      <c r="U30" s="468"/>
      <c r="V30" s="468"/>
      <c r="W30" s="468"/>
      <c r="X30" s="468"/>
      <c r="Y30" s="468"/>
      <c r="Z30" s="468"/>
      <c r="AA30" s="468"/>
      <c r="AB30" s="468"/>
      <c r="AC30" s="472"/>
    </row>
    <row r="31" spans="1:29" ht="14.45" customHeight="1" thickTop="1" x14ac:dyDescent="0.25"/>
  </sheetData>
  <sheetProtection sheet="1" objects="1" scenarios="1"/>
  <mergeCells count="29">
    <mergeCell ref="R25:S25"/>
    <mergeCell ref="R26:S26"/>
    <mergeCell ref="R27:S27"/>
    <mergeCell ref="S2:V3"/>
    <mergeCell ref="W2:AA3"/>
    <mergeCell ref="R22:S22"/>
    <mergeCell ref="R23:S23"/>
    <mergeCell ref="R24:S24"/>
    <mergeCell ref="R17:S17"/>
    <mergeCell ref="R18:S18"/>
    <mergeCell ref="R19:S19"/>
    <mergeCell ref="R20:S20"/>
    <mergeCell ref="R21:S21"/>
    <mergeCell ref="K29:L29"/>
    <mergeCell ref="A15:A18"/>
    <mergeCell ref="A1:A14"/>
    <mergeCell ref="T1:U1"/>
    <mergeCell ref="R7:S7"/>
    <mergeCell ref="R8:S8"/>
    <mergeCell ref="R9:S9"/>
    <mergeCell ref="R10:S10"/>
    <mergeCell ref="R11:S11"/>
    <mergeCell ref="R12:S12"/>
    <mergeCell ref="R13:S13"/>
    <mergeCell ref="R14:S14"/>
    <mergeCell ref="R15:S15"/>
    <mergeCell ref="R16:S16"/>
    <mergeCell ref="R29:S29"/>
    <mergeCell ref="R28:S28"/>
  </mergeCells>
  <conditionalFormatting sqref="A1 A15 A19:A29">
    <cfRule type="expression" dxfId="15" priority="19">
      <formula>OR(WEEKDAY(A$1)=1,WEEKDAY(A$1)=7)</formula>
    </cfRule>
  </conditionalFormatting>
  <conditionalFormatting sqref="B2">
    <cfRule type="expression" dxfId="14" priority="14">
      <formula>$C$2=""</formula>
    </cfRule>
  </conditionalFormatting>
  <conditionalFormatting sqref="B3">
    <cfRule type="expression" dxfId="13" priority="13">
      <formula>$C$3=""</formula>
    </cfRule>
  </conditionalFormatting>
  <conditionalFormatting sqref="B4">
    <cfRule type="expression" dxfId="12" priority="12">
      <formula>$C$4=""</formula>
    </cfRule>
  </conditionalFormatting>
  <conditionalFormatting sqref="B5">
    <cfRule type="expression" dxfId="11" priority="11">
      <formula>$C$5=""</formula>
    </cfRule>
  </conditionalFormatting>
  <conditionalFormatting sqref="B6">
    <cfRule type="expression" dxfId="10" priority="10">
      <formula>$C$6=""</formula>
    </cfRule>
  </conditionalFormatting>
  <conditionalFormatting sqref="B7">
    <cfRule type="expression" dxfId="9" priority="9">
      <formula>$C$7=""</formula>
    </cfRule>
  </conditionalFormatting>
  <conditionalFormatting sqref="B8">
    <cfRule type="expression" dxfId="8" priority="8">
      <formula>$C$8=""</formula>
    </cfRule>
  </conditionalFormatting>
  <conditionalFormatting sqref="B9">
    <cfRule type="expression" dxfId="7" priority="7">
      <formula>$C$9=""</formula>
    </cfRule>
  </conditionalFormatting>
  <conditionalFormatting sqref="B10">
    <cfRule type="expression" dxfId="6" priority="6">
      <formula>$C$10=""</formula>
    </cfRule>
  </conditionalFormatting>
  <conditionalFormatting sqref="B11">
    <cfRule type="expression" dxfId="5" priority="5">
      <formula>$C$11=""</formula>
    </cfRule>
  </conditionalFormatting>
  <conditionalFormatting sqref="B12">
    <cfRule type="expression" dxfId="4" priority="4">
      <formula>$C$12=""</formula>
    </cfRule>
  </conditionalFormatting>
  <conditionalFormatting sqref="B13">
    <cfRule type="expression" dxfId="3" priority="3">
      <formula>$C$13=""</formula>
    </cfRule>
  </conditionalFormatting>
  <conditionalFormatting sqref="S1:V3 W2">
    <cfRule type="expression" dxfId="2" priority="2">
      <formula>$S$2&gt;=0</formula>
    </cfRule>
  </conditionalFormatting>
  <conditionalFormatting sqref="S1:AA1 R1:R4 AB1:AB4 S4:AA4">
    <cfRule type="expression" dxfId="1" priority="1">
      <formula>$S$2&gt;=0</formula>
    </cfRule>
  </conditionalFormatting>
  <conditionalFormatting sqref="T8:Z28">
    <cfRule type="cellIs" dxfId="0" priority="18" operator="equal">
      <formula>0</formula>
    </cfRule>
  </conditionalFormatting>
  <pageMargins left="0.23622047244094491" right="0.23622047244094491" top="0.74803149606299213" bottom="0.74803149606299213" header="0.31496062992125984" footer="0.31496062992125984"/>
  <pageSetup paperSize="9" scale="122" fitToWidth="0" orientation="landscape" r:id="rId1"/>
  <extLst>
    <ext xmlns:x14="http://schemas.microsoft.com/office/spreadsheetml/2009/9/main" uri="{CCE6A557-97BC-4b89-ADB6-D9C93CAAB3DF}">
      <x14:dataValidations xmlns:xm="http://schemas.microsoft.com/office/excel/2006/main" count="2">
        <x14:dataValidation type="list" allowBlank="1" showInputMessage="1" showErrorMessage="1" xr:uid="{1E964040-C6B6-477F-86E7-72119BC0E7FF}">
          <x14:formula1>
            <xm:f>Meta!$AD$3:$AD$10</xm:f>
          </x14:formula1>
          <xm:sqref>I6:I27 O2:O27 L6:L27</xm:sqref>
        </x14:dataValidation>
        <x14:dataValidation type="list" allowBlank="1" showInputMessage="1" showErrorMessage="1" xr:uid="{079DF0C2-183C-4189-BAA4-4D3C6FE7405A}">
          <x14:formula1>
            <xm:f>Meta!$AC$3:$AC$22</xm:f>
          </x14:formula1>
          <xm:sqref>G6:G27 M2:M27 J6:J27</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Planilhas</vt:lpstr>
      </vt:variant>
      <vt:variant>
        <vt:i4>4</vt:i4>
      </vt:variant>
      <vt:variant>
        <vt:lpstr>Intervalos Nomeados</vt:lpstr>
      </vt:variant>
      <vt:variant>
        <vt:i4>2</vt:i4>
      </vt:variant>
    </vt:vector>
  </HeadingPairs>
  <TitlesOfParts>
    <vt:vector size="6" baseType="lpstr">
      <vt:lpstr>Meta</vt:lpstr>
      <vt:lpstr>Emolumentos</vt:lpstr>
      <vt:lpstr>Notas</vt:lpstr>
      <vt:lpstr>Despesas</vt:lpstr>
      <vt:lpstr>Despesas!Area_de_impressao</vt:lpstr>
      <vt:lpstr>Notas!Area_de_impressao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PROTESTO</dc:creator>
  <cp:lastModifiedBy>Luís Fernando</cp:lastModifiedBy>
  <cp:lastPrinted>2024-03-01T19:05:32Z</cp:lastPrinted>
  <dcterms:created xsi:type="dcterms:W3CDTF">2015-06-05T18:19:34Z</dcterms:created>
  <dcterms:modified xsi:type="dcterms:W3CDTF">2024-06-27T17:47:59Z</dcterms:modified>
</cp:coreProperties>
</file>