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nard\Dropbox\Public\Archive File\"/>
    </mc:Choice>
  </mc:AlternateContent>
  <xr:revisionPtr revIDLastSave="0" documentId="11_874775C5E2EE4A851B7C8A99906E8362C31BF26E" xr6:coauthVersionLast="36" xr6:coauthVersionMax="36" xr10:uidLastSave="{00000000-0000-0000-0000-000000000000}"/>
  <bookViews>
    <workbookView xWindow="0" yWindow="90" windowWidth="1980" windowHeight="5310" tabRatio="906" firstSheet="28" activeTab="28" xr2:uid="{00000000-000D-0000-FFFF-FFFF00000000}"/>
  </bookViews>
  <sheets>
    <sheet name="MAIN" sheetId="20" r:id="rId1"/>
    <sheet name="Log" sheetId="30" r:id="rId2"/>
    <sheet name="PS1" sheetId="7" r:id="rId3"/>
    <sheet name="PS2" sheetId="1" r:id="rId4"/>
    <sheet name="PS3" sheetId="2" r:id="rId5"/>
    <sheet name="PS4" sheetId="25" r:id="rId6"/>
    <sheet name="PS Vita" sheetId="22" r:id="rId7"/>
    <sheet name="GB" sheetId="21" r:id="rId8"/>
    <sheet name="GBA" sheetId="4" r:id="rId9"/>
    <sheet name="GBC" sheetId="13" r:id="rId10"/>
    <sheet name="N64" sheetId="29" r:id="rId11"/>
    <sheet name="WiiU" sheetId="31" r:id="rId12"/>
    <sheet name="WII" sheetId="28" r:id="rId13"/>
    <sheet name="GC" sheetId="9" r:id="rId14"/>
    <sheet name="3DS" sheetId="24" r:id="rId15"/>
    <sheet name="NDS" sheetId="3" r:id="rId16"/>
    <sheet name="NES" sheetId="18" r:id="rId17"/>
    <sheet name="SNES" sheetId="15" r:id="rId18"/>
    <sheet name="CD" sheetId="5" r:id="rId19"/>
    <sheet name="DVD" sheetId="6" r:id="rId20"/>
    <sheet name="BluRay" sheetId="10" r:id="rId21"/>
    <sheet name="PC" sheetId="12" r:id="rId22"/>
    <sheet name="Guides" sheetId="14" r:id="rId23"/>
    <sheet name="PSN" sheetId="16" r:id="rId24"/>
    <sheet name="Sold" sheetId="11" r:id="rId25"/>
    <sheet name="Wishlist" sheetId="19" r:id="rId26"/>
    <sheet name="Sell for Others" sheetId="17" r:id="rId27"/>
    <sheet name="Other" sheetId="23" r:id="rId28"/>
    <sheet name="Consoles" sheetId="27" r:id="rId29"/>
    <sheet name="Doubles" sheetId="26" r:id="rId30"/>
  </sheets>
  <definedNames>
    <definedName name="lastyear">MAIN!$P$9</definedName>
    <definedName name="todaydate">MAIN!$P$8</definedName>
  </definedNames>
  <calcPr calcId="179020" calcCompleted="0"/>
</workbook>
</file>

<file path=xl/calcChain.xml><?xml version="1.0" encoding="utf-8"?>
<calcChain xmlns="http://schemas.openxmlformats.org/spreadsheetml/2006/main">
  <c r="J133" i="1" l="1"/>
  <c r="H2" i="31"/>
  <c r="A28" i="31"/>
  <c r="A6" i="31"/>
  <c r="A30" i="31"/>
  <c r="A22" i="31"/>
  <c r="A20" i="31"/>
  <c r="A24" i="31"/>
  <c r="A16" i="31"/>
  <c r="A14" i="31"/>
  <c r="A18" i="31"/>
  <c r="A26" i="31"/>
  <c r="A12" i="31"/>
  <c r="A10" i="31"/>
  <c r="A8" i="31"/>
  <c r="H158" i="1"/>
  <c r="J158" i="1"/>
  <c r="H151" i="1"/>
  <c r="J151" i="1"/>
  <c r="H9" i="24"/>
  <c r="H157" i="1"/>
  <c r="J157" i="1"/>
  <c r="H153" i="1"/>
  <c r="J153" i="1"/>
  <c r="H155" i="1"/>
  <c r="J155" i="1"/>
  <c r="H17" i="24"/>
  <c r="H10" i="3"/>
  <c r="H27" i="3"/>
  <c r="H11" i="7"/>
  <c r="I123" i="2"/>
  <c r="I43" i="2"/>
  <c r="I129" i="2"/>
  <c r="I128" i="2"/>
  <c r="I127" i="2"/>
  <c r="H139" i="1"/>
  <c r="J139" i="1"/>
  <c r="H152" i="1"/>
  <c r="J152" i="1"/>
  <c r="H150" i="1"/>
  <c r="J150" i="1"/>
  <c r="H160" i="1"/>
  <c r="J160" i="1"/>
  <c r="H140" i="1"/>
  <c r="J140" i="1"/>
  <c r="H156" i="1"/>
  <c r="J156" i="1"/>
  <c r="I13" i="2"/>
  <c r="I4" i="2"/>
  <c r="H159" i="1"/>
  <c r="J159" i="1"/>
  <c r="H154" i="1"/>
  <c r="J154" i="1"/>
  <c r="H124" i="1"/>
  <c r="I139" i="2"/>
  <c r="H15" i="4"/>
  <c r="H19" i="4"/>
  <c r="H9" i="4"/>
  <c r="H8" i="4"/>
  <c r="H3" i="4"/>
  <c r="H4" i="4"/>
  <c r="H2" i="4"/>
  <c r="H26" i="22"/>
  <c r="H25" i="22"/>
  <c r="H10" i="25"/>
  <c r="H9" i="25"/>
  <c r="H8" i="25"/>
  <c r="H7" i="25"/>
  <c r="H5" i="25"/>
  <c r="H21" i="3"/>
  <c r="H5" i="24"/>
  <c r="H4" i="24"/>
  <c r="I108" i="2"/>
  <c r="J113" i="1"/>
  <c r="H113" i="1"/>
  <c r="H111" i="1"/>
  <c r="J111" i="1"/>
  <c r="H110" i="1"/>
  <c r="J110" i="1"/>
  <c r="H108" i="1"/>
  <c r="J108" i="1"/>
  <c r="H107" i="1"/>
  <c r="J107" i="1"/>
  <c r="J99" i="1"/>
  <c r="J105" i="1"/>
  <c r="H105" i="1"/>
  <c r="J104" i="1"/>
  <c r="H104" i="1"/>
  <c r="J103" i="1"/>
  <c r="H103" i="1"/>
  <c r="H147" i="1"/>
  <c r="H23" i="3"/>
  <c r="H15" i="3"/>
  <c r="H13" i="3"/>
  <c r="H6" i="3"/>
  <c r="H5" i="3"/>
  <c r="H4" i="3"/>
  <c r="H3" i="3"/>
  <c r="H99" i="1"/>
  <c r="H98" i="1"/>
  <c r="J98" i="1"/>
  <c r="H97" i="1"/>
  <c r="J97" i="1"/>
  <c r="H96" i="1"/>
  <c r="H33" i="1"/>
  <c r="J33" i="1"/>
  <c r="H95" i="1"/>
  <c r="J95" i="1"/>
  <c r="H94" i="1"/>
  <c r="J94" i="1"/>
  <c r="H102" i="1"/>
  <c r="J102" i="1"/>
  <c r="H14" i="7"/>
  <c r="H12" i="7"/>
  <c r="H3" i="7"/>
  <c r="I147" i="2"/>
  <c r="I5" i="2"/>
  <c r="I99" i="2"/>
  <c r="I54" i="2"/>
  <c r="I154" i="2"/>
  <c r="I101" i="2"/>
  <c r="I40" i="2"/>
  <c r="I38" i="2"/>
  <c r="I133" i="2"/>
  <c r="I20" i="2"/>
  <c r="I7" i="2"/>
  <c r="I6" i="2"/>
  <c r="A50" i="7"/>
  <c r="H18" i="24"/>
  <c r="H16" i="24"/>
  <c r="H15" i="24"/>
  <c r="I165" i="2"/>
  <c r="I106" i="2"/>
  <c r="I66" i="2"/>
  <c r="I71" i="2"/>
  <c r="I33" i="2"/>
  <c r="I68" i="2"/>
  <c r="I8" i="2"/>
  <c r="I59" i="2"/>
  <c r="I70" i="2"/>
  <c r="I146" i="2"/>
  <c r="A181" i="2"/>
  <c r="H6" i="25"/>
  <c r="A12" i="25"/>
  <c r="H11" i="22"/>
  <c r="H28" i="7"/>
  <c r="H19" i="7"/>
  <c r="H21" i="7"/>
  <c r="H16" i="7"/>
  <c r="H6" i="7"/>
  <c r="H4" i="7"/>
  <c r="H8" i="7"/>
  <c r="H93" i="1"/>
  <c r="J93" i="1"/>
  <c r="A166" i="1"/>
  <c r="H92" i="1"/>
  <c r="J92" i="1"/>
  <c r="H14" i="3"/>
  <c r="H35" i="7"/>
  <c r="I135" i="2"/>
  <c r="H18" i="7"/>
  <c r="H9" i="7"/>
  <c r="H7" i="7"/>
  <c r="H10" i="7"/>
  <c r="H13" i="7"/>
  <c r="H17" i="7"/>
  <c r="H30" i="7"/>
  <c r="H31" i="7"/>
  <c r="H32" i="7"/>
  <c r="H33" i="7"/>
  <c r="H34" i="7"/>
  <c r="H5" i="29"/>
  <c r="H4" i="29"/>
  <c r="I49" i="2"/>
  <c r="I31" i="2"/>
  <c r="I29" i="2"/>
  <c r="I2" i="2"/>
  <c r="I160" i="2"/>
  <c r="I161" i="2"/>
  <c r="I162" i="2"/>
  <c r="I163" i="2"/>
  <c r="I60" i="2"/>
  <c r="H12" i="24"/>
  <c r="H17" i="22"/>
  <c r="H7" i="3"/>
  <c r="H9" i="3"/>
  <c r="I41" i="15"/>
  <c r="H5" i="22"/>
  <c r="H24" i="22"/>
  <c r="H21" i="22"/>
  <c r="H20" i="22"/>
  <c r="H29" i="3"/>
  <c r="H28" i="3"/>
  <c r="A28" i="22"/>
  <c r="P8" i="20"/>
  <c r="P9" i="20"/>
  <c r="I98" i="2"/>
  <c r="I84" i="2"/>
  <c r="I25" i="2"/>
  <c r="H3" i="24"/>
  <c r="H6" i="24"/>
  <c r="H8" i="24"/>
  <c r="H10" i="24"/>
  <c r="H13" i="24"/>
  <c r="Q7" i="20"/>
  <c r="N11" i="20"/>
  <c r="H3" i="29"/>
  <c r="H2" i="29"/>
  <c r="A9" i="29"/>
  <c r="F11" i="20"/>
  <c r="A25" i="29"/>
  <c r="A23" i="29"/>
  <c r="A19" i="29"/>
  <c r="A17" i="29"/>
  <c r="A15" i="29"/>
  <c r="A13" i="29"/>
  <c r="A11" i="29"/>
  <c r="G11" i="20"/>
  <c r="H6" i="29"/>
  <c r="H14" i="24"/>
  <c r="H11" i="4"/>
  <c r="A31" i="29"/>
  <c r="A21" i="29"/>
  <c r="A29" i="29"/>
  <c r="L11" i="20"/>
  <c r="A27" i="29"/>
  <c r="H20" i="3"/>
  <c r="H19" i="3"/>
  <c r="H12" i="3"/>
  <c r="H17" i="3"/>
  <c r="A33" i="29"/>
  <c r="J11" i="20"/>
  <c r="K11" i="20"/>
  <c r="H11" i="20"/>
  <c r="I11" i="20"/>
  <c r="N16" i="20"/>
  <c r="H2" i="28"/>
  <c r="A28" i="28"/>
  <c r="A6" i="28"/>
  <c r="A30" i="28"/>
  <c r="J16" i="20"/>
  <c r="H16" i="20"/>
  <c r="H2" i="9"/>
  <c r="H3" i="9"/>
  <c r="H4" i="9"/>
  <c r="H5" i="9"/>
  <c r="A14" i="9"/>
  <c r="H14" i="20"/>
  <c r="A22" i="28"/>
  <c r="A20" i="28"/>
  <c r="A16" i="28"/>
  <c r="A14" i="28"/>
  <c r="A12" i="28"/>
  <c r="A10" i="28"/>
  <c r="A8" i="28"/>
  <c r="G16" i="20"/>
  <c r="F16" i="20"/>
  <c r="N10" i="20"/>
  <c r="N8" i="20"/>
  <c r="N17" i="20"/>
  <c r="N15" i="20"/>
  <c r="N14" i="20"/>
  <c r="N12" i="20"/>
  <c r="N13" i="20"/>
  <c r="N9" i="20"/>
  <c r="N6" i="20"/>
  <c r="N7" i="20"/>
  <c r="N5" i="20"/>
  <c r="N4" i="20"/>
  <c r="N3" i="20"/>
  <c r="H7" i="24"/>
  <c r="H11" i="24"/>
  <c r="H2" i="24"/>
  <c r="H25" i="3"/>
  <c r="H24" i="3"/>
  <c r="H22" i="3"/>
  <c r="H18" i="3"/>
  <c r="H16" i="3"/>
  <c r="H11" i="3"/>
  <c r="H8" i="3"/>
  <c r="H2" i="21"/>
  <c r="H3" i="21"/>
  <c r="H4" i="21"/>
  <c r="H5" i="21"/>
  <c r="H6" i="21"/>
  <c r="A35" i="21"/>
  <c r="H2" i="13"/>
  <c r="H3" i="13"/>
  <c r="H4" i="13"/>
  <c r="H5" i="13"/>
  <c r="A29" i="13"/>
  <c r="H18" i="4"/>
  <c r="H17" i="4"/>
  <c r="H16" i="4"/>
  <c r="H14" i="4"/>
  <c r="H13" i="4"/>
  <c r="H12" i="4"/>
  <c r="H10" i="4"/>
  <c r="H7" i="4"/>
  <c r="H6" i="4"/>
  <c r="H5" i="4"/>
  <c r="N18" i="20"/>
  <c r="K16" i="20"/>
  <c r="I16" i="20"/>
  <c r="A24" i="28"/>
  <c r="A18" i="28"/>
  <c r="A26" i="28"/>
  <c r="A26" i="24"/>
  <c r="A39" i="3"/>
  <c r="A42" i="4"/>
  <c r="I6" i="15"/>
  <c r="I21" i="2"/>
  <c r="I28" i="2"/>
  <c r="I97" i="2"/>
  <c r="I14" i="2"/>
  <c r="I142" i="2"/>
  <c r="I81" i="2"/>
  <c r="I3" i="2"/>
  <c r="I140" i="2"/>
  <c r="I44" i="2"/>
  <c r="I51" i="2"/>
  <c r="I50" i="2"/>
  <c r="I69" i="2"/>
  <c r="I105" i="2"/>
  <c r="I94" i="2"/>
  <c r="I10" i="2"/>
  <c r="I77" i="2"/>
  <c r="I37" i="2"/>
  <c r="I36" i="2"/>
  <c r="I145" i="2"/>
  <c r="I144" i="2"/>
  <c r="I80" i="2"/>
  <c r="I58" i="2"/>
  <c r="I143" i="2"/>
  <c r="I116" i="2"/>
  <c r="I152" i="2"/>
  <c r="I151" i="2"/>
  <c r="I137" i="2"/>
  <c r="I57" i="2"/>
  <c r="I90" i="2"/>
  <c r="I42" i="2"/>
  <c r="I9" i="2"/>
  <c r="I74" i="2"/>
  <c r="I153" i="2"/>
  <c r="I104" i="2"/>
  <c r="I103" i="2"/>
  <c r="I138" i="2"/>
  <c r="I121" i="2"/>
  <c r="I150" i="2"/>
  <c r="I149" i="2"/>
  <c r="I110" i="2"/>
  <c r="I89" i="2"/>
  <c r="I107" i="2"/>
  <c r="I164" i="2"/>
  <c r="I11" i="2"/>
  <c r="I62" i="2"/>
  <c r="I136" i="2"/>
  <c r="I72" i="2"/>
  <c r="I53" i="2"/>
  <c r="I117" i="2"/>
  <c r="I47" i="2"/>
  <c r="I83" i="2"/>
  <c r="I27" i="2"/>
  <c r="I56" i="2"/>
  <c r="I87" i="2"/>
  <c r="I41" i="2"/>
  <c r="I91" i="2"/>
  <c r="I126" i="2"/>
  <c r="I15" i="2"/>
  <c r="I32" i="2"/>
  <c r="I35" i="2"/>
  <c r="I82" i="2"/>
  <c r="I73" i="2"/>
  <c r="I46" i="2"/>
  <c r="I118" i="2"/>
  <c r="I39" i="2"/>
  <c r="I156" i="2"/>
  <c r="I45" i="2"/>
  <c r="I155" i="2"/>
  <c r="I120" i="2"/>
  <c r="I122" i="2"/>
  <c r="I12" i="2"/>
  <c r="I130" i="2"/>
  <c r="I30" i="2"/>
  <c r="I86" i="2"/>
  <c r="I24" i="2"/>
  <c r="I88" i="2"/>
  <c r="I19" i="2"/>
  <c r="I55" i="2"/>
  <c r="I61" i="2"/>
  <c r="I22" i="2"/>
  <c r="I17" i="2"/>
  <c r="I141" i="2"/>
  <c r="I26" i="2"/>
  <c r="I93" i="2"/>
  <c r="I79" i="2"/>
  <c r="I119" i="2"/>
  <c r="I16" i="2"/>
  <c r="I102" i="2"/>
  <c r="I52" i="2"/>
  <c r="I34" i="2"/>
  <c r="I85" i="2"/>
  <c r="I18" i="2"/>
  <c r="I132" i="2"/>
  <c r="I125" i="2"/>
  <c r="I67" i="2"/>
  <c r="I48" i="2"/>
  <c r="I23" i="2"/>
  <c r="I148" i="2"/>
  <c r="I124" i="2"/>
  <c r="I109" i="2"/>
  <c r="I131" i="2"/>
  <c r="I111" i="2"/>
  <c r="I113" i="2"/>
  <c r="I76" i="2"/>
  <c r="I96" i="2"/>
  <c r="I65" i="2"/>
  <c r="I78" i="2"/>
  <c r="I75" i="2"/>
  <c r="I158" i="2"/>
  <c r="I159" i="2"/>
  <c r="I64" i="2"/>
  <c r="I112" i="2"/>
  <c r="I95" i="2"/>
  <c r="I134" i="2"/>
  <c r="I100" i="2"/>
  <c r="I115" i="2"/>
  <c r="I63" i="2"/>
  <c r="I157" i="2"/>
  <c r="A173" i="2"/>
  <c r="A17" i="21"/>
  <c r="A37" i="21"/>
  <c r="J9" i="20"/>
  <c r="A26" i="18"/>
  <c r="A48" i="18"/>
  <c r="A50" i="18"/>
  <c r="J8" i="20"/>
  <c r="F7" i="18"/>
  <c r="F6" i="18"/>
  <c r="F5" i="18"/>
  <c r="F2" i="18"/>
  <c r="I46" i="15"/>
  <c r="I25" i="15"/>
  <c r="I17" i="15"/>
  <c r="I16" i="15"/>
  <c r="I15" i="15"/>
  <c r="I10" i="15"/>
  <c r="I9" i="15"/>
  <c r="I5" i="15"/>
  <c r="I37" i="15"/>
  <c r="I8" i="15"/>
  <c r="I3" i="15"/>
  <c r="I19" i="15"/>
  <c r="I34" i="15"/>
  <c r="I43" i="15"/>
  <c r="I39" i="15"/>
  <c r="I24" i="15"/>
  <c r="I29" i="15"/>
  <c r="H73" i="1"/>
  <c r="J73" i="1"/>
  <c r="I32" i="15"/>
  <c r="I42" i="15"/>
  <c r="A59" i="15"/>
  <c r="I47" i="15"/>
  <c r="I45" i="15"/>
  <c r="I44" i="15"/>
  <c r="I40" i="15"/>
  <c r="I38" i="15"/>
  <c r="I36" i="15"/>
  <c r="I35" i="15"/>
  <c r="I33" i="15"/>
  <c r="I31" i="15"/>
  <c r="I30" i="15"/>
  <c r="I28" i="15"/>
  <c r="I27" i="15"/>
  <c r="I26" i="15"/>
  <c r="I23" i="15"/>
  <c r="I22" i="15"/>
  <c r="I21" i="15"/>
  <c r="I20" i="15"/>
  <c r="I18" i="15"/>
  <c r="I14" i="15"/>
  <c r="I13" i="15"/>
  <c r="I12" i="15"/>
  <c r="I11" i="15"/>
  <c r="I7" i="15"/>
  <c r="I4" i="15"/>
  <c r="I2" i="15"/>
  <c r="H46" i="7"/>
  <c r="H45" i="7"/>
  <c r="H44" i="7"/>
  <c r="H43" i="7"/>
  <c r="H42" i="7"/>
  <c r="H39" i="7"/>
  <c r="H38" i="7"/>
  <c r="H37" i="7"/>
  <c r="H29" i="7"/>
  <c r="H27" i="7"/>
  <c r="H26" i="7"/>
  <c r="H25" i="7"/>
  <c r="H24" i="7"/>
  <c r="H23" i="7"/>
  <c r="H22" i="7"/>
  <c r="H20" i="7"/>
  <c r="H5" i="7"/>
  <c r="H3" i="25"/>
  <c r="H4" i="25"/>
  <c r="H2" i="25"/>
  <c r="H23" i="22"/>
  <c r="H22" i="22"/>
  <c r="H18" i="22"/>
  <c r="H16" i="22"/>
  <c r="H15" i="22"/>
  <c r="H14" i="22"/>
  <c r="H13" i="22"/>
  <c r="H12" i="22"/>
  <c r="H10" i="22"/>
  <c r="H9" i="22"/>
  <c r="H8" i="22"/>
  <c r="H7" i="22"/>
  <c r="H6" i="22"/>
  <c r="H4" i="22"/>
  <c r="H3" i="22"/>
  <c r="H2" i="22"/>
  <c r="A34" i="22"/>
  <c r="H67" i="1"/>
  <c r="H59" i="1"/>
  <c r="H57" i="1"/>
  <c r="H68" i="1"/>
  <c r="H72" i="1"/>
  <c r="H62" i="1"/>
  <c r="H71" i="1"/>
  <c r="J71" i="1"/>
  <c r="J68" i="1"/>
  <c r="J72" i="1"/>
  <c r="A52" i="7"/>
  <c r="H56" i="1"/>
  <c r="J56" i="1"/>
  <c r="H53" i="1"/>
  <c r="J53" i="1"/>
  <c r="J59" i="1"/>
  <c r="H55" i="1"/>
  <c r="J55" i="1"/>
  <c r="J62" i="1"/>
  <c r="H63" i="1"/>
  <c r="J63" i="1"/>
  <c r="J57" i="1"/>
  <c r="H65" i="1"/>
  <c r="J65" i="1"/>
  <c r="J67" i="1"/>
  <c r="H76" i="1"/>
  <c r="H75" i="1"/>
  <c r="H133" i="1"/>
  <c r="H112" i="1"/>
  <c r="H50" i="1"/>
  <c r="H74" i="1"/>
  <c r="H137" i="1"/>
  <c r="H130" i="1"/>
  <c r="H2" i="1"/>
  <c r="H109" i="1"/>
  <c r="H135" i="1"/>
  <c r="H49" i="1"/>
  <c r="H136" i="1"/>
  <c r="H66" i="1"/>
  <c r="H129" i="1"/>
  <c r="H128" i="1"/>
  <c r="H106" i="1"/>
  <c r="H134" i="1"/>
  <c r="H127" i="1"/>
  <c r="H126" i="1"/>
  <c r="H9" i="1"/>
  <c r="H90" i="1"/>
  <c r="H89" i="1"/>
  <c r="H48" i="1"/>
  <c r="H149" i="1"/>
  <c r="H125" i="1"/>
  <c r="H138" i="1"/>
  <c r="H44" i="1"/>
  <c r="H148" i="1"/>
  <c r="H123" i="1"/>
  <c r="H121" i="1"/>
  <c r="H120" i="1"/>
  <c r="H122" i="1"/>
  <c r="H52" i="1"/>
  <c r="H8" i="1"/>
  <c r="H119" i="1"/>
  <c r="H118" i="1"/>
  <c r="H88" i="1"/>
  <c r="H43" i="1"/>
  <c r="H87" i="1"/>
  <c r="H85" i="1"/>
  <c r="H84" i="1"/>
  <c r="H83" i="1"/>
  <c r="H146" i="1"/>
  <c r="H82" i="1"/>
  <c r="H81" i="1"/>
  <c r="H80" i="1"/>
  <c r="H145" i="1"/>
  <c r="H16" i="1"/>
  <c r="H64" i="1"/>
  <c r="H7" i="1"/>
  <c r="H28" i="1"/>
  <c r="H15" i="1"/>
  <c r="H47" i="1"/>
  <c r="H42" i="1"/>
  <c r="H46" i="1"/>
  <c r="H45" i="1"/>
  <c r="H117" i="1"/>
  <c r="H41" i="1"/>
  <c r="H40" i="1"/>
  <c r="H6" i="1"/>
  <c r="H39" i="1"/>
  <c r="H61" i="1"/>
  <c r="H38" i="1"/>
  <c r="H144" i="1"/>
  <c r="H37" i="1"/>
  <c r="H36" i="1"/>
  <c r="H91" i="1"/>
  <c r="H35" i="1"/>
  <c r="H34" i="1"/>
  <c r="H32" i="1"/>
  <c r="H60" i="1"/>
  <c r="H31" i="1"/>
  <c r="H143" i="1"/>
  <c r="H30" i="1"/>
  <c r="H27" i="1"/>
  <c r="H26" i="1"/>
  <c r="H142" i="1"/>
  <c r="H25" i="1"/>
  <c r="H58" i="1"/>
  <c r="H24" i="1"/>
  <c r="H23" i="1"/>
  <c r="H22" i="1"/>
  <c r="H21" i="1"/>
  <c r="H54" i="1"/>
  <c r="H20" i="1"/>
  <c r="H19" i="1"/>
  <c r="H14" i="1"/>
  <c r="H116" i="1"/>
  <c r="H115" i="1"/>
  <c r="H13" i="1"/>
  <c r="H141" i="1"/>
  <c r="H29" i="1"/>
  <c r="H12" i="1"/>
  <c r="H114" i="1"/>
  <c r="H5" i="1"/>
  <c r="H51" i="1"/>
  <c r="H86" i="1"/>
  <c r="H4" i="1"/>
  <c r="H18" i="1"/>
  <c r="H17" i="1"/>
  <c r="H11" i="1"/>
  <c r="H10" i="1"/>
  <c r="H3" i="1"/>
  <c r="H132" i="1"/>
  <c r="H131" i="1"/>
  <c r="H79" i="1"/>
  <c r="H78" i="1"/>
  <c r="H77" i="1"/>
  <c r="H101" i="1"/>
  <c r="H100" i="1"/>
  <c r="H70" i="1"/>
  <c r="H69" i="1"/>
  <c r="J69" i="1"/>
  <c r="J61" i="1"/>
  <c r="J58" i="1"/>
  <c r="J70" i="1"/>
  <c r="J60" i="1"/>
  <c r="A178" i="1"/>
  <c r="J76" i="1"/>
  <c r="J75" i="1"/>
  <c r="J112" i="1"/>
  <c r="J50" i="1"/>
  <c r="J74" i="1"/>
  <c r="J137" i="1"/>
  <c r="J130" i="1"/>
  <c r="J2" i="1"/>
  <c r="J109" i="1"/>
  <c r="J135" i="1"/>
  <c r="J49" i="1"/>
  <c r="J136" i="1"/>
  <c r="J66" i="1"/>
  <c r="J129" i="1"/>
  <c r="J128" i="1"/>
  <c r="J106" i="1"/>
  <c r="J134" i="1"/>
  <c r="J127" i="1"/>
  <c r="J126" i="1"/>
  <c r="J9" i="1"/>
  <c r="J90" i="1"/>
  <c r="J89" i="1"/>
  <c r="J48" i="1"/>
  <c r="J149" i="1"/>
  <c r="J125" i="1"/>
  <c r="J138" i="1"/>
  <c r="J124" i="1"/>
  <c r="J44" i="1"/>
  <c r="J148" i="1"/>
  <c r="J123" i="1"/>
  <c r="J121" i="1"/>
  <c r="J120" i="1"/>
  <c r="J122" i="1"/>
  <c r="J52" i="1"/>
  <c r="J8" i="1"/>
  <c r="J119" i="1"/>
  <c r="J118" i="1"/>
  <c r="J88" i="1"/>
  <c r="J43" i="1"/>
  <c r="J87" i="1"/>
  <c r="J85" i="1"/>
  <c r="J84" i="1"/>
  <c r="J83" i="1"/>
  <c r="J146" i="1"/>
  <c r="J82" i="1"/>
  <c r="J81" i="1"/>
  <c r="J80" i="1"/>
  <c r="J145" i="1"/>
  <c r="J16" i="1"/>
  <c r="J64" i="1"/>
  <c r="J7" i="1"/>
  <c r="J28" i="1"/>
  <c r="J15" i="1"/>
  <c r="J47" i="1"/>
  <c r="J42" i="1"/>
  <c r="J46" i="1"/>
  <c r="J45" i="1"/>
  <c r="J117" i="1"/>
  <c r="J41" i="1"/>
  <c r="J40" i="1"/>
  <c r="J6" i="1"/>
  <c r="J39" i="1"/>
  <c r="J38" i="1"/>
  <c r="J144" i="1"/>
  <c r="J37" i="1"/>
  <c r="J36" i="1"/>
  <c r="J91" i="1"/>
  <c r="J35" i="1"/>
  <c r="J34" i="1"/>
  <c r="J32" i="1"/>
  <c r="J31" i="1"/>
  <c r="J143" i="1"/>
  <c r="J30" i="1"/>
  <c r="J27" i="1"/>
  <c r="J26" i="1"/>
  <c r="J142" i="1"/>
  <c r="J25" i="1"/>
  <c r="J24" i="1"/>
  <c r="J23" i="1"/>
  <c r="J22" i="1"/>
  <c r="J21" i="1"/>
  <c r="J54" i="1"/>
  <c r="J20" i="1"/>
  <c r="J19" i="1"/>
  <c r="J14" i="1"/>
  <c r="J116" i="1"/>
  <c r="J115" i="1"/>
  <c r="J13" i="1"/>
  <c r="J141" i="1"/>
  <c r="J29" i="1"/>
  <c r="J12" i="1"/>
  <c r="J114" i="1"/>
  <c r="J5" i="1"/>
  <c r="J51" i="1"/>
  <c r="J86" i="1"/>
  <c r="J4" i="1"/>
  <c r="J18" i="1"/>
  <c r="J17" i="1"/>
  <c r="J11" i="1"/>
  <c r="J10" i="1"/>
  <c r="J3" i="1"/>
  <c r="J132" i="1"/>
  <c r="J131" i="1"/>
  <c r="J79" i="1"/>
  <c r="J78" i="1"/>
  <c r="J77" i="1"/>
  <c r="J100" i="1"/>
  <c r="J101" i="1"/>
  <c r="A172" i="1"/>
  <c r="F4" i="18"/>
  <c r="F3" i="18"/>
  <c r="H4" i="20"/>
  <c r="A32" i="18"/>
  <c r="A170" i="1"/>
  <c r="F7" i="20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A38" i="25"/>
  <c r="A30" i="25"/>
  <c r="A28" i="25"/>
  <c r="A24" i="25"/>
  <c r="A22" i="25"/>
  <c r="A18" i="25"/>
  <c r="A16" i="25"/>
  <c r="A14" i="25"/>
  <c r="G7" i="20"/>
  <c r="H7" i="20"/>
  <c r="I7" i="20"/>
  <c r="A20" i="25"/>
  <c r="J7" i="20"/>
  <c r="K7" i="20"/>
  <c r="A32" i="25"/>
  <c r="A26" i="25"/>
  <c r="A34" i="25"/>
  <c r="A36" i="25"/>
  <c r="A184" i="1"/>
  <c r="A20" i="24"/>
  <c r="F17" i="20"/>
  <c r="A42" i="24"/>
  <c r="A36" i="24"/>
  <c r="A34" i="24"/>
  <c r="A30" i="24"/>
  <c r="A28" i="24"/>
  <c r="H17" i="20"/>
  <c r="A24" i="24"/>
  <c r="A22" i="24"/>
  <c r="G17" i="20"/>
  <c r="G10" i="20"/>
  <c r="A76" i="6"/>
  <c r="H22" i="20"/>
  <c r="H8" i="20"/>
  <c r="A57" i="3"/>
  <c r="A44" i="24"/>
  <c r="J17" i="20"/>
  <c r="K17" i="20"/>
  <c r="I17" i="20"/>
  <c r="H15" i="20"/>
  <c r="H12" i="20"/>
  <c r="A11" i="13"/>
  <c r="A31" i="13"/>
  <c r="J12" i="20"/>
  <c r="A32" i="24"/>
  <c r="A40" i="24"/>
  <c r="A38" i="24"/>
  <c r="A18" i="9"/>
  <c r="A8" i="9"/>
  <c r="F6" i="20"/>
  <c r="A36" i="22"/>
  <c r="J6" i="20"/>
  <c r="B221" i="2"/>
  <c r="B224" i="2"/>
  <c r="B219" i="2"/>
  <c r="B220" i="2"/>
  <c r="B84" i="22"/>
  <c r="A167" i="2"/>
  <c r="B85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A54" i="22"/>
  <c r="A46" i="22"/>
  <c r="A44" i="22"/>
  <c r="A40" i="22"/>
  <c r="A38" i="22"/>
  <c r="H6" i="20"/>
  <c r="A32" i="22"/>
  <c r="A30" i="22"/>
  <c r="G6" i="20"/>
  <c r="K6" i="20"/>
  <c r="B214" i="2"/>
  <c r="B207" i="2"/>
  <c r="B227" i="2"/>
  <c r="B226" i="2"/>
  <c r="B225" i="2"/>
  <c r="B218" i="2"/>
  <c r="B217" i="2"/>
  <c r="B223" i="2"/>
  <c r="B210" i="2"/>
  <c r="B212" i="2"/>
  <c r="B216" i="2"/>
  <c r="B211" i="2"/>
  <c r="B215" i="2"/>
  <c r="B205" i="2"/>
  <c r="B222" i="2"/>
  <c r="B209" i="2"/>
  <c r="B213" i="2"/>
  <c r="B206" i="2"/>
  <c r="B208" i="2"/>
  <c r="H9" i="20"/>
  <c r="A29" i="21"/>
  <c r="A27" i="21"/>
  <c r="A23" i="21"/>
  <c r="A21" i="21"/>
  <c r="A19" i="21"/>
  <c r="F9" i="20"/>
  <c r="A15" i="21"/>
  <c r="G9" i="20"/>
  <c r="K9" i="20"/>
  <c r="G74" i="11"/>
  <c r="Q303" i="1"/>
  <c r="Q304" i="1"/>
  <c r="G39" i="16"/>
  <c r="F25" i="20"/>
  <c r="F39" i="16"/>
  <c r="G25" i="20"/>
  <c r="G105" i="11"/>
  <c r="G27" i="11"/>
  <c r="G26" i="11"/>
  <c r="Q302" i="1"/>
  <c r="Q301" i="1"/>
  <c r="Q300" i="1"/>
  <c r="G63" i="11"/>
  <c r="G25" i="11"/>
  <c r="G104" i="11"/>
  <c r="G103" i="11"/>
  <c r="I6" i="20"/>
  <c r="I9" i="20"/>
  <c r="A48" i="22"/>
  <c r="A52" i="22"/>
  <c r="A42" i="22"/>
  <c r="A25" i="21"/>
  <c r="A33" i="21"/>
  <c r="A31" i="21"/>
  <c r="G117" i="11"/>
  <c r="G102" i="11"/>
  <c r="G116" i="11"/>
  <c r="G24" i="11"/>
  <c r="G124" i="11"/>
  <c r="Q285" i="1"/>
  <c r="A39" i="16"/>
  <c r="L25" i="20"/>
  <c r="Q280" i="1"/>
  <c r="G23" i="11"/>
  <c r="G22" i="11"/>
  <c r="G21" i="11"/>
  <c r="G62" i="11"/>
  <c r="G20" i="11"/>
  <c r="G73" i="11"/>
  <c r="G123" i="11"/>
  <c r="G72" i="11"/>
  <c r="G71" i="11"/>
  <c r="G70" i="11"/>
  <c r="G19" i="11"/>
  <c r="G18" i="11"/>
  <c r="G128" i="11"/>
  <c r="G122" i="11"/>
  <c r="G121" i="11"/>
  <c r="G120" i="11"/>
  <c r="G119" i="11"/>
  <c r="Q253" i="1"/>
  <c r="Q254" i="1"/>
  <c r="G61" i="11"/>
  <c r="Q281" i="1"/>
  <c r="G17" i="11"/>
  <c r="Q296" i="1"/>
  <c r="G16" i="11"/>
  <c r="G15" i="11"/>
  <c r="G127" i="11"/>
  <c r="G14" i="11"/>
  <c r="Q266" i="1"/>
  <c r="Q267" i="1"/>
  <c r="G60" i="11"/>
  <c r="Q249" i="1"/>
  <c r="A34" i="18"/>
  <c r="A42" i="18"/>
  <c r="A40" i="18"/>
  <c r="A36" i="18"/>
  <c r="A31" i="12"/>
  <c r="A29" i="12"/>
  <c r="A25" i="12"/>
  <c r="A23" i="12"/>
  <c r="A61" i="15"/>
  <c r="A75" i="15"/>
  <c r="A73" i="15"/>
  <c r="A69" i="15"/>
  <c r="A67" i="15"/>
  <c r="A50" i="15"/>
  <c r="F10" i="20"/>
  <c r="A224" i="1"/>
  <c r="G126" i="11"/>
  <c r="G59" i="11"/>
  <c r="Q245" i="1"/>
  <c r="Q242" i="1"/>
  <c r="Q298" i="1"/>
  <c r="Q277" i="1"/>
  <c r="Q290" i="1"/>
  <c r="G58" i="11"/>
  <c r="Q262" i="1"/>
  <c r="Q263" i="1"/>
  <c r="G57" i="11"/>
  <c r="G56" i="11"/>
  <c r="Q241" i="1"/>
  <c r="Q233" i="1"/>
  <c r="Q244" i="1"/>
  <c r="A24" i="18"/>
  <c r="G8" i="20"/>
  <c r="A33" i="3"/>
  <c r="A36" i="4"/>
  <c r="A34" i="4"/>
  <c r="A30" i="4"/>
  <c r="A28" i="4"/>
  <c r="A26" i="4"/>
  <c r="A13" i="13"/>
  <c r="A23" i="13"/>
  <c r="A21" i="13"/>
  <c r="A17" i="13"/>
  <c r="A15" i="13"/>
  <c r="A25" i="10"/>
  <c r="F23" i="20"/>
  <c r="A74" i="6"/>
  <c r="F22" i="20"/>
  <c r="A50" i="5"/>
  <c r="F21" i="20"/>
  <c r="A21" i="12"/>
  <c r="F26" i="20"/>
  <c r="A19" i="12"/>
  <c r="H26" i="20"/>
  <c r="Q279" i="1"/>
  <c r="G55" i="11"/>
  <c r="F8" i="20"/>
  <c r="F12" i="20"/>
  <c r="A24" i="4"/>
  <c r="F13" i="20"/>
  <c r="Q264" i="1"/>
  <c r="G13" i="11"/>
  <c r="Q258" i="1"/>
  <c r="Q282" i="1"/>
  <c r="Q283" i="1"/>
  <c r="Q238" i="1"/>
  <c r="Q247" i="1"/>
  <c r="Q252" i="1"/>
  <c r="G115" i="11"/>
  <c r="G114" i="11"/>
  <c r="G113" i="11"/>
  <c r="G112" i="11"/>
  <c r="G111" i="11"/>
  <c r="G110" i="11"/>
  <c r="G109" i="11"/>
  <c r="G108" i="11"/>
  <c r="G107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69" i="11"/>
  <c r="G68" i="11"/>
  <c r="G67" i="11"/>
  <c r="G66" i="11"/>
  <c r="G65" i="11"/>
  <c r="G54" i="11"/>
  <c r="G53" i="11"/>
  <c r="G51" i="11"/>
  <c r="G50" i="11"/>
  <c r="G49" i="11"/>
  <c r="G48" i="11"/>
  <c r="G44" i="11"/>
  <c r="G42" i="11"/>
  <c r="G43" i="11"/>
  <c r="G41" i="11"/>
  <c r="G40" i="11"/>
  <c r="G39" i="11"/>
  <c r="G38" i="11"/>
  <c r="G37" i="11"/>
  <c r="G36" i="11"/>
  <c r="G35" i="11"/>
  <c r="G34" i="11"/>
  <c r="G32" i="11"/>
  <c r="G30" i="11"/>
  <c r="G29" i="11"/>
  <c r="G12" i="11"/>
  <c r="G11" i="11"/>
  <c r="G10" i="11"/>
  <c r="G9" i="11"/>
  <c r="G8" i="11"/>
  <c r="G7" i="11"/>
  <c r="G6" i="11"/>
  <c r="G5" i="11"/>
  <c r="G4" i="11"/>
  <c r="G3" i="11"/>
  <c r="G2" i="11"/>
  <c r="Q297" i="1"/>
  <c r="Q295" i="1"/>
  <c r="Q294" i="1"/>
  <c r="Q293" i="1"/>
  <c r="Q292" i="1"/>
  <c r="Q291" i="1"/>
  <c r="Q289" i="1"/>
  <c r="Q288" i="1"/>
  <c r="Q287" i="1"/>
  <c r="Q286" i="1"/>
  <c r="Q284" i="1"/>
  <c r="Q278" i="1"/>
  <c r="Q276" i="1"/>
  <c r="Q275" i="1"/>
  <c r="Q274" i="1"/>
  <c r="Q273" i="1"/>
  <c r="Q272" i="1"/>
  <c r="Q271" i="1"/>
  <c r="Q270" i="1"/>
  <c r="Q269" i="1"/>
  <c r="Q268" i="1"/>
  <c r="Q265" i="1"/>
  <c r="Q261" i="1"/>
  <c r="Q260" i="1"/>
  <c r="Q259" i="1"/>
  <c r="Q257" i="1"/>
  <c r="Q256" i="1"/>
  <c r="Q255" i="1"/>
  <c r="Q251" i="1"/>
  <c r="Q250" i="1"/>
  <c r="Q248" i="1"/>
  <c r="Q246" i="1"/>
  <c r="Q243" i="1"/>
  <c r="Q239" i="1"/>
  <c r="Q237" i="1"/>
  <c r="Q236" i="1"/>
  <c r="Q235" i="1"/>
  <c r="Q234" i="1"/>
  <c r="Q232" i="1"/>
  <c r="Q231" i="1"/>
  <c r="A174" i="1"/>
  <c r="J4" i="20"/>
  <c r="A180" i="1"/>
  <c r="A182" i="1"/>
  <c r="A186" i="1"/>
  <c r="A190" i="1"/>
  <c r="A192" i="1"/>
  <c r="A194" i="1"/>
  <c r="A196" i="1"/>
  <c r="A204" i="1"/>
  <c r="A208" i="1"/>
  <c r="A210" i="1"/>
  <c r="E13" i="17"/>
  <c r="E12" i="17"/>
  <c r="E18" i="17"/>
  <c r="F18" i="17"/>
  <c r="M12" i="17"/>
  <c r="M13" i="17"/>
  <c r="M3" i="17"/>
  <c r="M4" i="17"/>
  <c r="G18" i="17"/>
  <c r="G17" i="17"/>
  <c r="G16" i="17"/>
  <c r="G15" i="17"/>
  <c r="G14" i="17"/>
  <c r="G13" i="17"/>
  <c r="G12" i="17"/>
  <c r="F17" i="17"/>
  <c r="F16" i="17"/>
  <c r="F15" i="17"/>
  <c r="F14" i="17"/>
  <c r="F13" i="17"/>
  <c r="F12" i="17"/>
  <c r="E17" i="17"/>
  <c r="E16" i="17"/>
  <c r="E15" i="17"/>
  <c r="E14" i="17"/>
  <c r="A80" i="7"/>
  <c r="A78" i="7"/>
  <c r="G3" i="20"/>
  <c r="A76" i="7"/>
  <c r="A70" i="7"/>
  <c r="A68" i="7"/>
  <c r="A66" i="7"/>
  <c r="A64" i="7"/>
  <c r="A60" i="7"/>
  <c r="A58" i="7"/>
  <c r="A55" i="15"/>
  <c r="A53" i="15"/>
  <c r="A30" i="18"/>
  <c r="E6" i="17"/>
  <c r="E5" i="17"/>
  <c r="E4" i="17"/>
  <c r="E3" i="17"/>
  <c r="G6" i="17"/>
  <c r="G5" i="17"/>
  <c r="G4" i="17"/>
  <c r="G3" i="17"/>
  <c r="F6" i="17"/>
  <c r="F5" i="17"/>
  <c r="F4" i="17"/>
  <c r="F3" i="17"/>
  <c r="A214" i="1"/>
  <c r="E46" i="11"/>
  <c r="E130" i="11"/>
  <c r="A212" i="1"/>
  <c r="A17" i="12"/>
  <c r="G26" i="20"/>
  <c r="A23" i="10"/>
  <c r="G23" i="20"/>
  <c r="A72" i="6"/>
  <c r="G22" i="20"/>
  <c r="A48" i="5"/>
  <c r="G21" i="20"/>
  <c r="A9" i="13"/>
  <c r="G12" i="20"/>
  <c r="A22" i="4"/>
  <c r="G13" i="20"/>
  <c r="A20" i="9"/>
  <c r="A22" i="9"/>
  <c r="F14" i="20"/>
  <c r="A177" i="2"/>
  <c r="A179" i="2"/>
  <c r="F5" i="20"/>
  <c r="A26" i="9"/>
  <c r="A28" i="9"/>
  <c r="A16" i="9"/>
  <c r="J14" i="20"/>
  <c r="A12" i="9"/>
  <c r="A10" i="9"/>
  <c r="G14" i="20"/>
  <c r="A41" i="3"/>
  <c r="A49" i="3"/>
  <c r="A51" i="3"/>
  <c r="A43" i="3"/>
  <c r="A45" i="3"/>
  <c r="A37" i="3"/>
  <c r="A35" i="3"/>
  <c r="G15" i="20"/>
  <c r="A222" i="1"/>
  <c r="A171" i="2"/>
  <c r="A185" i="2"/>
  <c r="A187" i="2"/>
  <c r="A175" i="2"/>
  <c r="A169" i="2"/>
  <c r="A193" i="2"/>
  <c r="A220" i="1"/>
  <c r="G4" i="20"/>
  <c r="J5" i="20"/>
  <c r="A195" i="2"/>
  <c r="A183" i="2"/>
  <c r="A189" i="2"/>
  <c r="H10" i="20"/>
  <c r="I10" i="20"/>
  <c r="A57" i="15"/>
  <c r="J10" i="20"/>
  <c r="K10" i="20"/>
  <c r="K4" i="20"/>
  <c r="I4" i="20"/>
  <c r="K8" i="20"/>
  <c r="I8" i="20"/>
  <c r="F15" i="20"/>
  <c r="A59" i="3"/>
  <c r="J15" i="20"/>
  <c r="K15" i="20"/>
  <c r="I15" i="20"/>
  <c r="K14" i="20"/>
  <c r="H13" i="20"/>
  <c r="I13" i="20"/>
  <c r="A44" i="4"/>
  <c r="J13" i="20"/>
  <c r="K13" i="20"/>
  <c r="K12" i="20"/>
  <c r="I12" i="20"/>
  <c r="H5" i="20"/>
  <c r="I14" i="20"/>
  <c r="A38" i="18"/>
  <c r="A46" i="18"/>
  <c r="L8" i="20"/>
  <c r="M6" i="17"/>
  <c r="J7" i="17"/>
  <c r="A50" i="22"/>
  <c r="A25" i="13"/>
  <c r="A19" i="13"/>
  <c r="A27" i="13"/>
  <c r="L12" i="20"/>
  <c r="H3" i="20"/>
  <c r="I3" i="20"/>
  <c r="J13" i="17"/>
  <c r="A44" i="18"/>
  <c r="A33" i="12"/>
  <c r="A27" i="12"/>
  <c r="A35" i="12"/>
  <c r="L26" i="20"/>
  <c r="A71" i="15"/>
  <c r="A79" i="15"/>
  <c r="L10" i="20"/>
  <c r="A77" i="15"/>
  <c r="G5" i="20"/>
  <c r="A32" i="4"/>
  <c r="A40" i="4"/>
  <c r="L13" i="20"/>
  <c r="A38" i="4"/>
  <c r="J15" i="17"/>
  <c r="M15" i="17"/>
  <c r="A226" i="1"/>
  <c r="G46" i="11"/>
  <c r="E131" i="11"/>
  <c r="A202" i="1"/>
  <c r="L4" i="20"/>
  <c r="A168" i="1"/>
  <c r="A216" i="1"/>
  <c r="A198" i="1"/>
  <c r="A200" i="1"/>
  <c r="A188" i="1"/>
  <c r="M14" i="17"/>
  <c r="A54" i="7"/>
  <c r="J3" i="20"/>
  <c r="K3" i="20"/>
  <c r="A72" i="7"/>
  <c r="A62" i="7"/>
  <c r="A74" i="7"/>
  <c r="L3" i="20"/>
  <c r="J5" i="17"/>
  <c r="A30" i="9"/>
  <c r="M5" i="17"/>
  <c r="A53" i="3"/>
  <c r="A47" i="3"/>
  <c r="A55" i="3"/>
  <c r="L15" i="20"/>
  <c r="A24" i="9"/>
  <c r="A32" i="9"/>
  <c r="L14" i="20"/>
  <c r="A218" i="1"/>
  <c r="K5" i="20"/>
  <c r="A191" i="2"/>
  <c r="L5" i="20"/>
  <c r="I5" i="20"/>
  <c r="J18" i="20"/>
  <c r="G18" i="20"/>
  <c r="H18" i="20"/>
  <c r="A56" i="7"/>
  <c r="F3" i="20"/>
  <c r="F4" i="20"/>
  <c r="C133" i="11"/>
  <c r="E133" i="11"/>
  <c r="E132" i="11"/>
  <c r="I18" i="20"/>
  <c r="K18" i="20"/>
  <c r="F1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MMenard:</t>
        </r>
        <r>
          <rPr>
            <sz val="9"/>
            <color indexed="81"/>
            <rFont val="Tahoma"/>
            <family val="2"/>
          </rPr>
          <t xml:space="preserve">
Buying Value divided by Spent Money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MMenard:</t>
        </r>
        <r>
          <rPr>
            <sz val="9"/>
            <color indexed="81"/>
            <rFont val="Tahoma"/>
            <family val="2"/>
          </rPr>
          <t xml:space="preserve">
Selling Value divided by Spent Money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MMenard: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F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</t>
        </r>
      </text>
    </comment>
    <comment ref="F2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</t>
        </r>
      </text>
    </comment>
    <comment ref="F3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US
</t>
        </r>
      </text>
    </comment>
    <comment ref="F3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C6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Greatest Hits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Greatest Hits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None as is on eBay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H5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No black label</t>
        </r>
      </text>
    </comment>
    <comment ref="H8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No greatest hits mention
</t>
        </r>
      </text>
    </comment>
    <comment ref="G16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Price for regular edition</t>
        </r>
      </text>
    </comment>
    <comment ref="H16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Price for regular edition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F1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From US</t>
        </r>
      </text>
    </comment>
    <comment ref="G1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New. No CIB available
From Japan
</t>
        </r>
      </text>
    </comment>
    <comment ref="F12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US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F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NONE for sale
</t>
        </r>
      </text>
    </comment>
    <comment ref="F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Price for casette and instructions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MMenard</author>
  </authors>
  <commentList>
    <comment ref="G4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MMenard:</t>
        </r>
        <r>
          <rPr>
            <sz val="9"/>
            <color indexed="81"/>
            <rFont val="Tahoma"/>
            <family val="2"/>
          </rPr>
          <t xml:space="preserve">
None in Canada
Value if ordered from US
</t>
        </r>
      </text>
    </comment>
  </commentList>
</comments>
</file>

<file path=xl/sharedStrings.xml><?xml version="1.0" encoding="utf-8"?>
<sst xmlns="http://schemas.openxmlformats.org/spreadsheetml/2006/main" count="5203" uniqueCount="1419">
  <si>
    <t>Column1</t>
  </si>
  <si>
    <t>Company</t>
  </si>
  <si>
    <t>Year</t>
  </si>
  <si>
    <t>Column2</t>
  </si>
  <si>
    <t>Items Owned</t>
  </si>
  <si>
    <t>Spent $</t>
  </si>
  <si>
    <t>BValue $</t>
  </si>
  <si>
    <t>Value Var</t>
  </si>
  <si>
    <t>SValue $</t>
  </si>
  <si>
    <t>Value Var2</t>
  </si>
  <si>
    <t>Cmplt Rate</t>
  </si>
  <si>
    <t>Need Update</t>
  </si>
  <si>
    <t>Oldest Update</t>
  </si>
  <si>
    <t>SPENT $ =</t>
  </si>
  <si>
    <t>The money I have spent on the items I still have</t>
  </si>
  <si>
    <t>PSone</t>
  </si>
  <si>
    <t>Sony</t>
  </si>
  <si>
    <t>Home Console</t>
  </si>
  <si>
    <t xml:space="preserve">BVALUE $ = </t>
  </si>
  <si>
    <t>The value of the items I still have. According to eBay/Amazon If I had to rebuy them from Canadian sellers</t>
  </si>
  <si>
    <t>PS2</t>
  </si>
  <si>
    <t>SVALUE $ =</t>
  </si>
  <si>
    <t>The value of the items I still have. According to eBay If I sold them to Canadian Buyers</t>
  </si>
  <si>
    <t>PS3</t>
  </si>
  <si>
    <t>Formula : (BVALUE - (AmountOfGames*(5 or 10 depending on item size))*0.85 (ebay's cut 15%)</t>
  </si>
  <si>
    <t>PSVita</t>
  </si>
  <si>
    <t>Handheld</t>
  </si>
  <si>
    <t>PS4</t>
  </si>
  <si>
    <t>Update Date</t>
  </si>
  <si>
    <t>NES</t>
  </si>
  <si>
    <t>Nintendo</t>
  </si>
  <si>
    <t>GB</t>
  </si>
  <si>
    <t>SNES</t>
  </si>
  <si>
    <t>N64</t>
  </si>
  <si>
    <t>GBC</t>
  </si>
  <si>
    <t>GBA</t>
  </si>
  <si>
    <t>GC</t>
  </si>
  <si>
    <t>NDS</t>
  </si>
  <si>
    <t>WII</t>
  </si>
  <si>
    <t>3DS</t>
  </si>
  <si>
    <t>Games Tot</t>
  </si>
  <si>
    <t>CD</t>
  </si>
  <si>
    <t>N/A</t>
  </si>
  <si>
    <t>DVD</t>
  </si>
  <si>
    <t>BluRay</t>
  </si>
  <si>
    <t>PSN</t>
  </si>
  <si>
    <t>PC</t>
  </si>
  <si>
    <t>NOTES</t>
  </si>
  <si>
    <t>BLUE prices are from US when no canadian equivalent</t>
  </si>
  <si>
    <t>PURPLE prices are from outer NA when no CAN/US equivalent</t>
  </si>
  <si>
    <t>RED Prices are trending downwards</t>
  </si>
  <si>
    <t>GREEN Prices are trending upwards</t>
  </si>
  <si>
    <t>Backlog</t>
  </si>
  <si>
    <t>PS1</t>
  </si>
  <si>
    <t>Jade Cocoon: Story of the Tamamayu</t>
  </si>
  <si>
    <t>FF Anthology - FFV</t>
  </si>
  <si>
    <t>Harvest Moon : Back to Nature</t>
  </si>
  <si>
    <t>Chrono Cross</t>
  </si>
  <si>
    <t>Suikoden Tactics</t>
  </si>
  <si>
    <t>Unowned Games Progress</t>
  </si>
  <si>
    <t>Dragon Warrior 1</t>
  </si>
  <si>
    <t>Completed</t>
  </si>
  <si>
    <t>Dragon Warrior 2</t>
  </si>
  <si>
    <t>UPC</t>
  </si>
  <si>
    <t>#Serie</t>
  </si>
  <si>
    <t>Game Name</t>
  </si>
  <si>
    <t>Condition</t>
  </si>
  <si>
    <t>Buy Price</t>
  </si>
  <si>
    <t>Evalue</t>
  </si>
  <si>
    <t>Avalue</t>
  </si>
  <si>
    <t>min</t>
  </si>
  <si>
    <t>Date Check</t>
  </si>
  <si>
    <t>Gain Loss</t>
  </si>
  <si>
    <t>State</t>
  </si>
  <si>
    <t>My Rating</t>
  </si>
  <si>
    <t>Intention</t>
  </si>
  <si>
    <t>Sold Money</t>
  </si>
  <si>
    <t>94078</t>
  </si>
  <si>
    <t>Wipeout 3</t>
  </si>
  <si>
    <t>94194</t>
  </si>
  <si>
    <t>Gran Turismo</t>
  </si>
  <si>
    <t>Used</t>
  </si>
  <si>
    <t>SCEA</t>
  </si>
  <si>
    <t>Broken Case</t>
  </si>
  <si>
    <t>94199</t>
  </si>
  <si>
    <t>Bloody Roar</t>
  </si>
  <si>
    <t>NPP</t>
  </si>
  <si>
    <t>Printed Case</t>
  </si>
  <si>
    <t>Final Fantasy Tactics</t>
  </si>
  <si>
    <t>n/a</t>
  </si>
  <si>
    <t>Keep</t>
  </si>
  <si>
    <t>Squaresoft</t>
  </si>
  <si>
    <t>94421</t>
  </si>
  <si>
    <t>Star Ocean : The Second Story</t>
  </si>
  <si>
    <t>94451</t>
  </si>
  <si>
    <t>Syphon Filer 2</t>
  </si>
  <si>
    <t>Undone</t>
  </si>
  <si>
    <t>94484</t>
  </si>
  <si>
    <t>Wild Arms 2</t>
  </si>
  <si>
    <t>94491</t>
  </si>
  <si>
    <t>The Legend of Dragoon</t>
  </si>
  <si>
    <t>94608</t>
  </si>
  <si>
    <t>Wild Arms</t>
  </si>
  <si>
    <t>94691</t>
  </si>
  <si>
    <t>NBA Shootout 2004</t>
  </si>
  <si>
    <t>New</t>
  </si>
  <si>
    <t>Cracked Case</t>
  </si>
  <si>
    <t>292</t>
  </si>
  <si>
    <t>Suikoden</t>
  </si>
  <si>
    <t>431</t>
  </si>
  <si>
    <t>C&amp;C Red Alert</t>
  </si>
  <si>
    <t>Westwood Studio</t>
  </si>
  <si>
    <t>485</t>
  </si>
  <si>
    <t>546</t>
  </si>
  <si>
    <t>Formula 1 Championship Edition</t>
  </si>
  <si>
    <t>Psygnosis</t>
  </si>
  <si>
    <t>568</t>
  </si>
  <si>
    <t>Monster Rancher</t>
  </si>
  <si>
    <t>662</t>
  </si>
  <si>
    <t>Parasite Eve</t>
  </si>
  <si>
    <t>826</t>
  </si>
  <si>
    <t>Need for Speed High Stakes</t>
  </si>
  <si>
    <t>EA</t>
  </si>
  <si>
    <t>Crave</t>
  </si>
  <si>
    <t>865</t>
  </si>
  <si>
    <t>Pending</t>
  </si>
  <si>
    <t>Greatest Hits</t>
  </si>
  <si>
    <t>Final Fantasy 8 - Disc 1</t>
  </si>
  <si>
    <t>In 879</t>
  </si>
  <si>
    <t>FF Anthology - FFVI</t>
  </si>
  <si>
    <t>Final Fantasy 8 - Disc 2</t>
  </si>
  <si>
    <t>Final Fantasy 8 - Disc 3</t>
  </si>
  <si>
    <t>Final Fantasy 8 - Disc 4</t>
  </si>
  <si>
    <t>917</t>
  </si>
  <si>
    <t>Monster Rancher 2</t>
  </si>
  <si>
    <t>Romance of the Three Kingdoms 6</t>
  </si>
  <si>
    <t>Koei</t>
  </si>
  <si>
    <t>933</t>
  </si>
  <si>
    <t>Saga Frontier 2</t>
  </si>
  <si>
    <t>1017</t>
  </si>
  <si>
    <t>Alundra 2</t>
  </si>
  <si>
    <t>1040</t>
  </si>
  <si>
    <t>Vagrant Story</t>
  </si>
  <si>
    <t>1041</t>
  </si>
  <si>
    <t>1042</t>
  </si>
  <si>
    <t>Parasite Eve 2</t>
  </si>
  <si>
    <t>1071</t>
  </si>
  <si>
    <t>Lunar 2 Eternal Blue Complete</t>
  </si>
  <si>
    <t>Working Designs</t>
  </si>
  <si>
    <t>1080</t>
  </si>
  <si>
    <t>?</t>
  </si>
  <si>
    <t>Natsume</t>
  </si>
  <si>
    <t>Valkyrie Profile</t>
  </si>
  <si>
    <t>1239</t>
  </si>
  <si>
    <t>1240</t>
  </si>
  <si>
    <t>Final Fantasy 9</t>
  </si>
  <si>
    <t>FF Chronicles - FFIV</t>
  </si>
  <si>
    <t>FF Chronicles - Chrono Trigger</t>
  </si>
  <si>
    <t>Total PSX Bought</t>
  </si>
  <si>
    <t>Estimated Value</t>
  </si>
  <si>
    <t>Estimated Selling Value</t>
  </si>
  <si>
    <t>EST Value per G</t>
  </si>
  <si>
    <t>Complete</t>
  </si>
  <si>
    <t>Can't Be Done</t>
  </si>
  <si>
    <t>Over With</t>
  </si>
  <si>
    <t>Sealed</t>
  </si>
  <si>
    <t>Never</t>
  </si>
  <si>
    <t>Not Over With</t>
  </si>
  <si>
    <t>Completed Rate</t>
  </si>
  <si>
    <t>Purchased</t>
  </si>
  <si>
    <t>Average per Game</t>
  </si>
  <si>
    <t>eBay</t>
  </si>
  <si>
    <t>Amaz</t>
  </si>
  <si>
    <t>LastValue</t>
  </si>
  <si>
    <t>Sold</t>
  </si>
  <si>
    <t>Dokapon Kingdom</t>
  </si>
  <si>
    <t>Collect</t>
  </si>
  <si>
    <t>Atlus</t>
  </si>
  <si>
    <t>Ratchet and Clank Up Your Arsenal</t>
  </si>
  <si>
    <t>Rogue Galaxy</t>
  </si>
  <si>
    <t>Metal Gear Solid 2 Sons of Liberty</t>
  </si>
  <si>
    <t>SBC</t>
  </si>
  <si>
    <t>Konami</t>
  </si>
  <si>
    <t>Looney Tunes Back in Action</t>
  </si>
  <si>
    <t>CBD</t>
  </si>
  <si>
    <t>WB Games</t>
  </si>
  <si>
    <t>Dog's Life</t>
  </si>
  <si>
    <t>Hip Games</t>
  </si>
  <si>
    <t>Motocross Mania 3</t>
  </si>
  <si>
    <t>2K Games</t>
  </si>
  <si>
    <t>The Dog Island</t>
  </si>
  <si>
    <t>Ubisoft</t>
  </si>
  <si>
    <t>God of War</t>
  </si>
  <si>
    <t>Ratched and Clank Deadlocked</t>
  </si>
  <si>
    <t>Grandia 2</t>
  </si>
  <si>
    <t>Harvest Moon : Save the Homeland</t>
  </si>
  <si>
    <t>Jade Cocoon 2</t>
  </si>
  <si>
    <t>Suikoden 4</t>
  </si>
  <si>
    <t>Guide</t>
  </si>
  <si>
    <t>Shadow Hearts : Covenant</t>
  </si>
  <si>
    <t>Midway</t>
  </si>
  <si>
    <t>Genji : Dawn of the Samurai</t>
  </si>
  <si>
    <t>Shadow of the Colossus</t>
  </si>
  <si>
    <t>Final Fantasy X</t>
  </si>
  <si>
    <t>Romance of the Three Kingdoms 7</t>
  </si>
  <si>
    <t>Shadow Hearts</t>
  </si>
  <si>
    <t>Kingdom Hearts</t>
  </si>
  <si>
    <t>Mad Maestro</t>
  </si>
  <si>
    <t>Eidos</t>
  </si>
  <si>
    <t>Suikoden 3</t>
  </si>
  <si>
    <t>Xenosaga Episode 1</t>
  </si>
  <si>
    <t>Namco</t>
  </si>
  <si>
    <t>Star Ocean Till the End of Time</t>
  </si>
  <si>
    <t>Square Enix</t>
  </si>
  <si>
    <t>Gladius</t>
  </si>
  <si>
    <t>Lucas Art</t>
  </si>
  <si>
    <t>Kingdom Hearts 2</t>
  </si>
  <si>
    <t>Midnight Club 2</t>
  </si>
  <si>
    <t>Rockstar</t>
  </si>
  <si>
    <t>Champions of Norrath</t>
  </si>
  <si>
    <t>SOE</t>
  </si>
  <si>
    <t>Beach Volleyball Summer Heat</t>
  </si>
  <si>
    <t>Akklaim</t>
  </si>
  <si>
    <t>Not for Resale</t>
  </si>
  <si>
    <t>Crash Nitro Kart</t>
  </si>
  <si>
    <t>Universal Interactive</t>
  </si>
  <si>
    <t>X-Men Legends</t>
  </si>
  <si>
    <t>Activision</t>
  </si>
  <si>
    <t>Disgaea</t>
  </si>
  <si>
    <t>Final Fantasy X-2</t>
  </si>
  <si>
    <t>LP</t>
  </si>
  <si>
    <t>Romance of the Three Kingdoms 8</t>
  </si>
  <si>
    <t>Growlanser Generations</t>
  </si>
  <si>
    <t>Dynasty Tactics 2</t>
  </si>
  <si>
    <t>Tokyo Xtreme Racer 3</t>
  </si>
  <si>
    <t>Mortal Kombat Deception</t>
  </si>
  <si>
    <t>Front Mission 4</t>
  </si>
  <si>
    <t>Final Fantasy 12</t>
  </si>
  <si>
    <t>Tales of Legendia</t>
  </si>
  <si>
    <t>Tales of the Abyss</t>
  </si>
  <si>
    <t>Bandai Namco</t>
  </si>
  <si>
    <t>Grand Theft Auto San Andreas</t>
  </si>
  <si>
    <t>Special Edition</t>
  </si>
  <si>
    <t>Phantom Brave</t>
  </si>
  <si>
    <t>Nis America</t>
  </si>
  <si>
    <t>Digital Devil Saga 1</t>
  </si>
  <si>
    <t>with Deluxe Box</t>
  </si>
  <si>
    <t>Devil Summoner</t>
  </si>
  <si>
    <t>Fifa Soccer 2009</t>
  </si>
  <si>
    <t>Devil Summoner 2</t>
  </si>
  <si>
    <t>Red Faction</t>
  </si>
  <si>
    <t>THQ</t>
  </si>
  <si>
    <t>Bully</t>
  </si>
  <si>
    <t>Broken clipping pin in case.</t>
  </si>
  <si>
    <t>Onimusha Warlords</t>
  </si>
  <si>
    <t>Capcom</t>
  </si>
  <si>
    <t>No Manual</t>
  </si>
  <si>
    <t>Virtua Fighter 4</t>
  </si>
  <si>
    <t>Sega</t>
  </si>
  <si>
    <t>Tekken 4</t>
  </si>
  <si>
    <t>Onimusha 2</t>
  </si>
  <si>
    <t>Britney's Dance Beat</t>
  </si>
  <si>
    <t>Legaia 2 Duel Saga</t>
  </si>
  <si>
    <t>Might not work well?</t>
  </si>
  <si>
    <t>Shinobi</t>
  </si>
  <si>
    <t>SoulCalibur 2</t>
  </si>
  <si>
    <t>Beyond Good &amp; Evil</t>
  </si>
  <si>
    <t>Juiced</t>
  </si>
  <si>
    <t>Crash Tag Team Racing</t>
  </si>
  <si>
    <t>Sierra</t>
  </si>
  <si>
    <t>Lord of the Ring : Third Age</t>
  </si>
  <si>
    <t>The Legend of Spyro : A New Beginning</t>
  </si>
  <si>
    <t>Grim Grimoire</t>
  </si>
  <si>
    <t>Crazy Frog Arcade Racer</t>
  </si>
  <si>
    <t>Valcon Games</t>
  </si>
  <si>
    <t>Gran Turismo 3 A-spec</t>
  </si>
  <si>
    <t>Dark Cloud</t>
  </si>
  <si>
    <t>Extermination</t>
  </si>
  <si>
    <t>UEFA Euro 2004 Portugal</t>
  </si>
  <si>
    <t>EA Sports</t>
  </si>
  <si>
    <t>NFL Gameday 2002</t>
  </si>
  <si>
    <t>Tony Hawk's Underground 2</t>
  </si>
  <si>
    <t>Ar Tonelico 2</t>
  </si>
  <si>
    <t>Premium</t>
  </si>
  <si>
    <t>Sakura Wars - So Long, My Love</t>
  </si>
  <si>
    <t>Wild Arms 3</t>
  </si>
  <si>
    <t>Dark Cloud 2</t>
  </si>
  <si>
    <t>Arc the Lad : Twilight of Spirits</t>
  </si>
  <si>
    <t>Smackdown vs Raw</t>
  </si>
  <si>
    <t>Atelier Iris : Eternal Mana</t>
  </si>
  <si>
    <t>Stella Deus</t>
  </si>
  <si>
    <t>Digital Devil Saga 2</t>
  </si>
  <si>
    <t>See 20974</t>
  </si>
  <si>
    <t>Arc the Lad : End of Darkness</t>
  </si>
  <si>
    <t>Makai Kingdom</t>
  </si>
  <si>
    <t>NIS America</t>
  </si>
  <si>
    <t>Tekken Tag Tournament</t>
  </si>
  <si>
    <t>Not Working</t>
  </si>
  <si>
    <t>Harvest Moon : A Wonderful Life</t>
  </si>
  <si>
    <t>Romance of the Three Kingdoms 10</t>
  </si>
  <si>
    <t xml:space="preserve">Ar Tonelico  </t>
  </si>
  <si>
    <t>Valkyrie Profile 2</t>
  </si>
  <si>
    <t>Monster Rancher 4</t>
  </si>
  <si>
    <t>Tecmo</t>
  </si>
  <si>
    <t>The Bouncer</t>
  </si>
  <si>
    <t>Squarenix</t>
  </si>
  <si>
    <t>Grandia 3</t>
  </si>
  <si>
    <t>Kessen</t>
  </si>
  <si>
    <t>Zone of the Enders</t>
  </si>
  <si>
    <t>Onimusha 3 Demon Siege</t>
  </si>
  <si>
    <t>Dragonball Z Budokai 2</t>
  </si>
  <si>
    <t>Atari</t>
  </si>
  <si>
    <t>Cabela's Deer Hunt 2005 Season</t>
  </si>
  <si>
    <t>Final Fantasy 12 Collector's Edition</t>
  </si>
  <si>
    <t>Jet X2O</t>
  </si>
  <si>
    <t>Ratchet and Clank</t>
  </si>
  <si>
    <t>Gran Turismo 4</t>
  </si>
  <si>
    <t>Dirge of Cerberus Final Fantasy 7</t>
  </si>
  <si>
    <t>Corvette Evolution GT</t>
  </si>
  <si>
    <t>Volcon Games</t>
  </si>
  <si>
    <t>Suzuki Super-bikes II Riding Challenge</t>
  </si>
  <si>
    <t>Odin Sphere</t>
  </si>
  <si>
    <t>Aqua Teen Hunger Force - Zombie Ninja Pro-Am</t>
  </si>
  <si>
    <t>Naruto Ultimate Ninja 3</t>
  </si>
  <si>
    <t>Mana Khemia Alchemists of Al-Revis</t>
  </si>
  <si>
    <t>Lego Indiana Jones</t>
  </si>
  <si>
    <t>Kingdom Hearts Re:Chains of Memories</t>
  </si>
  <si>
    <t>Mana Khemia 2 Premium Edition</t>
  </si>
  <si>
    <t>Not for resale</t>
  </si>
  <si>
    <t>DJ Hero</t>
  </si>
  <si>
    <t>No Hardware</t>
  </si>
  <si>
    <t>Monster Rancher 3</t>
  </si>
  <si>
    <t>.Hack//Infection Part 1</t>
  </si>
  <si>
    <t>Bandai</t>
  </si>
  <si>
    <t>NHL 2002</t>
  </si>
  <si>
    <t>Harry Potter and the prisoner of Azkaban</t>
  </si>
  <si>
    <t>Dragon Quest 8</t>
  </si>
  <si>
    <t>Guide?</t>
  </si>
  <si>
    <t>Magna Carta</t>
  </si>
  <si>
    <t>Radiata Stories</t>
  </si>
  <si>
    <t>River King : A Wonderful Journey</t>
  </si>
  <si>
    <t>Atelier Iris 2 : Azoth of Destiny</t>
  </si>
  <si>
    <t>Xenosaga Episode 3</t>
  </si>
  <si>
    <t>Disgaea 2</t>
  </si>
  <si>
    <t>Atelier Iris 3 : Grand Phantasm</t>
  </si>
  <si>
    <t>Persona 3</t>
  </si>
  <si>
    <t>Burnout Dominator</t>
  </si>
  <si>
    <t>Soul Nomad</t>
  </si>
  <si>
    <t>Eternal Poison</t>
  </si>
  <si>
    <t>Ratchet and Clank Going Commando</t>
  </si>
  <si>
    <t>Rise to Honor</t>
  </si>
  <si>
    <t>Devil May Cry 5th Aniversary Collection</t>
  </si>
  <si>
    <t>Boxset</t>
  </si>
  <si>
    <t>Dawn of Mana</t>
  </si>
  <si>
    <t>Chaos Wars</t>
  </si>
  <si>
    <t>03 Entertainment</t>
  </si>
  <si>
    <t>Persona 3 : FES</t>
  </si>
  <si>
    <t>Persona 4</t>
  </si>
  <si>
    <t>Gallop Racer 2006</t>
  </si>
  <si>
    <t>.Hack//Mutation Part 2</t>
  </si>
  <si>
    <t>Wild Arms Atler Code F</t>
  </si>
  <si>
    <t>Agetec</t>
  </si>
  <si>
    <t>Part of Set 27004</t>
  </si>
  <si>
    <t>Devil May Cry</t>
  </si>
  <si>
    <t>2099-99-99</t>
  </si>
  <si>
    <t>See 27004</t>
  </si>
  <si>
    <t>Devil May Cry 2</t>
  </si>
  <si>
    <t>See 20484</t>
  </si>
  <si>
    <t>EXT</t>
  </si>
  <si>
    <t>See 21041</t>
  </si>
  <si>
    <t>Xenosaga Episode 2</t>
  </si>
  <si>
    <t>See 20891</t>
  </si>
  <si>
    <t>Devil May Cry 3 Special Edition</t>
  </si>
  <si>
    <t>Bandi Namco</t>
  </si>
  <si>
    <t>See 21389</t>
  </si>
  <si>
    <t>The Simpsons Road Rage</t>
  </si>
  <si>
    <t>Fox Interactive</t>
  </si>
  <si>
    <t>Breath of Fire - Dragon Quarter</t>
  </si>
  <si>
    <t>.Hack//Outbreak Part 3</t>
  </si>
  <si>
    <t>Mega Man Anniversary Collection</t>
  </si>
  <si>
    <t>Romance of the Three Kingdoms 9</t>
  </si>
  <si>
    <t>Shining Force Neo</t>
  </si>
  <si>
    <t>Romancing Saga</t>
  </si>
  <si>
    <t>Megaman X Collection</t>
  </si>
  <si>
    <t>Drakengard 2</t>
  </si>
  <si>
    <t>Romance of the Three Kingdoms 11</t>
  </si>
  <si>
    <t>Nobunaga's Ambition Rise to Power</t>
  </si>
  <si>
    <t>Sealed : Undone</t>
  </si>
  <si>
    <t>Total PS2 Bought</t>
  </si>
  <si>
    <t>Total PS2 Games</t>
  </si>
  <si>
    <t>Estimated (Bought) Value Gain</t>
  </si>
  <si>
    <t>Value (If buying items in same condition)</t>
  </si>
  <si>
    <t>Value (If selling items in same condition)</t>
  </si>
  <si>
    <t>Not Calculated Yet</t>
  </si>
  <si>
    <t>Lost Progress</t>
  </si>
  <si>
    <t>Sold Before Cmpl</t>
  </si>
  <si>
    <t>CMPT Rate with Sealed</t>
  </si>
  <si>
    <t>To Sell</t>
  </si>
  <si>
    <t>Selling</t>
  </si>
  <si>
    <t>Money Made</t>
  </si>
  <si>
    <t>Owned Value (Money made if sold) after Shipping and ebay rate</t>
  </si>
  <si>
    <t>Avg per game sold</t>
  </si>
  <si>
    <t>Sold Games Cost</t>
  </si>
  <si>
    <t>Sales Value Lost</t>
  </si>
  <si>
    <t>7117197113??</t>
  </si>
  <si>
    <t>ICO</t>
  </si>
  <si>
    <t>Jak and Daxter : Precursor Legacy</t>
  </si>
  <si>
    <t>Downhill Domination</t>
  </si>
  <si>
    <t>Sly Cooper and the Thievius Racoonus</t>
  </si>
  <si>
    <t>Amplitude</t>
  </si>
  <si>
    <t>Jak 2</t>
  </si>
  <si>
    <t>Sly 2 Band of Thieves</t>
  </si>
  <si>
    <t>Jak 3</t>
  </si>
  <si>
    <t>Siren</t>
  </si>
  <si>
    <t>SOLD</t>
  </si>
  <si>
    <t>Killzone</t>
  </si>
  <si>
    <t>Rise of the Kasai</t>
  </si>
  <si>
    <t>Sly 3 Honor among Thieves</t>
  </si>
  <si>
    <t>Portal Runner</t>
  </si>
  <si>
    <t>3DO</t>
  </si>
  <si>
    <t>Onimusha</t>
  </si>
  <si>
    <t>Grand Theft Auto 3</t>
  </si>
  <si>
    <t>Baldur's Gate Dark Alliance</t>
  </si>
  <si>
    <t>Interplay</t>
  </si>
  <si>
    <t>DOA2 Hardcore</t>
  </si>
  <si>
    <t>Sunny Garcia Surfing</t>
  </si>
  <si>
    <t>Silent Hill 2</t>
  </si>
  <si>
    <t>Tetris Worlds</t>
  </si>
  <si>
    <t>Work English Menu</t>
  </si>
  <si>
    <t>Dynasty Warriors 3</t>
  </si>
  <si>
    <t>Legaia 2</t>
  </si>
  <si>
    <t>sold</t>
  </si>
  <si>
    <t>Burnout 2 Point of Impact</t>
  </si>
  <si>
    <t>Mystic Heroes</t>
  </si>
  <si>
    <t>Grand Theft Auto Vice City</t>
  </si>
  <si>
    <t>Disaster Report</t>
  </si>
  <si>
    <t>SRS Street Racing Syndicate</t>
  </si>
  <si>
    <t>Activision Anthology</t>
  </si>
  <si>
    <t>Dynasty Warriors 3 Xtreme Legends</t>
  </si>
  <si>
    <t>Starsky &amp; Hutch</t>
  </si>
  <si>
    <t>GS</t>
  </si>
  <si>
    <t>Dynasty Warriors 4</t>
  </si>
  <si>
    <t>Gallop Racer 2003 A New Breed</t>
  </si>
  <si>
    <t>Unlimited Saga</t>
  </si>
  <si>
    <t>Onimusha 3</t>
  </si>
  <si>
    <t>Tony Hawk's Underground</t>
  </si>
  <si>
    <t>Drakengard</t>
  </si>
  <si>
    <t>Prince of Persia : Sands of Time</t>
  </si>
  <si>
    <t>NHL 2004</t>
  </si>
  <si>
    <t>Legacy of Kain : Defiance</t>
  </si>
  <si>
    <t>Ford Racing 2</t>
  </si>
  <si>
    <t>Gotham Games</t>
  </si>
  <si>
    <t>Bloody Roar 4</t>
  </si>
  <si>
    <t>Hudson</t>
  </si>
  <si>
    <t>Samurai Warrior</t>
  </si>
  <si>
    <t>Sonic Mega Collection Plus</t>
  </si>
  <si>
    <t>Viewtiful Joe</t>
  </si>
  <si>
    <t>Ford Racing 3</t>
  </si>
  <si>
    <t>Katamari Damaci</t>
  </si>
  <si>
    <t>Prince of Persia : Warrior Within</t>
  </si>
  <si>
    <t>Outlaw Golf 2</t>
  </si>
  <si>
    <t>Outlaw Volleyball Remixed</t>
  </si>
  <si>
    <t>Ty 2 the Tazmanian Tiger</t>
  </si>
  <si>
    <t>Tekken 5</t>
  </si>
  <si>
    <t>Stolen</t>
  </si>
  <si>
    <t>Resident Evil 4</t>
  </si>
  <si>
    <t>Time Splitters : Future Perfect</t>
  </si>
  <si>
    <t>We Love Katamari</t>
  </si>
  <si>
    <t>Burnout Revenge</t>
  </si>
  <si>
    <t>Prince of Persia : Two Thrones</t>
  </si>
  <si>
    <t>Dynasty Warriors 5 Empires</t>
  </si>
  <si>
    <t>Baroque</t>
  </si>
  <si>
    <t>Shaun White</t>
  </si>
  <si>
    <t>Rock Band</t>
  </si>
  <si>
    <t>World Championship Poker</t>
  </si>
  <si>
    <t>PS2 BUY-------</t>
  </si>
  <si>
    <t>Crash Twinsanity</t>
  </si>
  <si>
    <t>Grand Theft Auto: San Andreas</t>
  </si>
  <si>
    <t>NFS 4 Games</t>
  </si>
  <si>
    <t>Edition</t>
  </si>
  <si>
    <t>Note</t>
  </si>
  <si>
    <t>3d dot games heroes</t>
  </si>
  <si>
    <t>Ar Nosurge : Ode to an Unborn Star</t>
  </si>
  <si>
    <t>Ar Tonelico Qoga - Knell of Ar Ciel</t>
  </si>
  <si>
    <t>Assassin's Creed</t>
  </si>
  <si>
    <t>Assassin's Creed : Ezio Trilogy</t>
  </si>
  <si>
    <t>Assassin's Creed 3 Signature Edition</t>
  </si>
  <si>
    <t>Assassin's Creed IV Black Flag Signature Edition</t>
  </si>
  <si>
    <t>Atelier Ayesha : The Alchemist of Dusk</t>
  </si>
  <si>
    <t>Koei Tecmo</t>
  </si>
  <si>
    <t>Atelier Escha &amp; Logy</t>
  </si>
  <si>
    <t>Atelier Meruru</t>
  </si>
  <si>
    <t>Atelier Rorona : The Alchemist of Arland</t>
  </si>
  <si>
    <t>Atelier Rorona Plus : The Alchemist Arland</t>
  </si>
  <si>
    <t>Atelier Shallie : Alchemists of the Dusk Sea Limited</t>
  </si>
  <si>
    <t>Atelier Totori : The Adventurer of Arland</t>
  </si>
  <si>
    <t>Batman Arkham Azylum</t>
  </si>
  <si>
    <t>Bayonetta</t>
  </si>
  <si>
    <t>Bioshock</t>
  </si>
  <si>
    <t>Bioshock 2</t>
  </si>
  <si>
    <t>Bleach Soul Resurreccion</t>
  </si>
  <si>
    <t>Borderlands 2 GOTYE</t>
  </si>
  <si>
    <t>Borderlands GOTYE</t>
  </si>
  <si>
    <t>Burnout Paradise</t>
  </si>
  <si>
    <t>Catherine</t>
  </si>
  <si>
    <t>Class of Heroes 2G</t>
  </si>
  <si>
    <t>Monkey Paw</t>
  </si>
  <si>
    <t>Cross Edge</t>
  </si>
  <si>
    <t>Dark Souls</t>
  </si>
  <si>
    <t>Dark Souls 2 - Black Armor Edition</t>
  </si>
  <si>
    <t>Namco Bandai</t>
  </si>
  <si>
    <t>Dead or Alive 5</t>
  </si>
  <si>
    <t>Demon's Soul Deluxe</t>
  </si>
  <si>
    <t>Destiny Warrior Gundam</t>
  </si>
  <si>
    <t>Deus Ex : Human Revolution - Augmented Edition</t>
  </si>
  <si>
    <t>Dirt</t>
  </si>
  <si>
    <t>Codemasters</t>
  </si>
  <si>
    <t>Disgaea 3</t>
  </si>
  <si>
    <t>Disgaea 4</t>
  </si>
  <si>
    <t>Disgaea D2 A Brighter Darkness</t>
  </si>
  <si>
    <t>Disgaea D2 A Brighter Darkness - Limited Edition</t>
  </si>
  <si>
    <t>+ Guide book</t>
  </si>
  <si>
    <t>DMC Devil may cry</t>
  </si>
  <si>
    <t>Dragon Age Origins : Ultimate Edition</t>
  </si>
  <si>
    <t>Dragon Dogma</t>
  </si>
  <si>
    <t>Dragon's Crown</t>
  </si>
  <si>
    <t>Dragon's Dogma Dark Arisen</t>
  </si>
  <si>
    <t>Drakengard 3</t>
  </si>
  <si>
    <t>Drakengard 3 - Collector Edition</t>
  </si>
  <si>
    <t>Dungeon Siege 3</t>
  </si>
  <si>
    <t>Dynasty Warriors 7</t>
  </si>
  <si>
    <t>Dynasty Warriors 7 Xtreme Legends</t>
  </si>
  <si>
    <t>Elder Scrolls 4 :Oblivion GOTY</t>
  </si>
  <si>
    <t>Bethesda</t>
  </si>
  <si>
    <t>Eternal Sonata</t>
  </si>
  <si>
    <t>Fairy Fencer F</t>
  </si>
  <si>
    <t>Fairy Fencer F - Limited Edition</t>
  </si>
  <si>
    <t>Fallout 3</t>
  </si>
  <si>
    <t>Dled all XP+40$</t>
  </si>
  <si>
    <t>Fallout New Vegas Ultimate Edition</t>
  </si>
  <si>
    <t>Fight Night Round 4</t>
  </si>
  <si>
    <t>Final Fantasy 13</t>
  </si>
  <si>
    <t>Final Fantasy 13-2</t>
  </si>
  <si>
    <t>Bonus Book</t>
  </si>
  <si>
    <t>Final Fantasy XIII : Lightning Returns</t>
  </si>
  <si>
    <t>Final Fatasy X | X2 Remaster</t>
  </si>
  <si>
    <t>Final Fatasy X | X2 Remaster Limited Edition</t>
  </si>
  <si>
    <t>Folklore</t>
  </si>
  <si>
    <t>Front Mission Evolved</t>
  </si>
  <si>
    <t>Game of Thrones</t>
  </si>
  <si>
    <t>God of War 3</t>
  </si>
  <si>
    <t>God of War Collection</t>
  </si>
  <si>
    <t>2 Trophy Set</t>
  </si>
  <si>
    <t>God of War Origins Collection</t>
  </si>
  <si>
    <t>Gran Turismo 5</t>
  </si>
  <si>
    <t>Grand Theft Auto 4</t>
  </si>
  <si>
    <t>Grand Theft Auto 5</t>
  </si>
  <si>
    <t>Hakuoki - Stories of the Shinsengumi Limited Edition</t>
  </si>
  <si>
    <t>Aksys</t>
  </si>
  <si>
    <t>Heavenly Sword</t>
  </si>
  <si>
    <t>Heavy Rain</t>
  </si>
  <si>
    <t>Hyperdimansion Neptunia Mk2</t>
  </si>
  <si>
    <t>Hyperdimension Neptunia</t>
  </si>
  <si>
    <t>Hyperdimension Neptunia Victory</t>
  </si>
  <si>
    <t>Ico &amp; Shadow of the Colossus</t>
  </si>
  <si>
    <t>Infamous Collection</t>
  </si>
  <si>
    <t>Injustice : Gods among us : Ultimate Edition</t>
  </si>
  <si>
    <t>Jak and Daxter Collection</t>
  </si>
  <si>
    <t>Katamari Forever</t>
  </si>
  <si>
    <t>Kingdom Hearts - HD 1,5 ReMIX</t>
  </si>
  <si>
    <t>Kingdom Hearts - HD Collector Edition 1.5+2.5</t>
  </si>
  <si>
    <t>Kingdom of Amalur : Reckoning</t>
  </si>
  <si>
    <t>Lego Batman 2 Dc Super Heroes</t>
  </si>
  <si>
    <t>Lego Batman 3 : Beyond Gotham</t>
  </si>
  <si>
    <t>Lego Batman the Videogame</t>
  </si>
  <si>
    <t>Lego Harry Potter Years 1-4</t>
  </si>
  <si>
    <t>Lego Harry Potter Years 5-7</t>
  </si>
  <si>
    <t>Lego Indiana Jones 2</t>
  </si>
  <si>
    <t>Lucasarts</t>
  </si>
  <si>
    <t>Lego Lord of the Rings</t>
  </si>
  <si>
    <t>Lego Marvel Super Heroes</t>
  </si>
  <si>
    <t>Lego Pirates of the Caribbean</t>
  </si>
  <si>
    <t>Disney</t>
  </si>
  <si>
    <t>Lego Rock Band</t>
  </si>
  <si>
    <t>Dirty Case</t>
  </si>
  <si>
    <t>Lego Star Wars 3</t>
  </si>
  <si>
    <t>Lego The Hobbit</t>
  </si>
  <si>
    <t>Little Big Planet</t>
  </si>
  <si>
    <t>Little Big Planet 2 Special Edition</t>
  </si>
  <si>
    <t>Mass Effect Trilogy</t>
  </si>
  <si>
    <t>Metal Gear Rising</t>
  </si>
  <si>
    <t>Metal Gear Solid 4</t>
  </si>
  <si>
    <t>Modnation Racers</t>
  </si>
  <si>
    <t>Mortal Kombat</t>
  </si>
  <si>
    <t>Mortal Kombat vs DC universe</t>
  </si>
  <si>
    <t>Mugen Souls</t>
  </si>
  <si>
    <t>Mugen Souls - Limited Edition</t>
  </si>
  <si>
    <t>Mugen Souls Z - Limited Edition</t>
  </si>
  <si>
    <t>NHL13</t>
  </si>
  <si>
    <t>Ni No Kuni - Wrath of the White Witch</t>
  </si>
  <si>
    <t>Nier</t>
  </si>
  <si>
    <t>Ninja Gaiden : Sigma</t>
  </si>
  <si>
    <t>Persona 4 Arena</t>
  </si>
  <si>
    <t>Playstation All-stars Battle Royale</t>
  </si>
  <si>
    <t>Puppeteer</t>
  </si>
  <si>
    <t>Ratchet &amp; Clank Collection</t>
  </si>
  <si>
    <t>Ratchet &amp; Clank : All 4 One</t>
  </si>
  <si>
    <t>Ratchet &amp; Clank : Crack in Time</t>
  </si>
  <si>
    <t>Rayman Legends</t>
  </si>
  <si>
    <t>Record of Agarest War 2</t>
  </si>
  <si>
    <t>Record of Agarest War Zero</t>
  </si>
  <si>
    <t>Red Alert 3 Ultimate Edition</t>
  </si>
  <si>
    <t>Resident Evil 5 Gold</t>
  </si>
  <si>
    <t>Resident Evil 6 Anthology</t>
  </si>
  <si>
    <t>Resident Evil 5 Gold not Redeemed</t>
  </si>
  <si>
    <t>Resonance of Fate</t>
  </si>
  <si>
    <t>Rised 2 Dark Waters</t>
  </si>
  <si>
    <t>Broken Acc</t>
  </si>
  <si>
    <t>Rock Band 2</t>
  </si>
  <si>
    <t>Rune Factory : Tides of Destiny</t>
  </si>
  <si>
    <t>Sacred 2 - Fallen Angel</t>
  </si>
  <si>
    <t>CDV</t>
  </si>
  <si>
    <t>Sacred 3</t>
  </si>
  <si>
    <t>Deep Silver</t>
  </si>
  <si>
    <t>Saints Row Gat Out of Hell</t>
  </si>
  <si>
    <t>Scene It</t>
  </si>
  <si>
    <t>Screenlife</t>
  </si>
  <si>
    <t>Sly Cooper Thieves in Time</t>
  </si>
  <si>
    <t>SoulCalibur 4</t>
  </si>
  <si>
    <t>SoulCalibur 5</t>
  </si>
  <si>
    <t>No Manual + Sticker</t>
  </si>
  <si>
    <t>See Box</t>
  </si>
  <si>
    <t>Sports Champion</t>
  </si>
  <si>
    <t>Star Ocean : The Last Hope International</t>
  </si>
  <si>
    <t>Tales of Grace f</t>
  </si>
  <si>
    <t>Tales of Symphonia Chronicles</t>
  </si>
  <si>
    <t>Tales of Xillia - Limited Edition</t>
  </si>
  <si>
    <t>Tales of Xillia 2</t>
  </si>
  <si>
    <t>Tears to Tiara 2 : Heir to the Overlord</t>
  </si>
  <si>
    <t>Tekken 6</t>
  </si>
  <si>
    <t>The Awakened Fate Ultimatum Limited</t>
  </si>
  <si>
    <t>The Elder Scrolls V : Skyrim Legendary Ed</t>
  </si>
  <si>
    <t>The Guided Fate Paradox</t>
  </si>
  <si>
    <t>The Guided Fate Paradox - Limited Edition</t>
  </si>
  <si>
    <t>The Last of Us Survival Edition</t>
  </si>
  <si>
    <t>??</t>
  </si>
  <si>
    <t>The Legend of Heroes Trails of Cold Steel</t>
  </si>
  <si>
    <t>Xseed</t>
  </si>
  <si>
    <t>The Orange Box</t>
  </si>
  <si>
    <t>The Witch and the Hundred Knight</t>
  </si>
  <si>
    <t>The Witch and the Hundred Knight Deluxe</t>
  </si>
  <si>
    <t>Time and Eternity</t>
  </si>
  <si>
    <t>Time and Eternity - Limited Edition</t>
  </si>
  <si>
    <t>Tomb Raider - Game of the Year Edition</t>
  </si>
  <si>
    <t>Transformers War for Cybertron</t>
  </si>
  <si>
    <t>Trinity : Souls of Zill O'll</t>
  </si>
  <si>
    <t>Trinity Universe</t>
  </si>
  <si>
    <t>Uncharted - Drake's Fortune</t>
  </si>
  <si>
    <t>Uncharted 2 - Among Thieves GOTY</t>
  </si>
  <si>
    <t>Uncharted 3 - Drake's Deception</t>
  </si>
  <si>
    <t>Valkyria Chronicle</t>
  </si>
  <si>
    <t>Watch Dogs Signature Edition</t>
  </si>
  <si>
    <t>White Knight Chronicle</t>
  </si>
  <si>
    <t>White knight chronicle 2</t>
  </si>
  <si>
    <t>D3 Interactive</t>
  </si>
  <si>
    <t>Xcom Unknown</t>
  </si>
  <si>
    <t>Firaxis</t>
  </si>
  <si>
    <t>Zone of the Enders HD Collection</t>
  </si>
  <si>
    <t>Total PS3 Games</t>
  </si>
  <si>
    <t>Average Bought</t>
  </si>
  <si>
    <t>No Plans to play</t>
  </si>
  <si>
    <t>Value Change (to get)</t>
  </si>
  <si>
    <t>Value Change (to sell)</t>
  </si>
  <si>
    <t>Accessories</t>
  </si>
  <si>
    <t>8 Remotes Sixaxis Dualshox 3</t>
  </si>
  <si>
    <t>2 Playstation Move Controllers</t>
  </si>
  <si>
    <t>2x Rock Band Set</t>
  </si>
  <si>
    <t>1x Guitar Controller</t>
  </si>
  <si>
    <t>HDMI Cable</t>
  </si>
  <si>
    <t>Companies</t>
  </si>
  <si>
    <t>Game Company</t>
  </si>
  <si>
    <t>Number</t>
  </si>
  <si>
    <t>????</t>
  </si>
  <si>
    <t>Final Fantasy Type-O Collector</t>
  </si>
  <si>
    <t>Natural Doctrine - Limited Edition</t>
  </si>
  <si>
    <t>Disgaea 5</t>
  </si>
  <si>
    <t>Disgaea 5 Limited Edition</t>
  </si>
  <si>
    <t>Dragon Quest Heroes - Slime Collector's Edition</t>
  </si>
  <si>
    <t>Samurai Warriors 4-II Limited Edition</t>
  </si>
  <si>
    <t>Fallout 4</t>
  </si>
  <si>
    <t>Witch and the Hundred Nights - Revival - Limited</t>
  </si>
  <si>
    <t>Total PS4 Games</t>
  </si>
  <si>
    <t>Value Lost</t>
  </si>
  <si>
    <t>Trophies Progress</t>
  </si>
  <si>
    <t>Minimum</t>
  </si>
  <si>
    <t>Date</t>
  </si>
  <si>
    <t>Persona 4 Golden</t>
  </si>
  <si>
    <t>Ragnarok Odyssey</t>
  </si>
  <si>
    <t>MErcenary Edition</t>
  </si>
  <si>
    <t>Ys Memories of Celceta</t>
  </si>
  <si>
    <t>Trigger HappyHavoc Danganronpa</t>
  </si>
  <si>
    <t>Xblaze Code Embryo</t>
  </si>
  <si>
    <t>Demon Gaze - Limited Edition</t>
  </si>
  <si>
    <t>Mind Zero</t>
  </si>
  <si>
    <t>Sorcery Saga Limited Edition</t>
  </si>
  <si>
    <t>Conception II Children of the Seven Stars</t>
  </si>
  <si>
    <t>Danganronpa 2</t>
  </si>
  <si>
    <t>Deception 4 Blood Ties</t>
  </si>
  <si>
    <t>HyperDimension Neptunia Re;birth 1</t>
  </si>
  <si>
    <t>Criminal Girls - Invite Only</t>
  </si>
  <si>
    <t>htoL#NiQ - Limited Edition</t>
  </si>
  <si>
    <t>Saturday Morning RPG</t>
  </si>
  <si>
    <t>LimitedRunGames</t>
  </si>
  <si>
    <t>x</t>
  </si>
  <si>
    <t>Danganronpa Ultimate Despair Girl</t>
  </si>
  <si>
    <t>Dungeon Travelers 2</t>
  </si>
  <si>
    <t>HyperDimension Neptunia Re;birth 2 Limited</t>
  </si>
  <si>
    <t>HyperDevotion Noire Limited</t>
  </si>
  <si>
    <t>Lost Dimension</t>
  </si>
  <si>
    <t>Atelier Esca &amp; Logy Plus</t>
  </si>
  <si>
    <t>Sword and the Stranger</t>
  </si>
  <si>
    <t>Total Vita Games</t>
  </si>
  <si>
    <t>as of 2012-02-27</t>
  </si>
  <si>
    <t>Tt Games</t>
  </si>
  <si>
    <t>Lowest</t>
  </si>
  <si>
    <t>Last Checked</t>
  </si>
  <si>
    <t>Box</t>
  </si>
  <si>
    <t>Pokemon Red</t>
  </si>
  <si>
    <t>No</t>
  </si>
  <si>
    <t>Radar Mission</t>
  </si>
  <si>
    <t>Spot</t>
  </si>
  <si>
    <t>Virgin</t>
  </si>
  <si>
    <t>Super Mario Land 2</t>
  </si>
  <si>
    <t>Tetris</t>
  </si>
  <si>
    <t>7</t>
  </si>
  <si>
    <t>Total GBA Games</t>
  </si>
  <si>
    <t>Never be done</t>
  </si>
  <si>
    <t>Final Fantasy Dawn of Souls</t>
  </si>
  <si>
    <t>Final Fantasy IV</t>
  </si>
  <si>
    <t>Final Fantasy V</t>
  </si>
  <si>
    <t>Yes</t>
  </si>
  <si>
    <t xml:space="preserve">Fire Emblem  </t>
  </si>
  <si>
    <t>Fire Emblem - The Sacred Stones</t>
  </si>
  <si>
    <t>Golden Sun</t>
  </si>
  <si>
    <t>Golden Sun : Lost Age</t>
  </si>
  <si>
    <t>Harvest Moon - Friends of Mineral Town</t>
  </si>
  <si>
    <t>Harvest Moon - More Friends of Mineral Town</t>
  </si>
  <si>
    <t>Legend of Zelda</t>
  </si>
  <si>
    <t>Megaman Battle Network 4 Red Sun</t>
  </si>
  <si>
    <t>Pokemon Emerald</t>
  </si>
  <si>
    <t>Pokemon Sapphire</t>
  </si>
  <si>
    <t>Riviera</t>
  </si>
  <si>
    <t>Shining Force</t>
  </si>
  <si>
    <t>Sword of Mana</t>
  </si>
  <si>
    <t>Tactics Ogre : Knights of Lodis</t>
  </si>
  <si>
    <t>Color</t>
  </si>
  <si>
    <t>Harvest Moon 2</t>
  </si>
  <si>
    <t>Harvest Moon GBC</t>
  </si>
  <si>
    <t>BOX ONLY</t>
  </si>
  <si>
    <t>Zelda Oracle of Ages</t>
  </si>
  <si>
    <t>No Booklet</t>
  </si>
  <si>
    <t>Zelda Oracle of Seasons</t>
  </si>
  <si>
    <t>Zelda Link's Awakening</t>
  </si>
  <si>
    <t>Total GBC Games</t>
  </si>
  <si>
    <t>date</t>
  </si>
  <si>
    <t>Mario 64</t>
  </si>
  <si>
    <t>Perfect Dark</t>
  </si>
  <si>
    <t>Rare</t>
  </si>
  <si>
    <t>Yellowed</t>
  </si>
  <si>
    <t>Pokemon Stadium</t>
  </si>
  <si>
    <t>Zelda Majora's Mask</t>
  </si>
  <si>
    <t>Cart only</t>
  </si>
  <si>
    <t>Zelda Ocarina of Time</t>
  </si>
  <si>
    <t>Label Damaged</t>
  </si>
  <si>
    <t>Total WII Games</t>
  </si>
  <si>
    <t>Bayonetta 2</t>
  </si>
  <si>
    <t>Monster Hunter 3 + Controller</t>
  </si>
  <si>
    <t>Harvest Moon : Magical Melody</t>
  </si>
  <si>
    <t>Mario Party 5</t>
  </si>
  <si>
    <t>Warioware inc.</t>
  </si>
  <si>
    <t>Mario Strikers</t>
  </si>
  <si>
    <t>Total GC Games</t>
  </si>
  <si>
    <t>Bravely Default Special Edition</t>
  </si>
  <si>
    <t>Donkey Kong Country Returns 3D</t>
  </si>
  <si>
    <t>Fantasy Life</t>
  </si>
  <si>
    <t>Heroes of Ruin</t>
  </si>
  <si>
    <t>New Super Mario Bros 2</t>
  </si>
  <si>
    <t>Persona Q - Premium Edition</t>
  </si>
  <si>
    <t>Pokemon X</t>
  </si>
  <si>
    <t>Pokemon Super Mystery Dungeon</t>
  </si>
  <si>
    <t>Shin Megami Tensei 4 Special Edition</t>
  </si>
  <si>
    <t>Finish first</t>
  </si>
  <si>
    <t>Stella Glow - First Release Edition</t>
  </si>
  <si>
    <t>The Legend of Zelda : A Link Between Worlds</t>
  </si>
  <si>
    <t>Xenoblade Chronicles 3D</t>
  </si>
  <si>
    <t>Fire Emblem Fates : Conquest</t>
  </si>
  <si>
    <t>The Legend of Legacy</t>
  </si>
  <si>
    <t>Theathrhythm Final Fantasy - Curtain Call - Limited</t>
  </si>
  <si>
    <t>Final Fantasy Explorers Collector Edition</t>
  </si>
  <si>
    <t>Total NDS Games</t>
  </si>
  <si>
    <t>Contact</t>
  </si>
  <si>
    <t>Devil Survivor 2 Record Breaker / Bonus</t>
  </si>
  <si>
    <t>exchanged for Cold Steel</t>
  </si>
  <si>
    <t>Dragon Quest IV</t>
  </si>
  <si>
    <t>Dragon Quest V</t>
  </si>
  <si>
    <t>Dragon Quest VI</t>
  </si>
  <si>
    <t>Dragon Quest IX</t>
  </si>
  <si>
    <t>Dragon Quest Monsters - Joker</t>
  </si>
  <si>
    <t>Dragon Quest Monsters - Joker 2</t>
  </si>
  <si>
    <t>Final Fantasy 3</t>
  </si>
  <si>
    <t>Final Fantasy 12 : Revenant Wings</t>
  </si>
  <si>
    <t>Fire Emblem - Shadow Dragon</t>
  </si>
  <si>
    <t>Golden Sun Dark Dawn</t>
  </si>
  <si>
    <t>Harvest Moon DS Island of Hapiness</t>
  </si>
  <si>
    <t>Knights in the Nightmare</t>
  </si>
  <si>
    <t>New Super Mario Bros.</t>
  </si>
  <si>
    <t>Pokemon Conquest</t>
  </si>
  <si>
    <t>Pokemon Diamond</t>
  </si>
  <si>
    <t>Pokemon HeartGold</t>
  </si>
  <si>
    <t>Pokemon SoulSilver</t>
  </si>
  <si>
    <t>Pokemon Black 2</t>
  </si>
  <si>
    <t>Pokemon White 2</t>
  </si>
  <si>
    <t>Radiant Historia</t>
  </si>
  <si>
    <t>Rune Factory</t>
  </si>
  <si>
    <t>Rune Factory 2</t>
  </si>
  <si>
    <t>Rune Factory 3</t>
  </si>
  <si>
    <t>The World Ends With You</t>
  </si>
  <si>
    <t>Zelda Phantom Hourglass</t>
  </si>
  <si>
    <t>Zelda Spirit Tracks</t>
  </si>
  <si>
    <t>Less</t>
  </si>
  <si>
    <t>Date Checked</t>
  </si>
  <si>
    <t>Manual</t>
  </si>
  <si>
    <t>Case</t>
  </si>
  <si>
    <t>42in1</t>
  </si>
  <si>
    <t>Blades of Steel</t>
  </si>
  <si>
    <t>Duck Hunt</t>
  </si>
  <si>
    <t>Super Mario Bros + Duck Hunt</t>
  </si>
  <si>
    <t>Super Mario 3</t>
  </si>
  <si>
    <t>Total NES Games</t>
  </si>
  <si>
    <t>Estimated Buying Value</t>
  </si>
  <si>
    <t>Min</t>
  </si>
  <si>
    <t>Brain Lord</t>
  </si>
  <si>
    <t>no</t>
  </si>
  <si>
    <t>yes</t>
  </si>
  <si>
    <t>Enix</t>
  </si>
  <si>
    <t>Captain Commando</t>
  </si>
  <si>
    <t>Claymates</t>
  </si>
  <si>
    <t>Contra 3</t>
  </si>
  <si>
    <t>Desert Strike</t>
  </si>
  <si>
    <t>Donkey Kong Country</t>
  </si>
  <si>
    <t>Donkey Kong Country 2</t>
  </si>
  <si>
    <t>Donkey Kong Country 3</t>
  </si>
  <si>
    <t>Final Fantasy 2</t>
  </si>
  <si>
    <t>Signed by Nobuo Uematsu</t>
  </si>
  <si>
    <t>John Madden Football 93</t>
  </si>
  <si>
    <t>Lemmings 2 Tribes</t>
  </si>
  <si>
    <t>Psychosis</t>
  </si>
  <si>
    <t>Lester the Unlikely</t>
  </si>
  <si>
    <t>Jungle Book</t>
  </si>
  <si>
    <t>Jurrasic Park</t>
  </si>
  <si>
    <t>Mario Paint</t>
  </si>
  <si>
    <t>No Mouse</t>
  </si>
  <si>
    <t>Nobunaga's Ambition</t>
  </si>
  <si>
    <t>NBA Hangtime</t>
  </si>
  <si>
    <t>NHL 95</t>
  </si>
  <si>
    <t>Pilotwing</t>
  </si>
  <si>
    <t>Race Driving</t>
  </si>
  <si>
    <t>Saturday Night Slammasters</t>
  </si>
  <si>
    <t>Shadowrun</t>
  </si>
  <si>
    <t>Mdata</t>
  </si>
  <si>
    <t>Sim City</t>
  </si>
  <si>
    <t>Stunts Race FX</t>
  </si>
  <si>
    <t>Super Baseball Simulator 1.000</t>
  </si>
  <si>
    <t>Culture Brain</t>
  </si>
  <si>
    <t>Super Gameboy</t>
  </si>
  <si>
    <t>Super Ghouls and Ghosts</t>
  </si>
  <si>
    <t>Super Mario Allstar</t>
  </si>
  <si>
    <t>Super Mario Kart</t>
  </si>
  <si>
    <t>Super Mario World</t>
  </si>
  <si>
    <t>Super Mario World 2</t>
  </si>
  <si>
    <t>Super Soccer</t>
  </si>
  <si>
    <t>Super Tennis</t>
  </si>
  <si>
    <t>Top Gear 2</t>
  </si>
  <si>
    <t>Kemco</t>
  </si>
  <si>
    <t>Top Gear 3000</t>
  </si>
  <si>
    <t>Uncharted Waters</t>
  </si>
  <si>
    <t>Uniracers</t>
  </si>
  <si>
    <t>We're Back - A Dinosaur Story</t>
  </si>
  <si>
    <t>Zelda</t>
  </si>
  <si>
    <t>Total SNES Games</t>
  </si>
  <si>
    <t>Estimated Rebuy Value</t>
  </si>
  <si>
    <t>Estimated Resell Value</t>
  </si>
  <si>
    <t>Artist</t>
  </si>
  <si>
    <t>#</t>
  </si>
  <si>
    <t>Bvalue</t>
  </si>
  <si>
    <t>Air</t>
  </si>
  <si>
    <t>Pocket Symphony</t>
  </si>
  <si>
    <t>Talkie Walkie</t>
  </si>
  <si>
    <t>Arch Enemy</t>
  </si>
  <si>
    <t>Black Earth</t>
  </si>
  <si>
    <t>Rise of a Tyrant</t>
  </si>
  <si>
    <t>Deftones</t>
  </si>
  <si>
    <t>Saturday Night Wrist</t>
  </si>
  <si>
    <t>Dream Theater</t>
  </si>
  <si>
    <t>Awake</t>
  </si>
  <si>
    <t>Change of Season</t>
  </si>
  <si>
    <t>Octavarium</t>
  </si>
  <si>
    <t>Scenes from a Memory</t>
  </si>
  <si>
    <t>Six Degrees of Inner Turbulence</t>
  </si>
  <si>
    <t>Systematic Chaos</t>
  </si>
  <si>
    <t>Train of Thoughts</t>
  </si>
  <si>
    <t>Hopesfall</t>
  </si>
  <si>
    <t>No Wings to Speak of</t>
  </si>
  <si>
    <t>Kenna</t>
  </si>
  <si>
    <t>New Sacred Cow</t>
  </si>
  <si>
    <t>Lamb of God</t>
  </si>
  <si>
    <t>Ashes of the Wake</t>
  </si>
  <si>
    <t>Massive Attack</t>
  </si>
  <si>
    <t>Collected</t>
  </si>
  <si>
    <t>Megadeth</t>
  </si>
  <si>
    <t>Nine Inch Nails</t>
  </si>
  <si>
    <t>Ghosts I-IV</t>
  </si>
  <si>
    <t>Opeth</t>
  </si>
  <si>
    <t>Blackwater Park</t>
  </si>
  <si>
    <t>Damnation</t>
  </si>
  <si>
    <t>Deliverance</t>
  </si>
  <si>
    <t>Ghost Reveries</t>
  </si>
  <si>
    <t>Lamentations</t>
  </si>
  <si>
    <t>Still Life</t>
  </si>
  <si>
    <t>Perfect Circle, A</t>
  </si>
  <si>
    <t>Emotive</t>
  </si>
  <si>
    <t>Mer de Noms</t>
  </si>
  <si>
    <t>Thirteenth Step</t>
  </si>
  <si>
    <t>Queen of the Stone Age</t>
  </si>
  <si>
    <t>Songs for the Deaf</t>
  </si>
  <si>
    <t>Radiohead</t>
  </si>
  <si>
    <t>Amnesiac</t>
  </si>
  <si>
    <t>Kid A</t>
  </si>
  <si>
    <t>OK Computer</t>
  </si>
  <si>
    <t>Pablo Honey</t>
  </si>
  <si>
    <t>Red Hot Chili Pepper</t>
  </si>
  <si>
    <t>Californication</t>
  </si>
  <si>
    <t>Sordid</t>
  </si>
  <si>
    <t>Valley of Punishment</t>
  </si>
  <si>
    <t>Symphony X</t>
  </si>
  <si>
    <t>Paradise Lost</t>
  </si>
  <si>
    <t>The Odyssey</t>
  </si>
  <si>
    <t>System of a Down</t>
  </si>
  <si>
    <t>Hypnotize</t>
  </si>
  <si>
    <t>Mesmerize</t>
  </si>
  <si>
    <t>Steal this Album</t>
  </si>
  <si>
    <t>Toxicity</t>
  </si>
  <si>
    <t>Tool</t>
  </si>
  <si>
    <t>10,000 Days</t>
  </si>
  <si>
    <t>Aenima</t>
  </si>
  <si>
    <t>Lateralus</t>
  </si>
  <si>
    <t xml:space="preserve">Total CD </t>
  </si>
  <si>
    <t>NAME</t>
  </si>
  <si>
    <t>Disc Nb</t>
  </si>
  <si>
    <t>Bought V</t>
  </si>
  <si>
    <t>Sell V</t>
  </si>
  <si>
    <t>FRE</t>
  </si>
  <si>
    <t>ENG</t>
  </si>
  <si>
    <t>Length (Min)</t>
  </si>
  <si>
    <t>Aspect</t>
  </si>
  <si>
    <t>X</t>
  </si>
  <si>
    <t>Wide</t>
  </si>
  <si>
    <t>Movie</t>
  </si>
  <si>
    <t>Alfred Hitchcock</t>
  </si>
  <si>
    <t>Varies</t>
  </si>
  <si>
    <t>6 Movies Boxset</t>
  </si>
  <si>
    <t>Amelie</t>
  </si>
  <si>
    <t>Wide 2.35:1</t>
  </si>
  <si>
    <t>Forced English Subtitles</t>
  </si>
  <si>
    <t>American Beauty</t>
  </si>
  <si>
    <t>Arch Enemy - Live Apocalypse</t>
  </si>
  <si>
    <t>Show Music</t>
  </si>
  <si>
    <t>Austin Powers</t>
  </si>
  <si>
    <t>Wide 2:1</t>
  </si>
  <si>
    <t>Austin Powers - The Spy who Shagged me</t>
  </si>
  <si>
    <t>Austin Powers - in Goldmember</t>
  </si>
  <si>
    <t>Baseketball</t>
  </si>
  <si>
    <t>Wide 1.85:1</t>
  </si>
  <si>
    <t>Bedazzled</t>
  </si>
  <si>
    <t>Big Fish</t>
  </si>
  <si>
    <t>Broken Flowers</t>
  </si>
  <si>
    <t>Wide 1:78:1</t>
  </si>
  <si>
    <t>Butterfly Effect</t>
  </si>
  <si>
    <t>Casino Royale</t>
  </si>
  <si>
    <t>Chapelle's Show - Season 2</t>
  </si>
  <si>
    <t>Full</t>
  </si>
  <si>
    <t>TV</t>
  </si>
  <si>
    <t>Children of Men</t>
  </si>
  <si>
    <t>Crime Punishment</t>
  </si>
  <si>
    <t>Dragon Heart</t>
  </si>
  <si>
    <t>Eurotrip</t>
  </si>
  <si>
    <t>Family Guy - Volume 1</t>
  </si>
  <si>
    <t>Season 1 &amp; 2, Miss Disc1</t>
  </si>
  <si>
    <t>Family Guy - Volume 2</t>
  </si>
  <si>
    <t>Season 3</t>
  </si>
  <si>
    <t>Family Guy - Volume 4</t>
  </si>
  <si>
    <t>Season 5</t>
  </si>
  <si>
    <t>Fearless</t>
  </si>
  <si>
    <t>Forrest Gump</t>
  </si>
  <si>
    <t>G3 - Live in Tokyo</t>
  </si>
  <si>
    <t>Gigantour</t>
  </si>
  <si>
    <t>Wide 1.78:1</t>
  </si>
  <si>
    <t>Girl Next Door, The</t>
  </si>
  <si>
    <t>Gladiator</t>
  </si>
  <si>
    <t>Goldeneye</t>
  </si>
  <si>
    <t>Grandma's Boy</t>
  </si>
  <si>
    <t>Green Mile, The</t>
  </si>
  <si>
    <t>Hero</t>
  </si>
  <si>
    <t>Independence Day</t>
  </si>
  <si>
    <t>Worn Case</t>
  </si>
  <si>
    <t>Kung Pow</t>
  </si>
  <si>
    <t>Last Samurai, The</t>
  </si>
  <si>
    <t>League of Extraordinary Gentleman, The</t>
  </si>
  <si>
    <t>Life Aquatic with Steve Zissou, The</t>
  </si>
  <si>
    <t>Man on Fire</t>
  </si>
  <si>
    <t>Wide 2.40:1</t>
  </si>
  <si>
    <t>Master and Commander</t>
  </si>
  <si>
    <t>Matrix Recharged</t>
  </si>
  <si>
    <t>Million Dollar Baby</t>
  </si>
  <si>
    <t>Monty Python's and the Holy Grail</t>
  </si>
  <si>
    <t>Collector's Edition</t>
  </si>
  <si>
    <t>Nacho Libre</t>
  </si>
  <si>
    <t>One Night at McCool's</t>
  </si>
  <si>
    <t>Prestige, The</t>
  </si>
  <si>
    <t>Requiem for a Dream</t>
  </si>
  <si>
    <t>Rudy</t>
  </si>
  <si>
    <t>Run Lola Run</t>
  </si>
  <si>
    <t>Shawshank Redemption</t>
  </si>
  <si>
    <t>Shining, The</t>
  </si>
  <si>
    <t>Stewie Griffin : The Movie</t>
  </si>
  <si>
    <t xml:space="preserve"> </t>
  </si>
  <si>
    <t>Timeline</t>
  </si>
  <si>
    <t>Underworld</t>
  </si>
  <si>
    <t>Underworld Evolution</t>
  </si>
  <si>
    <t>Witches, the</t>
  </si>
  <si>
    <t>Batman Anthology</t>
  </si>
  <si>
    <t>K</t>
  </si>
  <si>
    <t>4 Movies</t>
  </si>
  <si>
    <t>Chick'n Swell - Saison 1</t>
  </si>
  <si>
    <t>Keeper</t>
  </si>
  <si>
    <t>Chick'n Swell - Saison 2</t>
  </si>
  <si>
    <t>Disc inversé</t>
  </si>
  <si>
    <t>Chick'n Swell - Saison 3</t>
  </si>
  <si>
    <t>Coeur a ses Raisons, Le - Saison 1</t>
  </si>
  <si>
    <t>Coeur a ses Raisons, Le - Saison 2</t>
  </si>
  <si>
    <t>Dream Theater - Live at Budokan</t>
  </si>
  <si>
    <t>Eternal Sunshine of the Spotless Mind</t>
  </si>
  <si>
    <t>Jean-Thomas Jobin</t>
  </si>
  <si>
    <t>Wide 16:9</t>
  </si>
  <si>
    <t>Comedy</t>
  </si>
  <si>
    <t>Shaolin Soccer</t>
  </si>
  <si>
    <t>Sin City</t>
  </si>
  <si>
    <t>Top Secret</t>
  </si>
  <si>
    <t>Total DVD</t>
  </si>
  <si>
    <t>sell Value</t>
  </si>
  <si>
    <t>3:10 to Yuma</t>
  </si>
  <si>
    <t>1080p</t>
  </si>
  <si>
    <t>Be Kind Rewind</t>
  </si>
  <si>
    <t>Cloudy with a chance of meatballs</t>
  </si>
  <si>
    <t>Inglorious Bastards</t>
  </si>
  <si>
    <t>No Country for Old Men</t>
  </si>
  <si>
    <t>Planet Earth</t>
  </si>
  <si>
    <t>1080i</t>
  </si>
  <si>
    <t>Red Cliff</t>
  </si>
  <si>
    <t>T2 Judgement Day</t>
  </si>
  <si>
    <t>Troy</t>
  </si>
  <si>
    <t>Bitch Slap</t>
  </si>
  <si>
    <t>Ip Man</t>
  </si>
  <si>
    <t>Kungfu Hustle</t>
  </si>
  <si>
    <t>Lord of the Ring Trilogy</t>
  </si>
  <si>
    <t>Scott Pilgrim</t>
  </si>
  <si>
    <t>Gran Torino</t>
  </si>
  <si>
    <t>Total BluRay</t>
  </si>
  <si>
    <t>Contains</t>
  </si>
  <si>
    <t>CDKEY</t>
  </si>
  <si>
    <t>No Box</t>
  </si>
  <si>
    <t>Baldur's Gate</t>
  </si>
  <si>
    <t>Keep No Value</t>
  </si>
  <si>
    <t>Bioware</t>
  </si>
  <si>
    <t>Envelop</t>
  </si>
  <si>
    <t>C&amp;C Tiberian Sun</t>
  </si>
  <si>
    <t>Westwood</t>
  </si>
  <si>
    <t>Missing</t>
  </si>
  <si>
    <t>C&amp;C Yuri's Revenge</t>
  </si>
  <si>
    <t>Diablo 2 : Lord of Destruction</t>
  </si>
  <si>
    <t>Blizzard</t>
  </si>
  <si>
    <t>HNFD-PFCC-CMK4-266P</t>
  </si>
  <si>
    <t>Etherlords 2</t>
  </si>
  <si>
    <t>Dreamcatcher</t>
  </si>
  <si>
    <t>Fallout 2</t>
  </si>
  <si>
    <t>Case Game</t>
  </si>
  <si>
    <t>Morrowind</t>
  </si>
  <si>
    <t>CD only</t>
  </si>
  <si>
    <t>Red Alert</t>
  </si>
  <si>
    <t xml:space="preserve">Keep  </t>
  </si>
  <si>
    <t>Siege of Avalon</t>
  </si>
  <si>
    <t>Global Star</t>
  </si>
  <si>
    <t>The Sims</t>
  </si>
  <si>
    <t>108963-777894-214985-4424</t>
  </si>
  <si>
    <t>The Sims : Hot Date</t>
  </si>
  <si>
    <t>1500-5344683-5012100-4131</t>
  </si>
  <si>
    <t>The Sims : Livin' large</t>
  </si>
  <si>
    <t>1500-6506510-5827631-2845</t>
  </si>
  <si>
    <t>Total PC Games</t>
  </si>
  <si>
    <t>GAME</t>
  </si>
  <si>
    <t>TYPE</t>
  </si>
  <si>
    <t>Trophies</t>
  </si>
  <si>
    <t>Price</t>
  </si>
  <si>
    <t>Owner</t>
  </si>
  <si>
    <t>Age of Booty</t>
  </si>
  <si>
    <t>Me</t>
  </si>
  <si>
    <t>Bejeweled 2</t>
  </si>
  <si>
    <t>Brain Challenge</t>
  </si>
  <si>
    <t>Castle Crashers</t>
  </si>
  <si>
    <t>Cannot</t>
  </si>
  <si>
    <t>JF</t>
  </si>
  <si>
    <t>Comet Crash</t>
  </si>
  <si>
    <t>Crystal Defenders</t>
  </si>
  <si>
    <t>Feeding Frenzy 2</t>
  </si>
  <si>
    <t>Geon</t>
  </si>
  <si>
    <t>Heavy Weapon</t>
  </si>
  <si>
    <t>Last Guy</t>
  </si>
  <si>
    <t>Lumines Supernova</t>
  </si>
  <si>
    <t>MTG : Duels of the Planeswalkers</t>
  </si>
  <si>
    <t>Mushroom Wars</t>
  </si>
  <si>
    <t>Novastrike Trophies</t>
  </si>
  <si>
    <t>Peggle</t>
  </si>
  <si>
    <t>Includes Peggle Nights</t>
  </si>
  <si>
    <t>Pixeljunk Eden and Encore</t>
  </si>
  <si>
    <t>Pixeljunk Monsters and Encore</t>
  </si>
  <si>
    <t>Pixeljunk Racers 2nd Lap</t>
  </si>
  <si>
    <t>Plants Vs Zombies</t>
  </si>
  <si>
    <t>Ruku</t>
  </si>
  <si>
    <t>Sackboy's Prehistoric Moves</t>
  </si>
  <si>
    <t>Plus</t>
  </si>
  <si>
    <t>Scott Pilgrim vs. the World : Game</t>
  </si>
  <si>
    <t>Streets of Rage</t>
  </si>
  <si>
    <t>Supersonic Acrobatic Rocket-Powered Super-Cars</t>
  </si>
  <si>
    <t>Sword and Soldiers</t>
  </si>
  <si>
    <t>Vandal Hearts: Flames of Judgment</t>
  </si>
  <si>
    <t xml:space="preserve">Worms  </t>
  </si>
  <si>
    <t>Big</t>
  </si>
  <si>
    <t>Worms 2 : Armageddon</t>
  </si>
  <si>
    <t>Zuma</t>
  </si>
  <si>
    <t>Castle Vania</t>
  </si>
  <si>
    <t>Twisted Metal 2</t>
  </si>
  <si>
    <t>Records of Agarest War</t>
  </si>
  <si>
    <t>Download</t>
  </si>
  <si>
    <t>Rainbow Moon</t>
  </si>
  <si>
    <t>Legasista</t>
  </si>
  <si>
    <t>Media</t>
  </si>
  <si>
    <t>Name</t>
  </si>
  <si>
    <t>Action</t>
  </si>
  <si>
    <t>Who</t>
  </si>
  <si>
    <t>For</t>
  </si>
  <si>
    <t>Bought for</t>
  </si>
  <si>
    <t>Gain/Loss</t>
  </si>
  <si>
    <t>DS</t>
  </si>
  <si>
    <t>Advance Wars - Days of Ruin</t>
  </si>
  <si>
    <t>sold to</t>
  </si>
  <si>
    <t>Ebay</t>
  </si>
  <si>
    <t>Advance Wars - Dual Strike</t>
  </si>
  <si>
    <t>Dragon Quest Heroes</t>
  </si>
  <si>
    <t>Final Fantasy Fables : Chocobo</t>
  </si>
  <si>
    <t>Lunar Knights</t>
  </si>
  <si>
    <t>Magical Starsign</t>
  </si>
  <si>
    <t>Metroid Prime Pinball</t>
  </si>
  <si>
    <t>Puzzle Quest - Warlords</t>
  </si>
  <si>
    <t>Spectrobes</t>
  </si>
  <si>
    <t>Starfox Command</t>
  </si>
  <si>
    <t>Wario Ware Touched</t>
  </si>
  <si>
    <t>Front Mission</t>
  </si>
  <si>
    <t>Overlord Minions</t>
  </si>
  <si>
    <t>Big Brain Academy</t>
  </si>
  <si>
    <t>Kingdom Heart 258/2 days</t>
  </si>
  <si>
    <t>Desktop Tower Defense</t>
  </si>
  <si>
    <t>Scribblenauts</t>
  </si>
  <si>
    <t>Cake Mania 3</t>
  </si>
  <si>
    <t>SNK Capcom Card Fighters</t>
  </si>
  <si>
    <t>Cooking Mama</t>
  </si>
  <si>
    <t>SNK vs. Capcom Card Fighters</t>
  </si>
  <si>
    <t>Crime Scene</t>
  </si>
  <si>
    <t>Kingdom Hearts 358/2 Days</t>
  </si>
  <si>
    <t>Super Mario Land</t>
  </si>
  <si>
    <t>Harvest Moon GBC1</t>
  </si>
  <si>
    <t>Doom 2</t>
  </si>
  <si>
    <t>Tales of Symphonia</t>
  </si>
  <si>
    <t>Harvest Moon - Wonderful Life</t>
  </si>
  <si>
    <t>Legend of Zelda Four Swords</t>
  </si>
  <si>
    <t>Baten Kaitos</t>
  </si>
  <si>
    <t>Zelda Wind Waker</t>
  </si>
  <si>
    <t>Metroid Prime</t>
  </si>
  <si>
    <t>Spyro</t>
  </si>
  <si>
    <t>Custom Robo</t>
  </si>
  <si>
    <t>Skies of Arcadia</t>
  </si>
  <si>
    <t>FF Crystal Chronicles</t>
  </si>
  <si>
    <t>Namcomuseum</t>
  </si>
  <si>
    <t>All</t>
  </si>
  <si>
    <t>Virtua Fighter 5</t>
  </si>
  <si>
    <t>Virtua Tennis</t>
  </si>
  <si>
    <t>Valkyria Chronicles</t>
  </si>
  <si>
    <t>Vegas 1</t>
  </si>
  <si>
    <t>Vegas 2</t>
  </si>
  <si>
    <t>Civilization Revolution</t>
  </si>
  <si>
    <t>Brothers in Arms Hell's Deluxe</t>
  </si>
  <si>
    <t>Motorstorm</t>
  </si>
  <si>
    <t>Tiger Woods 08</t>
  </si>
  <si>
    <t>NFL Tour</t>
  </si>
  <si>
    <t>Lego Star Wars Complete Saga</t>
  </si>
  <si>
    <t>NHL 09</t>
  </si>
  <si>
    <t>Uncharted (X7)</t>
  </si>
  <si>
    <t>Buzz Quiz World</t>
  </si>
  <si>
    <t>XBOX 360</t>
  </si>
  <si>
    <t>XBOX Live Arcade</t>
  </si>
  <si>
    <t>Armored Core</t>
  </si>
  <si>
    <t>Ninety-Nine Nights</t>
  </si>
  <si>
    <t>Project Sylpheed</t>
  </si>
  <si>
    <t>Devil May Cry 4</t>
  </si>
  <si>
    <t>White Stripes - Get Behind Me</t>
  </si>
  <si>
    <t>Boards of Canada Camfire</t>
  </si>
  <si>
    <t>Depeche Mode - Songs of Faith</t>
  </si>
  <si>
    <t>Coldplay Parachutes</t>
  </si>
  <si>
    <t>Inflames Sense of Purpose</t>
  </si>
  <si>
    <t>Best of Led Zeppelin</t>
  </si>
  <si>
    <t>Elton John Greatest Hits</t>
  </si>
  <si>
    <t>Apocalyptica - Apocalyptica</t>
  </si>
  <si>
    <t>Coldplay XY</t>
  </si>
  <si>
    <t>Coldplay Rush of Blood</t>
  </si>
  <si>
    <t>Apocalyptica Amplified</t>
  </si>
  <si>
    <t>Rush 2112</t>
  </si>
  <si>
    <t>Iron Maiden Killers</t>
  </si>
  <si>
    <t>Incubus Make Yourself</t>
  </si>
  <si>
    <t>Red Hot Chili Stadium</t>
  </si>
  <si>
    <t>Nirvana Nirvana</t>
  </si>
  <si>
    <t>Bullet for my Valentine Hand of Blood</t>
  </si>
  <si>
    <t>Dragon Force Rampage</t>
  </si>
  <si>
    <t>System of a Down Mesmerize</t>
  </si>
  <si>
    <t>Sarah Harmer 1</t>
  </si>
  <si>
    <t>Sarah Harmer 2</t>
  </si>
  <si>
    <t>Red Weezer</t>
  </si>
  <si>
    <t>Killers Hot Fuss</t>
  </si>
  <si>
    <t>Depeche Mode Playing the Angel</t>
  </si>
  <si>
    <t>Tiesto</t>
  </si>
  <si>
    <t>Dead Letters Rasnus</t>
  </si>
  <si>
    <t>A Beautiful Lie by 30 Seconds to Mars</t>
  </si>
  <si>
    <t>Crime of the Century Supertramp</t>
  </si>
  <si>
    <t>Notorious Duran Duran</t>
  </si>
  <si>
    <t>Get Rich or Die Tryin'</t>
  </si>
  <si>
    <t>Beautiful Mind, A</t>
  </si>
  <si>
    <t>Masson</t>
  </si>
  <si>
    <t>Braveheart</t>
  </si>
  <si>
    <t>Charlie and the Chocolate Factory</t>
  </si>
  <si>
    <t>Equilibrium</t>
  </si>
  <si>
    <t>Fight Club</t>
  </si>
  <si>
    <t>Lost in Translation</t>
  </si>
  <si>
    <t>Napoleon Dynamite</t>
  </si>
  <si>
    <t>Vanilla Sky</t>
  </si>
  <si>
    <t>Gladiator Extended</t>
  </si>
  <si>
    <t>Bluray</t>
  </si>
  <si>
    <t>Overlord Dark Legend</t>
  </si>
  <si>
    <t>Sushi go Round</t>
  </si>
  <si>
    <t>Total Sales</t>
  </si>
  <si>
    <t>Total Value Gain/Loss</t>
  </si>
  <si>
    <t>Total Spent</t>
  </si>
  <si>
    <t>Total Games Owned Registered</t>
  </si>
  <si>
    <t>Total Selling Value</t>
  </si>
  <si>
    <t>Includes : PS1, PS2, PS3, GC, NDS, NES, SNES, PC</t>
  </si>
  <si>
    <t>EBAY</t>
  </si>
  <si>
    <t>Amazon</t>
  </si>
  <si>
    <t>Wish List</t>
  </si>
  <si>
    <t>Price Want</t>
  </si>
  <si>
    <t>Price New</t>
  </si>
  <si>
    <t>Price Used</t>
  </si>
  <si>
    <t>Ratchet All4One</t>
  </si>
  <si>
    <t>Ratchet Full Assault</t>
  </si>
  <si>
    <t>Wild Arms 4</t>
  </si>
  <si>
    <t>Wild Arms 5</t>
  </si>
  <si>
    <t>MS Saga: A New Dawn</t>
  </si>
  <si>
    <t>Shining Tears</t>
  </si>
  <si>
    <t>Graffiti Kingdom</t>
  </si>
  <si>
    <t>X-Men Legends II: Rise of Apocalypse</t>
  </si>
  <si>
    <t>Marvel: Ultimate Alliance</t>
  </si>
  <si>
    <t>Justice League Heroes</t>
  </si>
  <si>
    <t>Metal Saga</t>
  </si>
  <si>
    <t>Growlanser: Heritage of War</t>
  </si>
  <si>
    <t>.hack 4</t>
  </si>
  <si>
    <t>.hack//G.U. vol. 1//Rebirth</t>
  </si>
  <si>
    <t>.hack//G.U. vol. 2//Reminisce</t>
  </si>
  <si>
    <t>.hack//G.U. vol. 3//Redemption</t>
  </si>
  <si>
    <t>Champions: Return to Arms</t>
  </si>
  <si>
    <t>Ys</t>
  </si>
  <si>
    <t>Earthbound</t>
  </si>
  <si>
    <t>Gemfire</t>
  </si>
  <si>
    <t>Genghis Khan II: Clan of the Gray Wolf</t>
  </si>
  <si>
    <t>Harvest Moon</t>
  </si>
  <si>
    <t>Megaman X</t>
  </si>
  <si>
    <t>Megaman X2</t>
  </si>
  <si>
    <t>Megaman X3</t>
  </si>
  <si>
    <t>Ogre Battle: March of the Black Queen</t>
  </si>
  <si>
    <t>Romance of the Three Kingdoms II</t>
  </si>
  <si>
    <t>Romance of the Three Kingdoms 3</t>
  </si>
  <si>
    <t>Romance of the Three Kingdoms 4</t>
  </si>
  <si>
    <t>R-Type III: The Third Lightning</t>
  </si>
  <si>
    <t>Secret of Mana</t>
  </si>
  <si>
    <t>Super Bomberman 2</t>
  </si>
  <si>
    <t>Super Mario RPG: Legend of the Seven Stars</t>
  </si>
  <si>
    <t>Super Ninja Boy</t>
  </si>
  <si>
    <t>Super Punch-Out!!</t>
  </si>
  <si>
    <t>Teenage Mutant Ninja Turtles IV: Turtles in Time</t>
  </si>
  <si>
    <t>Uncharted Waters: New Horizons</t>
  </si>
  <si>
    <t>Ultimate Mortal Kombat 3</t>
  </si>
  <si>
    <t>witch</t>
  </si>
  <si>
    <t>Azuredream</t>
  </si>
  <si>
    <t>Grand K ps4</t>
  </si>
  <si>
    <t>GrnadK Ps3</t>
  </si>
  <si>
    <t>wiiu bayon2</t>
  </si>
  <si>
    <t>wildarms 2</t>
  </si>
  <si>
    <t>megaman</t>
  </si>
  <si>
    <t>megamanx</t>
  </si>
  <si>
    <t>rune3</t>
  </si>
  <si>
    <t>SELLING FOR OTHERS</t>
  </si>
  <si>
    <t>Projected</t>
  </si>
  <si>
    <t>JF Cut</t>
  </si>
  <si>
    <t>eBay Cut</t>
  </si>
  <si>
    <t>My Cut</t>
  </si>
  <si>
    <t>PSP</t>
  </si>
  <si>
    <t>Final Fantasy</t>
  </si>
  <si>
    <t>DBZ Burst Limit</t>
  </si>
  <si>
    <t>I gave</t>
  </si>
  <si>
    <t>J Cut</t>
  </si>
  <si>
    <t>Blue Dragon</t>
  </si>
  <si>
    <t>I owe JF</t>
  </si>
  <si>
    <t>EB Cut</t>
  </si>
  <si>
    <t>Super DBZ</t>
  </si>
  <si>
    <t>M Cut</t>
  </si>
  <si>
    <t>Profit</t>
  </si>
  <si>
    <t>John Cut</t>
  </si>
  <si>
    <t>Viva Pinata 2</t>
  </si>
  <si>
    <t>Kameo</t>
  </si>
  <si>
    <t>I owe John</t>
  </si>
  <si>
    <t>Indiana Jones</t>
  </si>
  <si>
    <t>Two Worlds</t>
  </si>
  <si>
    <t>Viva Pinata</t>
  </si>
  <si>
    <t>DDR</t>
  </si>
  <si>
    <t>XBOX</t>
  </si>
  <si>
    <t>Fable</t>
  </si>
  <si>
    <t>Box of</t>
  </si>
  <si>
    <t>MarioKart 64</t>
  </si>
  <si>
    <t>Rayman 2</t>
  </si>
  <si>
    <t>waverace</t>
  </si>
  <si>
    <t>tomb raider GBC</t>
  </si>
  <si>
    <t>Standard Controllers</t>
  </si>
  <si>
    <t>Extra Controllers</t>
  </si>
  <si>
    <t>Tvcable</t>
  </si>
  <si>
    <t>Power</t>
  </si>
  <si>
    <t>BuyPrice</t>
  </si>
  <si>
    <t>evalue</t>
  </si>
  <si>
    <t>avalue</t>
  </si>
  <si>
    <t>note</t>
  </si>
  <si>
    <t>Snes</t>
  </si>
  <si>
    <t>4</t>
  </si>
  <si>
    <t>rca</t>
  </si>
  <si>
    <t>Small Snes</t>
  </si>
  <si>
    <t>1</t>
  </si>
  <si>
    <t>2</t>
  </si>
  <si>
    <t>coax</t>
  </si>
  <si>
    <t>Broken Snes</t>
  </si>
  <si>
    <t>3</t>
  </si>
  <si>
    <t>0</t>
  </si>
  <si>
    <t>Yellow Snes</t>
  </si>
  <si>
    <t>Broken Flappy Door</t>
  </si>
  <si>
    <t>PS2 Slim</t>
  </si>
  <si>
    <t>PS2 Slim NEW</t>
  </si>
  <si>
    <t>ps2 Slim</t>
  </si>
  <si>
    <t>nes</t>
  </si>
  <si>
    <t>n64</t>
  </si>
  <si>
    <t>n64 Green</t>
  </si>
  <si>
    <t>Expansion Pak</t>
  </si>
  <si>
    <t>8</t>
  </si>
  <si>
    <t>hdmi</t>
  </si>
  <si>
    <t>3 controller new sealed</t>
  </si>
  <si>
    <t>PS1/2 Memory Card Adapter</t>
  </si>
  <si>
    <t>GBA SP</t>
  </si>
  <si>
    <t>NDS Lite</t>
  </si>
  <si>
    <t xml:space="preserve">3DS XL Zelda </t>
  </si>
  <si>
    <t>Black Wii</t>
  </si>
  <si>
    <t>Gamecube</t>
  </si>
  <si>
    <t>Extra snes acc</t>
  </si>
  <si>
    <t>Sega Genesis</t>
  </si>
  <si>
    <t>Colecovision</t>
  </si>
  <si>
    <t>Platform</t>
  </si>
  <si>
    <t>Payed</t>
  </si>
  <si>
    <t>Ebvalue</t>
  </si>
  <si>
    <t>AmaValue</t>
  </si>
  <si>
    <t xml:space="preserve">Skyrim Legendary Edition </t>
  </si>
  <si>
    <t>very good</t>
  </si>
  <si>
    <t>top corner of manuel is bent</t>
  </si>
  <si>
    <t>Used - Complete</t>
  </si>
  <si>
    <t>Xenosaga 3</t>
  </si>
  <si>
    <t>Sakura Wars</t>
  </si>
  <si>
    <t>good</t>
  </si>
  <si>
    <t>Used - Complete - Sticker</t>
  </si>
  <si>
    <t>Xenosaga 1</t>
  </si>
  <si>
    <t>case clip broken</t>
  </si>
  <si>
    <t>Final Fantasy 10</t>
  </si>
  <si>
    <t>dented case and used manual</t>
  </si>
  <si>
    <t>french manual small dent in case</t>
  </si>
  <si>
    <t>Metal Gear Solid 2</t>
  </si>
  <si>
    <t>case plastic dented, manual corner bent</t>
  </si>
  <si>
    <t>Damaged Case</t>
  </si>
  <si>
    <t>french manual</t>
  </si>
  <si>
    <t>Lego HarryPotter 1-4</t>
  </si>
  <si>
    <t>Very good</t>
  </si>
  <si>
    <t>french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</si>
</sst>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$&quot;"/>
    <numFmt numFmtId="165" formatCode="#,##0.00\ &quot;$&quot;"/>
    <numFmt numFmtId="166" formatCode="#,##0.00\ [$$-C0C]_ ;[Red]\-#,##0.00\ [$$-C0C]\ "/>
    <numFmt numFmtId="167" formatCode="#,##0;[Red]#,##0"/>
    <numFmt numFmtId="168" formatCode="yyyy/mm/dd;@"/>
    <numFmt numFmtId="169" formatCode="0;[Red]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5" tint="0.39997558519241921"/>
      <name val="Arial"/>
      <family val="2"/>
    </font>
    <font>
      <sz val="36"/>
      <name val="Arial"/>
      <family val="2"/>
    </font>
    <font>
      <sz val="10"/>
      <color rgb="FFFF0000"/>
      <name val="Arial"/>
      <family val="2"/>
    </font>
    <font>
      <sz val="10"/>
      <color theme="1" tint="0.499984740745262"/>
      <name val="Arial"/>
      <family val="2"/>
    </font>
    <font>
      <sz val="10"/>
      <color rgb="FF33CC33"/>
      <name val="Arial"/>
      <family val="2"/>
    </font>
    <font>
      <sz val="10"/>
      <color rgb="FF00B050"/>
      <name val="Arial"/>
      <family val="2"/>
    </font>
    <font>
      <sz val="10"/>
      <color rgb="FF00800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Arial"/>
      <family val="2"/>
    </font>
    <font>
      <sz val="10"/>
      <color theme="1" tint="4.9989318521683403E-2"/>
      <name val="Arial"/>
      <family val="2"/>
    </font>
    <font>
      <sz val="10"/>
      <color rgb="FFC00000"/>
      <name val="Arial"/>
      <family val="2"/>
    </font>
    <font>
      <b/>
      <i/>
      <sz val="10"/>
      <color rgb="FF00B050"/>
      <name val="Arial"/>
      <family val="2"/>
    </font>
    <font>
      <u/>
      <sz val="10"/>
      <color theme="10"/>
      <name val="Arial"/>
      <family val="2"/>
    </font>
    <font>
      <sz val="10"/>
      <color rgb="FFFFC000"/>
      <name val="Arial"/>
      <family val="2"/>
    </font>
    <font>
      <sz val="10"/>
      <color rgb="FF00B0F0"/>
      <name val="Arial"/>
      <family val="2"/>
    </font>
    <font>
      <sz val="10"/>
      <color theme="7" tint="0.39997558519241921"/>
      <name val="Arial"/>
      <family val="2"/>
    </font>
    <font>
      <sz val="10"/>
      <color theme="0" tint="-0.34998626667073579"/>
      <name val="Arial"/>
      <family val="2"/>
    </font>
    <font>
      <i/>
      <sz val="10"/>
      <name val="Arial"/>
      <family val="2"/>
    </font>
    <font>
      <sz val="10"/>
      <color theme="1"/>
      <name val="Arial"/>
    </font>
    <font>
      <sz val="10"/>
      <color rgb="FF33CC33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166" fontId="0" fillId="0" borderId="0"/>
    <xf numFmtId="166" fontId="23" fillId="0" borderId="0" applyNumberFormat="0" applyFill="0" applyBorder="0" applyAlignment="0" applyProtection="0"/>
  </cellStyleXfs>
  <cellXfs count="146">
    <xf numFmtId="166" fontId="0" fillId="0" borderId="0" xfId="0"/>
    <xf numFmtId="1" fontId="0" fillId="0" borderId="0" xfId="0" applyNumberFormat="1"/>
    <xf numFmtId="1" fontId="3" fillId="0" borderId="0" xfId="0" applyNumberFormat="1" applyFont="1"/>
    <xf numFmtId="166" fontId="3" fillId="0" borderId="0" xfId="0" applyFont="1"/>
    <xf numFmtId="1" fontId="4" fillId="0" borderId="0" xfId="0" applyNumberFormat="1" applyFont="1"/>
    <xf numFmtId="166" fontId="4" fillId="0" borderId="0" xfId="0" applyFont="1"/>
    <xf numFmtId="164" fontId="0" fillId="0" borderId="0" xfId="0" applyNumberFormat="1"/>
    <xf numFmtId="1" fontId="5" fillId="0" borderId="0" xfId="0" applyNumberFormat="1" applyFont="1"/>
    <xf numFmtId="1" fontId="6" fillId="0" borderId="0" xfId="0" applyNumberFormat="1" applyFont="1"/>
    <xf numFmtId="166" fontId="7" fillId="0" borderId="0" xfId="0" applyFont="1"/>
    <xf numFmtId="166" fontId="1" fillId="0" borderId="0" xfId="0" applyFont="1"/>
    <xf numFmtId="9" fontId="0" fillId="0" borderId="0" xfId="0" applyNumberFormat="1"/>
    <xf numFmtId="166" fontId="0" fillId="0" borderId="0" xfId="0" applyAlignment="1">
      <alignment horizontal="center"/>
    </xf>
    <xf numFmtId="166" fontId="0" fillId="0" borderId="0" xfId="0" applyAlignment="1">
      <alignment horizontal="left"/>
    </xf>
    <xf numFmtId="1" fontId="1" fillId="0" borderId="0" xfId="0" applyNumberFormat="1" applyFont="1"/>
    <xf numFmtId="166" fontId="0" fillId="0" borderId="0" xfId="0" applyAlignment="1">
      <alignment horizontal="right"/>
    </xf>
    <xf numFmtId="165" fontId="0" fillId="0" borderId="0" xfId="0" applyNumberFormat="1"/>
    <xf numFmtId="1" fontId="8" fillId="0" borderId="0" xfId="0" applyNumberFormat="1" applyFont="1"/>
    <xf numFmtId="1" fontId="9" fillId="0" borderId="0" xfId="0" applyNumberFormat="1" applyFont="1" applyAlignment="1">
      <alignment horizontal="right"/>
    </xf>
    <xf numFmtId="166" fontId="9" fillId="0" borderId="0" xfId="0" applyFont="1"/>
    <xf numFmtId="1" fontId="9" fillId="0" borderId="0" xfId="0" applyNumberFormat="1" applyFont="1"/>
    <xf numFmtId="166" fontId="0" fillId="0" borderId="1" xfId="0" applyBorder="1"/>
    <xf numFmtId="166" fontId="0" fillId="0" borderId="2" xfId="0" applyBorder="1"/>
    <xf numFmtId="166" fontId="9" fillId="0" borderId="2" xfId="0" applyFont="1" applyBorder="1"/>
    <xf numFmtId="166" fontId="3" fillId="0" borderId="2" xfId="0" applyFont="1" applyBorder="1"/>
    <xf numFmtId="166" fontId="3" fillId="0" borderId="3" xfId="0" applyFont="1" applyBorder="1"/>
    <xf numFmtId="166" fontId="10" fillId="0" borderId="4" xfId="0" applyFont="1" applyBorder="1"/>
    <xf numFmtId="166" fontId="10" fillId="0" borderId="5" xfId="0" applyFont="1" applyBorder="1"/>
    <xf numFmtId="166" fontId="10" fillId="0" borderId="6" xfId="0" applyFont="1" applyBorder="1"/>
    <xf numFmtId="166" fontId="0" fillId="0" borderId="5" xfId="0" applyBorder="1"/>
    <xf numFmtId="166" fontId="0" fillId="0" borderId="6" xfId="0" applyBorder="1"/>
    <xf numFmtId="166" fontId="0" fillId="0" borderId="8" xfId="0" applyBorder="1"/>
    <xf numFmtId="166" fontId="8" fillId="0" borderId="0" xfId="0" applyFont="1"/>
    <xf numFmtId="166" fontId="6" fillId="2" borderId="9" xfId="0" applyFont="1" applyFill="1" applyBorder="1"/>
    <xf numFmtId="166" fontId="0" fillId="0" borderId="11" xfId="0" applyBorder="1"/>
    <xf numFmtId="166" fontId="0" fillId="0" borderId="13" xfId="0" applyBorder="1"/>
    <xf numFmtId="166" fontId="8" fillId="0" borderId="2" xfId="0" applyFont="1" applyBorder="1"/>
    <xf numFmtId="166" fontId="11" fillId="0" borderId="0" xfId="0" applyFont="1"/>
    <xf numFmtId="166" fontId="12" fillId="0" borderId="0" xfId="0" applyFont="1"/>
    <xf numFmtId="166" fontId="14" fillId="0" borderId="0" xfId="0" applyFont="1"/>
    <xf numFmtId="166" fontId="15" fillId="0" borderId="0" xfId="0" applyFont="1"/>
    <xf numFmtId="0" fontId="0" fillId="0" borderId="0" xfId="0" applyNumberFormat="1"/>
    <xf numFmtId="0" fontId="3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0" fillId="0" borderId="0" xfId="0" applyNumberFormat="1" applyAlignment="1">
      <alignment horizontal="center"/>
    </xf>
    <xf numFmtId="166" fontId="13" fillId="0" borderId="0" xfId="0" applyFont="1"/>
    <xf numFmtId="10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16" fillId="0" borderId="0" xfId="0" applyFont="1"/>
    <xf numFmtId="167" fontId="8" fillId="0" borderId="0" xfId="0" applyNumberFormat="1" applyFont="1"/>
    <xf numFmtId="164" fontId="3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4" fillId="0" borderId="0" xfId="0" applyNumberFormat="1" applyFont="1"/>
    <xf numFmtId="168" fontId="0" fillId="0" borderId="0" xfId="0" applyNumberFormat="1"/>
    <xf numFmtId="14" fontId="9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167" fontId="0" fillId="0" borderId="0" xfId="0" applyNumberFormat="1" applyAlignment="1">
      <alignment horizontal="center"/>
    </xf>
    <xf numFmtId="169" fontId="0" fillId="0" borderId="0" xfId="0" applyNumberFormat="1"/>
    <xf numFmtId="14" fontId="8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166" fontId="1" fillId="0" borderId="2" xfId="0" applyFont="1" applyBorder="1"/>
    <xf numFmtId="164" fontId="13" fillId="0" borderId="0" xfId="0" applyNumberFormat="1" applyFont="1"/>
    <xf numFmtId="164" fontId="14" fillId="0" borderId="0" xfId="0" applyNumberFormat="1" applyFont="1"/>
    <xf numFmtId="164" fontId="11" fillId="0" borderId="0" xfId="0" applyNumberFormat="1" applyFont="1"/>
    <xf numFmtId="166" fontId="1" fillId="0" borderId="0" xfId="0" applyFont="1" applyAlignment="1">
      <alignment horizontal="right"/>
    </xf>
    <xf numFmtId="1" fontId="20" fillId="0" borderId="0" xfId="0" applyNumberFormat="1" applyFont="1"/>
    <xf numFmtId="167" fontId="20" fillId="0" borderId="0" xfId="0" applyNumberFormat="1" applyFont="1"/>
    <xf numFmtId="166" fontId="20" fillId="0" borderId="0" xfId="0" applyFont="1"/>
    <xf numFmtId="14" fontId="20" fillId="0" borderId="0" xfId="0" applyNumberFormat="1" applyFont="1"/>
    <xf numFmtId="166" fontId="21" fillId="0" borderId="0" xfId="0" applyFont="1"/>
    <xf numFmtId="166" fontId="1" fillId="0" borderId="0" xfId="0" quotePrefix="1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49" fontId="8" fillId="0" borderId="0" xfId="0" applyNumberFormat="1" applyFont="1" applyAlignment="1">
      <alignment horizontal="right"/>
    </xf>
    <xf numFmtId="49" fontId="20" fillId="0" borderId="0" xfId="0" applyNumberFormat="1" applyFont="1" applyAlignment="1">
      <alignment horizontal="right"/>
    </xf>
    <xf numFmtId="166" fontId="22" fillId="0" borderId="0" xfId="0" applyFont="1"/>
    <xf numFmtId="166" fontId="23" fillId="0" borderId="0" xfId="1"/>
    <xf numFmtId="164" fontId="8" fillId="3" borderId="0" xfId="0" applyNumberFormat="1" applyFont="1" applyFill="1"/>
    <xf numFmtId="166" fontId="8" fillId="0" borderId="0" xfId="0" applyFont="1" applyAlignment="1">
      <alignment horizontal="center"/>
    </xf>
    <xf numFmtId="166" fontId="1" fillId="0" borderId="0" xfId="0" applyFont="1" applyAlignment="1">
      <alignment horizontal="center"/>
    </xf>
    <xf numFmtId="166" fontId="24" fillId="0" borderId="0" xfId="0" applyFont="1"/>
    <xf numFmtId="166" fontId="25" fillId="0" borderId="0" xfId="0" applyFont="1"/>
    <xf numFmtId="166" fontId="26" fillId="0" borderId="0" xfId="0" applyFont="1"/>
    <xf numFmtId="166" fontId="6" fillId="0" borderId="0" xfId="0" applyFont="1"/>
    <xf numFmtId="9" fontId="6" fillId="0" borderId="0" xfId="0" applyNumberFormat="1" applyFont="1"/>
    <xf numFmtId="14" fontId="6" fillId="0" borderId="0" xfId="0" applyNumberFormat="1" applyFont="1"/>
    <xf numFmtId="165" fontId="0" fillId="0" borderId="0" xfId="0" applyNumberFormat="1" applyAlignment="1">
      <alignment horizontal="right"/>
    </xf>
    <xf numFmtId="165" fontId="11" fillId="0" borderId="0" xfId="0" applyNumberFormat="1" applyFont="1" applyAlignment="1">
      <alignment horizontal="right"/>
    </xf>
    <xf numFmtId="165" fontId="14" fillId="0" borderId="0" xfId="0" applyNumberFormat="1" applyFont="1" applyAlignment="1">
      <alignment horizontal="right"/>
    </xf>
    <xf numFmtId="0" fontId="6" fillId="0" borderId="0" xfId="0" applyNumberFormat="1" applyFont="1"/>
    <xf numFmtId="49" fontId="1" fillId="0" borderId="0" xfId="0" applyNumberFormat="1" applyFont="1" applyAlignment="1">
      <alignment horizontal="right"/>
    </xf>
    <xf numFmtId="167" fontId="1" fillId="0" borderId="0" xfId="0" applyNumberFormat="1" applyFont="1"/>
    <xf numFmtId="1" fontId="12" fillId="4" borderId="0" xfId="0" applyNumberFormat="1" applyFont="1" applyFill="1"/>
    <xf numFmtId="49" fontId="12" fillId="4" borderId="0" xfId="0" applyNumberFormat="1" applyFont="1" applyFill="1" applyAlignment="1">
      <alignment horizontal="right"/>
    </xf>
    <xf numFmtId="166" fontId="12" fillId="4" borderId="0" xfId="0" applyFont="1" applyFill="1"/>
    <xf numFmtId="164" fontId="1" fillId="4" borderId="0" xfId="0" applyNumberFormat="1" applyFont="1" applyFill="1"/>
    <xf numFmtId="14" fontId="12" fillId="4" borderId="0" xfId="0" applyNumberFormat="1" applyFont="1" applyFill="1"/>
    <xf numFmtId="167" fontId="12" fillId="4" borderId="0" xfId="0" applyNumberFormat="1" applyFont="1" applyFill="1"/>
    <xf numFmtId="1" fontId="27" fillId="4" borderId="0" xfId="0" applyNumberFormat="1" applyFont="1" applyFill="1"/>
    <xf numFmtId="49" fontId="27" fillId="4" borderId="0" xfId="0" applyNumberFormat="1" applyFont="1" applyFill="1" applyAlignment="1">
      <alignment horizontal="right"/>
    </xf>
    <xf numFmtId="166" fontId="27" fillId="4" borderId="0" xfId="0" applyFont="1" applyFill="1"/>
    <xf numFmtId="164" fontId="27" fillId="4" borderId="0" xfId="0" applyNumberFormat="1" applyFont="1" applyFill="1"/>
    <xf numFmtId="14" fontId="27" fillId="4" borderId="0" xfId="0" applyNumberFormat="1" applyFont="1" applyFill="1"/>
    <xf numFmtId="167" fontId="27" fillId="4" borderId="0" xfId="0" applyNumberFormat="1" applyFont="1" applyFill="1"/>
    <xf numFmtId="1" fontId="19" fillId="4" borderId="0" xfId="0" applyNumberFormat="1" applyFont="1" applyFill="1"/>
    <xf numFmtId="49" fontId="19" fillId="4" borderId="0" xfId="0" applyNumberFormat="1" applyFont="1" applyFill="1" applyAlignment="1">
      <alignment horizontal="right"/>
    </xf>
    <xf numFmtId="166" fontId="19" fillId="4" borderId="0" xfId="0" applyFont="1" applyFill="1"/>
    <xf numFmtId="14" fontId="19" fillId="4" borderId="0" xfId="0" applyNumberFormat="1" applyFont="1" applyFill="1"/>
    <xf numFmtId="167" fontId="19" fillId="4" borderId="0" xfId="0" applyNumberFormat="1" applyFont="1" applyFill="1"/>
    <xf numFmtId="1" fontId="0" fillId="4" borderId="0" xfId="0" applyNumberFormat="1" applyFill="1"/>
    <xf numFmtId="166" fontId="0" fillId="4" borderId="0" xfId="0" applyFill="1"/>
    <xf numFmtId="14" fontId="0" fillId="4" borderId="0" xfId="0" applyNumberFormat="1" applyFill="1"/>
    <xf numFmtId="167" fontId="0" fillId="4" borderId="0" xfId="0" applyNumberFormat="1" applyFill="1"/>
    <xf numFmtId="164" fontId="19" fillId="4" borderId="0" xfId="0" applyNumberFormat="1" applyFont="1" applyFill="1"/>
    <xf numFmtId="166" fontId="27" fillId="0" borderId="0" xfId="0" applyFont="1"/>
    <xf numFmtId="166" fontId="14" fillId="0" borderId="0" xfId="0" applyFont="1" applyAlignment="1">
      <alignment horizontal="center"/>
    </xf>
    <xf numFmtId="14" fontId="1" fillId="5" borderId="0" xfId="0" applyNumberFormat="1" applyFont="1" applyFill="1"/>
    <xf numFmtId="14" fontId="8" fillId="5" borderId="0" xfId="0" applyNumberFormat="1" applyFont="1" applyFill="1"/>
    <xf numFmtId="166" fontId="28" fillId="0" borderId="0" xfId="0" applyFont="1"/>
    <xf numFmtId="1" fontId="29" fillId="0" borderId="0" xfId="0" applyNumberFormat="1" applyFont="1"/>
    <xf numFmtId="0" fontId="29" fillId="0" borderId="0" xfId="0" applyNumberFormat="1" applyFont="1"/>
    <xf numFmtId="166" fontId="29" fillId="0" borderId="0" xfId="0" applyFont="1"/>
    <xf numFmtId="164" fontId="29" fillId="0" borderId="0" xfId="0" applyNumberFormat="1" applyFont="1"/>
    <xf numFmtId="14" fontId="29" fillId="0" borderId="0" xfId="0" applyNumberFormat="1" applyFont="1"/>
    <xf numFmtId="164" fontId="30" fillId="0" borderId="0" xfId="0" applyNumberFormat="1" applyFont="1"/>
    <xf numFmtId="14" fontId="29" fillId="5" borderId="0" xfId="0" applyNumberFormat="1" applyFont="1" applyFill="1"/>
    <xf numFmtId="1" fontId="27" fillId="0" borderId="0" xfId="0" applyNumberFormat="1" applyFont="1"/>
    <xf numFmtId="0" fontId="27" fillId="0" borderId="0" xfId="0" applyNumberFormat="1" applyFont="1"/>
    <xf numFmtId="164" fontId="27" fillId="0" borderId="0" xfId="0" applyNumberFormat="1" applyFont="1"/>
    <xf numFmtId="14" fontId="27" fillId="5" borderId="0" xfId="0" applyNumberFormat="1" applyFont="1" applyFill="1"/>
    <xf numFmtId="166" fontId="27" fillId="0" borderId="2" xfId="0" applyFont="1" applyBorder="1"/>
    <xf numFmtId="166" fontId="1" fillId="6" borderId="0" xfId="0" applyFont="1" applyFill="1" applyAlignment="1">
      <alignment horizontal="center"/>
    </xf>
    <xf numFmtId="166" fontId="0" fillId="6" borderId="0" xfId="0" applyFill="1" applyAlignment="1">
      <alignment horizontal="center"/>
    </xf>
    <xf numFmtId="166" fontId="1" fillId="4" borderId="0" xfId="0" applyFont="1" applyFill="1"/>
    <xf numFmtId="9" fontId="1" fillId="0" borderId="0" xfId="0" applyNumberFormat="1" applyFont="1"/>
    <xf numFmtId="165" fontId="1" fillId="0" borderId="0" xfId="0" applyNumberFormat="1" applyFont="1"/>
    <xf numFmtId="166" fontId="1" fillId="0" borderId="4" xfId="0" applyFont="1" applyBorder="1"/>
    <xf numFmtId="166" fontId="1" fillId="0" borderId="10" xfId="0" applyFont="1" applyBorder="1"/>
    <xf numFmtId="166" fontId="1" fillId="0" borderId="12" xfId="0" applyFont="1" applyBorder="1"/>
    <xf numFmtId="166" fontId="1" fillId="0" borderId="7" xfId="0" applyFont="1" applyBorder="1"/>
  </cellXfs>
  <cellStyles count="2">
    <cellStyle name="Hyperlink" xfId="1" builtinId="8"/>
    <cellStyle name="Normal" xfId="0" builtinId="0"/>
  </cellStyles>
  <dxfs count="4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\ &quot;$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CC33"/>
        <name val="Arial"/>
        <scheme val="none"/>
      </font>
      <numFmt numFmtId="164" formatCode="#,##0\ &quot;$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\ &quot;$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\ &quot;$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\ &quot;$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9" formatCode="yyyy/mm/dd"/>
    </dxf>
    <dxf>
      <numFmt numFmtId="0" formatCode="General"/>
    </dxf>
    <dxf>
      <numFmt numFmtId="13" formatCode="0%"/>
    </dxf>
    <dxf>
      <numFmt numFmtId="13" formatCode="0%"/>
    </dxf>
    <dxf>
      <numFmt numFmtId="166" formatCode="#,##0.00\ [$$-C0C]_ ;[Red]\-#,##0.00\ [$$-C0C]\ "/>
    </dxf>
    <dxf>
      <numFmt numFmtId="13" formatCode="0%"/>
    </dxf>
    <dxf>
      <numFmt numFmtId="166" formatCode="#,##0.00\ [$$-C0C]_ ;[Red]\-#,##0.00\ [$$-C0C]\ "/>
    </dxf>
    <dxf>
      <numFmt numFmtId="166" formatCode="#,##0.00\ [$$-C0C]_ ;[Red]\-#,##0.00\ [$$-C0C]\ "/>
    </dxf>
    <dxf>
      <numFmt numFmtId="1" formatCode="0"/>
    </dxf>
    <dxf>
      <numFmt numFmtId="0" formatCode="General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N18" totalsRowShown="0" headerRowDxfId="41" tableBorderDxfId="40">
  <autoFilter ref="B2:N18" xr:uid="{00000000-0009-0000-0100-000002000000}"/>
  <sortState ref="B3:M18">
    <sortCondition descending="1" ref="C2:C18"/>
  </sortState>
  <tableColumns count="13">
    <tableColumn id="1" xr3:uid="{00000000-0010-0000-0000-000001000000}" name="Column1"/>
    <tableColumn id="11" xr3:uid="{00000000-0010-0000-0000-00000B000000}" name="Company"/>
    <tableColumn id="10" xr3:uid="{00000000-0010-0000-0000-00000A000000}" name="Year"/>
    <tableColumn id="12" xr3:uid="{00000000-0010-0000-0000-00000C000000}" name="Column2" dataDxfId="39"/>
    <tableColumn id="2" xr3:uid="{00000000-0010-0000-0000-000002000000}" name="Items Owned" dataDxfId="38"/>
    <tableColumn id="3" xr3:uid="{00000000-0010-0000-0000-000003000000}" name="Spent $" dataDxfId="37"/>
    <tableColumn id="4" xr3:uid="{00000000-0010-0000-0000-000004000000}" name="BValue $" dataDxfId="36"/>
    <tableColumn id="5" xr3:uid="{00000000-0010-0000-0000-000005000000}" name="Value Var" dataDxfId="35">
      <calculatedColumnFormula>SUM(H3/G3)</calculatedColumnFormula>
    </tableColumn>
    <tableColumn id="6" xr3:uid="{00000000-0010-0000-0000-000006000000}" name="SValue $" dataDxfId="34"/>
    <tableColumn id="7" xr3:uid="{00000000-0010-0000-0000-000007000000}" name="Value Var2" dataDxfId="33">
      <calculatedColumnFormula>SUM(J3/G3)</calculatedColumnFormula>
    </tableColumn>
    <tableColumn id="8" xr3:uid="{00000000-0010-0000-0000-000008000000}" name="Cmplt Rate" dataDxfId="32"/>
    <tableColumn id="13" xr3:uid="{00000000-0010-0000-0000-00000D000000}" name="Need Update" dataDxfId="31">
      <calculatedColumnFormula>M3:M17</calculatedColumnFormula>
    </tableColumn>
    <tableColumn id="9" xr3:uid="{00000000-0010-0000-0000-000009000000}" name="Oldest Update" dataDxfId="3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O160" totalsRowShown="0" dataDxfId="27">
  <autoFilter ref="A1:O160" xr:uid="{00000000-0009-0000-0100-000006000000}"/>
  <sortState ref="A2:O160">
    <sortCondition ref="I1:I160"/>
  </sortState>
  <tableColumns count="15">
    <tableColumn id="1" xr3:uid="{00000000-0010-0000-0100-000001000000}" name="UPC" dataDxfId="26"/>
    <tableColumn id="2" xr3:uid="{00000000-0010-0000-0100-000002000000}" name="#Serie" dataDxfId="25"/>
    <tableColumn id="3" xr3:uid="{00000000-0010-0000-0100-000003000000}" name="Game Name" dataDxfId="24"/>
    <tableColumn id="4" xr3:uid="{00000000-0010-0000-0100-000004000000}" name="Condition" dataDxfId="23"/>
    <tableColumn id="5" xr3:uid="{00000000-0010-0000-0100-000005000000}" name="Buy Price" dataDxfId="22"/>
    <tableColumn id="6" xr3:uid="{00000000-0010-0000-0100-000006000000}" name="eBay"/>
    <tableColumn id="7" xr3:uid="{00000000-0010-0000-0100-000007000000}" name="Amaz" dataDxfId="21"/>
    <tableColumn id="8" xr3:uid="{00000000-0010-0000-0100-000008000000}" name="Column1" dataDxfId="20">
      <calculatedColumnFormula>MIN(F2:G2)</calculatedColumnFormula>
    </tableColumn>
    <tableColumn id="9" xr3:uid="{00000000-0010-0000-0100-000009000000}" name="LastValue" dataDxfId="19"/>
    <tableColumn id="10" xr3:uid="{00000000-0010-0000-0100-00000A000000}" name="Gain Loss" dataDxfId="18">
      <calculatedColumnFormula>MIN(F2:G2)-E2</calculatedColumnFormula>
    </tableColumn>
    <tableColumn id="11" xr3:uid="{00000000-0010-0000-0100-00000B000000}" name="State" dataDxfId="17"/>
    <tableColumn id="12" xr3:uid="{00000000-0010-0000-0100-00000C000000}" name="My Rating" dataDxfId="16"/>
    <tableColumn id="13" xr3:uid="{00000000-0010-0000-0100-00000D000000}" name="Intention" dataDxfId="15"/>
    <tableColumn id="14" xr3:uid="{00000000-0010-0000-0100-00000E000000}" name="Company" dataDxfId="14"/>
    <tableColumn id="15" xr3:uid="{00000000-0010-0000-0100-00000F000000}" name="Column2" dataDxfId="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04:B227" totalsRowShown="0">
  <autoFilter ref="A204:B227" xr:uid="{00000000-0009-0000-0100-000003000000}"/>
  <sortState ref="A145:B167">
    <sortCondition descending="1" ref="B144:B167"/>
  </sortState>
  <tableColumns count="2">
    <tableColumn id="1" xr3:uid="{00000000-0010-0000-0200-000001000000}" name="Game Company"/>
    <tableColumn id="2" xr3:uid="{00000000-0010-0000-0200-000002000000}" name="Number" dataDxfId="1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N165" totalsRowShown="0">
  <autoFilter ref="A1:N165" xr:uid="{00000000-0009-0000-0100-000005000000}"/>
  <sortState ref="A2:N163">
    <sortCondition ref="C1:C163"/>
  </sortState>
  <tableColumns count="14">
    <tableColumn id="1" xr3:uid="{00000000-0010-0000-0300-000001000000}" name="UPC" dataDxfId="11"/>
    <tableColumn id="2" xr3:uid="{00000000-0010-0000-0300-000002000000}" name="#Serie" dataDxfId="10"/>
    <tableColumn id="3" xr3:uid="{00000000-0010-0000-0300-000003000000}" name="Game Name" dataDxfId="9"/>
    <tableColumn id="4" xr3:uid="{00000000-0010-0000-0300-000004000000}" name="Edition" dataDxfId="8"/>
    <tableColumn id="5" xr3:uid="{00000000-0010-0000-0300-000005000000}" name="Condition" dataDxfId="7"/>
    <tableColumn id="6" xr3:uid="{00000000-0010-0000-0300-000006000000}" name="Buy Price"/>
    <tableColumn id="7" xr3:uid="{00000000-0010-0000-0300-000007000000}" name="Evalue"/>
    <tableColumn id="8" xr3:uid="{00000000-0010-0000-0300-000008000000}" name="Avalue"/>
    <tableColumn id="9" xr3:uid="{00000000-0010-0000-0300-000009000000}" name="Column1" dataDxfId="6"/>
    <tableColumn id="10" xr3:uid="{00000000-0010-0000-0300-00000A000000}" name="Date Check" dataDxfId="5"/>
    <tableColumn id="11" xr3:uid="{00000000-0010-0000-0300-00000B000000}" name="State" dataDxfId="4"/>
    <tableColumn id="12" xr3:uid="{00000000-0010-0000-0300-00000C000000}" name="My Rating" dataDxfId="3"/>
    <tableColumn id="13" xr3:uid="{00000000-0010-0000-0300-00000D000000}" name="Company" dataDxfId="2"/>
    <tableColumn id="14" xr3:uid="{00000000-0010-0000-0300-00000E000000}" name="Not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32" displayName="Table32" ref="A47:B70" totalsRowShown="0">
  <autoFilter ref="A47:B70" xr:uid="{00000000-0009-0000-0100-000001000000}"/>
  <sortState ref="A153:B175">
    <sortCondition descending="1" ref="B144:B167"/>
  </sortState>
  <tableColumns count="2">
    <tableColumn id="1" xr3:uid="{00000000-0010-0000-0400-000001000000}" name="Game Company"/>
    <tableColumn id="2" xr3:uid="{00000000-0010-0000-0400-000002000000}" name="Number" dataDxfId="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35" displayName="Table35" ref="A63:B85" totalsRowShown="0">
  <autoFilter ref="A63:B85" xr:uid="{00000000-0009-0000-0100-000004000000}"/>
  <sortState ref="A112:B132">
    <sortCondition descending="1" ref="B111:B132"/>
  </sortState>
  <tableColumns count="2">
    <tableColumn id="1" xr3:uid="{00000000-0010-0000-0500-000001000000}" name="Game Company"/>
    <tableColumn id="2" xr3:uid="{00000000-0010-0000-0500-000002000000}" name="Numbe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4"/>
  <sheetViews>
    <sheetView workbookViewId="0" xr3:uid="{AEA406A1-0E4B-5B11-9CD5-51D6E497D94C}">
      <selection activeCell="N5" sqref="N5"/>
    </sheetView>
  </sheetViews>
  <sheetFormatPr defaultRowHeight="12.75"/>
  <cols>
    <col min="1" max="1" width="2.140625" customWidth="1"/>
    <col min="2" max="4" width="10.42578125" customWidth="1"/>
    <col min="5" max="5" width="13.28515625" bestFit="1" customWidth="1"/>
    <col min="6" max="6" width="14" customWidth="1"/>
    <col min="7" max="7" width="13.42578125" customWidth="1"/>
    <col min="8" max="10" width="11.5703125" customWidth="1"/>
    <col min="11" max="11" width="12.28515625" customWidth="1"/>
    <col min="12" max="13" width="12.42578125" customWidth="1"/>
    <col min="14" max="14" width="15" style="48" customWidth="1"/>
    <col min="15" max="15" width="12.28515625" bestFit="1" customWidth="1"/>
    <col min="16" max="16" width="12.42578125" customWidth="1"/>
    <col min="17" max="17" width="11.28515625" bestFit="1" customWidth="1"/>
  </cols>
  <sheetData>
    <row r="2" spans="2:17">
      <c r="B2" t="s">
        <v>0</v>
      </c>
      <c r="C2" s="10" t="s">
        <v>1</v>
      </c>
      <c r="D2" s="10" t="s">
        <v>2</v>
      </c>
      <c r="E2" s="10" t="s">
        <v>3</v>
      </c>
      <c r="F2" t="s">
        <v>4</v>
      </c>
      <c r="G2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t="s">
        <v>10</v>
      </c>
      <c r="M2" s="10" t="s">
        <v>11</v>
      </c>
      <c r="N2" s="58" t="s">
        <v>12</v>
      </c>
      <c r="O2" s="10" t="s">
        <v>13</v>
      </c>
      <c r="P2" s="10" t="s">
        <v>14</v>
      </c>
    </row>
    <row r="3" spans="2:17">
      <c r="B3" t="s">
        <v>15</v>
      </c>
      <c r="C3" s="10" t="s">
        <v>16</v>
      </c>
      <c r="D3" s="41">
        <v>1995</v>
      </c>
      <c r="E3" s="63" t="s">
        <v>17</v>
      </c>
      <c r="F3" s="1">
        <f>SUM('PS1'!A50)</f>
        <v>32</v>
      </c>
      <c r="G3">
        <f>SUM('PS1'!A78)</f>
        <v>753</v>
      </c>
      <c r="H3">
        <f>SUM('PS1'!A52)</f>
        <v>1532.5</v>
      </c>
      <c r="I3" s="11">
        <f t="shared" ref="I3:I18" si="0">SUM(H3/G3)</f>
        <v>2.0351925630810093</v>
      </c>
      <c r="J3">
        <f>SUM('PS1'!A54)</f>
        <v>1166.625</v>
      </c>
      <c r="K3" s="11">
        <f t="shared" ref="K3:K18" si="1">SUM(J3/G3)</f>
        <v>1.5493027888446216</v>
      </c>
      <c r="L3" s="11">
        <f>SUM('PS1'!A74)</f>
        <v>0.41935483870967744</v>
      </c>
      <c r="M3" s="41"/>
      <c r="N3" s="48">
        <f>MIN('PS1'!I:I)</f>
        <v>42354</v>
      </c>
      <c r="O3" s="10" t="s">
        <v>18</v>
      </c>
      <c r="P3" s="10" t="s">
        <v>19</v>
      </c>
    </row>
    <row r="4" spans="2:17">
      <c r="B4" t="s">
        <v>20</v>
      </c>
      <c r="C4" s="10" t="s">
        <v>16</v>
      </c>
      <c r="D4" s="41">
        <v>2000</v>
      </c>
      <c r="E4" s="63" t="s">
        <v>17</v>
      </c>
      <c r="F4" s="1">
        <f>SUM('PS2'!A168)</f>
        <v>152</v>
      </c>
      <c r="G4">
        <f>SUM('PS2'!A220)</f>
        <v>5252</v>
      </c>
      <c r="H4">
        <f>SUM('PS2'!A172)</f>
        <v>5120</v>
      </c>
      <c r="I4" s="11">
        <f t="shared" si="0"/>
        <v>0.97486671744097486</v>
      </c>
      <c r="J4">
        <f>SUM('PS2'!A174)</f>
        <v>3417</v>
      </c>
      <c r="K4" s="11">
        <f t="shared" si="1"/>
        <v>0.65060929169840065</v>
      </c>
      <c r="L4" s="11">
        <f>SUM('PS2'!A202)</f>
        <v>0.47058823529411764</v>
      </c>
      <c r="M4" s="41"/>
      <c r="N4" s="48">
        <f>MIN('PS2'!I:I)</f>
        <v>41928</v>
      </c>
      <c r="O4" s="10" t="s">
        <v>21</v>
      </c>
      <c r="P4" s="10" t="s">
        <v>22</v>
      </c>
    </row>
    <row r="5" spans="2:17">
      <c r="B5" t="s">
        <v>23</v>
      </c>
      <c r="C5" s="10" t="s">
        <v>16</v>
      </c>
      <c r="D5" s="41">
        <v>2006</v>
      </c>
      <c r="E5" s="63" t="s">
        <v>17</v>
      </c>
      <c r="F5" s="1">
        <f>SUM('PS3'!A167)</f>
        <v>163</v>
      </c>
      <c r="G5">
        <f>SUM('PS3'!A169)</f>
        <v>5578</v>
      </c>
      <c r="H5">
        <f>SUM('PS3'!A173)</f>
        <v>6209</v>
      </c>
      <c r="I5" s="11">
        <f t="shared" si="0"/>
        <v>1.1131229831480818</v>
      </c>
      <c r="J5">
        <f>SUM('PS3'!A175)</f>
        <v>4584.8999999999996</v>
      </c>
      <c r="K5" s="11">
        <f t="shared" si="1"/>
        <v>0.82196127644316952</v>
      </c>
      <c r="L5" s="11">
        <f>SUM('PS3'!A191)</f>
        <v>0.87730061349693256</v>
      </c>
      <c r="M5" s="41"/>
      <c r="N5" s="48">
        <f>MIN('PS3'!J:J)</f>
        <v>41880</v>
      </c>
      <c r="P5" s="10" t="s">
        <v>24</v>
      </c>
    </row>
    <row r="6" spans="2:17">
      <c r="B6" s="10" t="s">
        <v>25</v>
      </c>
      <c r="C6" s="10" t="s">
        <v>16</v>
      </c>
      <c r="D6" s="63">
        <v>2012</v>
      </c>
      <c r="E6" s="63" t="s">
        <v>26</v>
      </c>
      <c r="F6" s="1">
        <f>SUM('PS Vita'!A28)</f>
        <v>23</v>
      </c>
      <c r="G6">
        <f>SUM('PS Vita'!A30)</f>
        <v>1297</v>
      </c>
      <c r="H6">
        <f>SUM('PS Vita'!A34)</f>
        <v>1736</v>
      </c>
      <c r="I6" s="11">
        <f t="shared" si="0"/>
        <v>1.338473400154202</v>
      </c>
      <c r="J6">
        <f>SUM('PS Vita'!A36)</f>
        <v>1377.85</v>
      </c>
      <c r="K6" s="11">
        <f t="shared" si="1"/>
        <v>1.0623361603700847</v>
      </c>
      <c r="L6" s="11"/>
      <c r="M6" s="41"/>
      <c r="N6" s="48">
        <f>MIN('PS Vita'!I:I)</f>
        <v>42040</v>
      </c>
    </row>
    <row r="7" spans="2:17">
      <c r="B7" t="s">
        <v>27</v>
      </c>
      <c r="C7" s="10" t="s">
        <v>16</v>
      </c>
      <c r="D7" s="41">
        <v>2013</v>
      </c>
      <c r="E7" s="63" t="s">
        <v>17</v>
      </c>
      <c r="F7" s="1">
        <f>SUM('PS4'!A12)</f>
        <v>9</v>
      </c>
      <c r="G7" s="16">
        <f>SUM('PS4'!A14)</f>
        <v>830</v>
      </c>
      <c r="H7" s="16">
        <f>SUM('PS4'!A18)</f>
        <v>1438</v>
      </c>
      <c r="I7" s="11">
        <f t="shared" si="0"/>
        <v>1.7325301204819277</v>
      </c>
      <c r="J7">
        <f>SUM('PS4'!A20)</f>
        <v>1107.55</v>
      </c>
      <c r="K7" s="11">
        <f t="shared" si="1"/>
        <v>1.3343975903614458</v>
      </c>
      <c r="L7" s="11"/>
      <c r="M7" s="41"/>
      <c r="N7" s="48">
        <f>MIN('PS4'!I:I)</f>
        <v>42401</v>
      </c>
      <c r="P7" s="10" t="s">
        <v>28</v>
      </c>
      <c r="Q7" s="48">
        <f ca="1">TODAY()-365</f>
        <v>42955</v>
      </c>
    </row>
    <row r="8" spans="2:17">
      <c r="B8" t="s">
        <v>29</v>
      </c>
      <c r="C8" s="10" t="s">
        <v>30</v>
      </c>
      <c r="D8" s="41">
        <v>1986</v>
      </c>
      <c r="E8" s="63" t="s">
        <v>17</v>
      </c>
      <c r="F8" s="1">
        <f>SUM(NES!A26)</f>
        <v>6</v>
      </c>
      <c r="G8">
        <f>SUM(NES!A24)</f>
        <v>15</v>
      </c>
      <c r="H8">
        <f>SUM(NES!A48)</f>
        <v>186</v>
      </c>
      <c r="I8" s="11">
        <f t="shared" si="0"/>
        <v>12.4</v>
      </c>
      <c r="J8">
        <f>SUM(NES!A50)</f>
        <v>132.6</v>
      </c>
      <c r="K8" s="11">
        <f t="shared" si="1"/>
        <v>8.84</v>
      </c>
      <c r="L8" s="11">
        <f>SUM(NES!A46)</f>
        <v>1</v>
      </c>
      <c r="M8" s="41"/>
      <c r="N8" s="48">
        <f>MIN(NES!G:G)</f>
        <v>42166</v>
      </c>
      <c r="P8" s="48">
        <f ca="1">TODAY()</f>
        <v>43320</v>
      </c>
    </row>
    <row r="9" spans="2:17">
      <c r="B9" s="10" t="s">
        <v>31</v>
      </c>
      <c r="C9" s="10" t="s">
        <v>30</v>
      </c>
      <c r="D9" s="63">
        <v>1989</v>
      </c>
      <c r="E9" s="63" t="s">
        <v>26</v>
      </c>
      <c r="F9" s="1">
        <f>SUM(GB!A17)</f>
        <v>5</v>
      </c>
      <c r="G9">
        <f>SUM(GB!A15)</f>
        <v>45</v>
      </c>
      <c r="H9">
        <f>SUM(GB!A35)</f>
        <v>105</v>
      </c>
      <c r="I9" s="11">
        <f t="shared" si="0"/>
        <v>2.3333333333333335</v>
      </c>
      <c r="J9">
        <f>SUM(GB!A37)</f>
        <v>68</v>
      </c>
      <c r="K9" s="11">
        <f t="shared" si="1"/>
        <v>1.5111111111111111</v>
      </c>
      <c r="L9" s="11"/>
      <c r="M9" s="41"/>
      <c r="N9" s="48">
        <f>MIN(GB!I:I)</f>
        <v>42022</v>
      </c>
      <c r="P9" s="48">
        <f ca="1">todaydate-365</f>
        <v>42955</v>
      </c>
    </row>
    <row r="10" spans="2:17">
      <c r="B10" t="s">
        <v>32</v>
      </c>
      <c r="C10" s="10" t="s">
        <v>30</v>
      </c>
      <c r="D10" s="41">
        <v>1991</v>
      </c>
      <c r="E10" s="63" t="s">
        <v>17</v>
      </c>
      <c r="F10" s="1">
        <f>SUM(SNES!A50)</f>
        <v>46</v>
      </c>
      <c r="G10">
        <f>SUM(SNES!A59)</f>
        <v>445</v>
      </c>
      <c r="H10">
        <f>SUM(SNES!A55)</f>
        <v>1752</v>
      </c>
      <c r="I10" s="11">
        <f t="shared" si="0"/>
        <v>3.9370786516853933</v>
      </c>
      <c r="J10">
        <f>SUM(SNES!A57)</f>
        <v>1292</v>
      </c>
      <c r="K10" s="11">
        <f t="shared" si="1"/>
        <v>2.9033707865168541</v>
      </c>
      <c r="L10" s="11">
        <f>SUM(SNES!A79)</f>
        <v>0.69565217391304346</v>
      </c>
      <c r="M10" s="41"/>
      <c r="N10" s="48">
        <f>MIN(SNES!J:J)</f>
        <v>42134</v>
      </c>
    </row>
    <row r="11" spans="2:17">
      <c r="B11" t="s">
        <v>33</v>
      </c>
      <c r="C11" s="10" t="s">
        <v>30</v>
      </c>
      <c r="D11" s="41">
        <v>1996</v>
      </c>
      <c r="E11" s="63" t="s">
        <v>17</v>
      </c>
      <c r="F11" s="1">
        <f>SUM('N64'!A9)</f>
        <v>5</v>
      </c>
      <c r="G11">
        <f>SUM('N64'!A11)</f>
        <v>80</v>
      </c>
      <c r="H11">
        <f>SUM('N64'!A31)</f>
        <v>297</v>
      </c>
      <c r="I11" s="11">
        <f t="shared" si="0"/>
        <v>3.7124999999999999</v>
      </c>
      <c r="J11">
        <f>SUM('N64'!A33)</f>
        <v>231.2</v>
      </c>
      <c r="K11" s="11">
        <f t="shared" si="1"/>
        <v>2.8899999999999997</v>
      </c>
      <c r="L11" s="11">
        <f>SUM('N64'!A29)</f>
        <v>0.375</v>
      </c>
      <c r="M11" s="41"/>
      <c r="N11" s="48">
        <f>MIN('N64'!I:I)</f>
        <v>42176</v>
      </c>
    </row>
    <row r="12" spans="2:17">
      <c r="B12" t="s">
        <v>34</v>
      </c>
      <c r="C12" s="10" t="s">
        <v>30</v>
      </c>
      <c r="D12" s="41">
        <v>1998</v>
      </c>
      <c r="E12" s="63" t="s">
        <v>26</v>
      </c>
      <c r="F12" s="1">
        <f>SUM(GBC!A11)</f>
        <v>4</v>
      </c>
      <c r="G12">
        <f>SUM(GBC!A9)</f>
        <v>140</v>
      </c>
      <c r="H12">
        <f>SUM(GBC!A29)</f>
        <v>412</v>
      </c>
      <c r="I12" s="11">
        <f t="shared" si="0"/>
        <v>2.9428571428571431</v>
      </c>
      <c r="J12">
        <f>SUM(GBC!A31)</f>
        <v>333.2</v>
      </c>
      <c r="K12" s="11">
        <f t="shared" si="1"/>
        <v>2.38</v>
      </c>
      <c r="L12" s="11">
        <f>SUM(GBC!A27)</f>
        <v>1</v>
      </c>
      <c r="M12" s="41"/>
      <c r="N12" s="48">
        <f>MIN(GBC!I:I)</f>
        <v>42169</v>
      </c>
    </row>
    <row r="13" spans="2:17">
      <c r="B13" t="s">
        <v>35</v>
      </c>
      <c r="C13" s="10" t="s">
        <v>30</v>
      </c>
      <c r="D13" s="41">
        <v>2001</v>
      </c>
      <c r="E13" s="63" t="s">
        <v>26</v>
      </c>
      <c r="F13" s="1">
        <f>SUM(GBA!A24)</f>
        <v>18</v>
      </c>
      <c r="G13">
        <f>SUM(GBA!A22)</f>
        <v>380</v>
      </c>
      <c r="H13">
        <f>SUM(GBA!A42)</f>
        <v>1033</v>
      </c>
      <c r="I13" s="11">
        <f t="shared" si="0"/>
        <v>2.7184210526315788</v>
      </c>
      <c r="J13">
        <f>SUM(GBA!A44)</f>
        <v>801.55</v>
      </c>
      <c r="K13" s="11">
        <f t="shared" si="1"/>
        <v>2.1093421052631576</v>
      </c>
      <c r="L13" s="11">
        <f>SUM(GBA!A40)</f>
        <v>0.3888888888888889</v>
      </c>
      <c r="M13" s="41"/>
      <c r="N13" s="48">
        <f>MIN(GBA!I:I)</f>
        <v>42169</v>
      </c>
    </row>
    <row r="14" spans="2:17">
      <c r="B14" t="s">
        <v>36</v>
      </c>
      <c r="C14" s="10" t="s">
        <v>30</v>
      </c>
      <c r="D14" s="41">
        <v>2001</v>
      </c>
      <c r="E14" s="63" t="s">
        <v>17</v>
      </c>
      <c r="F14" s="1">
        <f>SUM(GC!A8)</f>
        <v>4</v>
      </c>
      <c r="G14">
        <f>SUM(GC!A10)</f>
        <v>180</v>
      </c>
      <c r="H14">
        <f>SUM(GC!A14)</f>
        <v>178</v>
      </c>
      <c r="I14" s="11">
        <f t="shared" si="0"/>
        <v>0.98888888888888893</v>
      </c>
      <c r="J14">
        <f>SUM(GC!A16)</f>
        <v>134.29999999999998</v>
      </c>
      <c r="K14" s="11">
        <f t="shared" si="1"/>
        <v>0.74611111111111106</v>
      </c>
      <c r="L14" s="11">
        <f>SUM(GC!A32)</f>
        <v>0.75</v>
      </c>
      <c r="M14" s="41"/>
      <c r="N14" s="48">
        <f>MIN(GC!I:I)</f>
        <v>42155</v>
      </c>
    </row>
    <row r="15" spans="2:17">
      <c r="B15" t="s">
        <v>37</v>
      </c>
      <c r="C15" s="10" t="s">
        <v>30</v>
      </c>
      <c r="D15" s="41">
        <v>2004</v>
      </c>
      <c r="E15" s="63" t="s">
        <v>26</v>
      </c>
      <c r="F15" s="1">
        <f>SUM(NDS!A33)</f>
        <v>15</v>
      </c>
      <c r="G15">
        <f>SUM(NDS!A35)</f>
        <v>892</v>
      </c>
      <c r="H15">
        <f>SUM(NDS!A57)</f>
        <v>1070</v>
      </c>
      <c r="I15" s="11">
        <f t="shared" si="0"/>
        <v>1.1995515695067265</v>
      </c>
      <c r="J15">
        <f>SUM(NDS!A59)</f>
        <v>845.75</v>
      </c>
      <c r="K15" s="11">
        <f t="shared" si="1"/>
        <v>0.94815022421524664</v>
      </c>
      <c r="L15" s="11">
        <f>SUM(NDS!A55)</f>
        <v>0.16666666666666666</v>
      </c>
      <c r="M15" s="41"/>
      <c r="N15" s="48">
        <f>MIN(NDS!I:I)</f>
        <v>42169</v>
      </c>
    </row>
    <row r="16" spans="2:17">
      <c r="B16" s="10" t="s">
        <v>38</v>
      </c>
      <c r="C16" s="10" t="s">
        <v>30</v>
      </c>
      <c r="D16" s="63">
        <v>2006</v>
      </c>
      <c r="E16" s="63" t="s">
        <v>17</v>
      </c>
      <c r="F16" s="1">
        <f>SUM(WII!A6)</f>
        <v>1</v>
      </c>
      <c r="G16">
        <f>SUM(WII!A8)</f>
        <v>10</v>
      </c>
      <c r="H16">
        <f>SUM(WII!A28)</f>
        <v>84</v>
      </c>
      <c r="I16" s="11">
        <f t="shared" si="0"/>
        <v>8.4</v>
      </c>
      <c r="J16">
        <f>SUM(WII!A30)</f>
        <v>67.149999999999991</v>
      </c>
      <c r="K16" s="11">
        <f t="shared" si="1"/>
        <v>6.714999999999999</v>
      </c>
      <c r="L16" s="11"/>
      <c r="M16" s="41"/>
      <c r="N16" s="48">
        <f>MIN(WII!I:I)</f>
        <v>42169</v>
      </c>
    </row>
    <row r="17" spans="2:14">
      <c r="B17" s="10" t="s">
        <v>39</v>
      </c>
      <c r="C17" s="10" t="s">
        <v>30</v>
      </c>
      <c r="D17" s="63">
        <v>2011</v>
      </c>
      <c r="E17" s="63" t="s">
        <v>26</v>
      </c>
      <c r="F17" s="1">
        <f>SUM('3DS'!A20)</f>
        <v>17</v>
      </c>
      <c r="G17">
        <f>SUM('3DS'!A22)</f>
        <v>721</v>
      </c>
      <c r="H17">
        <f>SUM('3DS'!A26)</f>
        <v>1110</v>
      </c>
      <c r="I17" s="11">
        <f t="shared" si="0"/>
        <v>1.5395284327323162</v>
      </c>
      <c r="J17">
        <f>SUM('3DS'!A44)</f>
        <v>1035.3</v>
      </c>
      <c r="K17" s="11">
        <f t="shared" si="1"/>
        <v>1.4359223300970874</v>
      </c>
      <c r="L17" s="11"/>
      <c r="M17" s="41"/>
      <c r="N17" s="48">
        <f>MIN('3DS'!I:I)</f>
        <v>42169</v>
      </c>
    </row>
    <row r="18" spans="2:14">
      <c r="B18" s="89" t="s">
        <v>40</v>
      </c>
      <c r="C18" s="89"/>
      <c r="D18" s="89"/>
      <c r="E18" s="89"/>
      <c r="F18" s="8">
        <f>SUM(F3:F17)</f>
        <v>500</v>
      </c>
      <c r="G18" s="89">
        <f>SUM(G3:G17)</f>
        <v>16618</v>
      </c>
      <c r="H18" s="89">
        <f>SUM(H3:H17)</f>
        <v>22262.5</v>
      </c>
      <c r="I18" s="90">
        <f t="shared" si="0"/>
        <v>1.339661812492478</v>
      </c>
      <c r="J18" s="89">
        <f>SUM(J3:J17)</f>
        <v>16594.974999999999</v>
      </c>
      <c r="K18" s="90">
        <f t="shared" si="1"/>
        <v>0.99861445420628225</v>
      </c>
      <c r="L18" s="90"/>
      <c r="M18" s="95"/>
      <c r="N18" s="91">
        <f>MIN(N3:N17)</f>
        <v>41880</v>
      </c>
    </row>
    <row r="19" spans="2:14">
      <c r="F19" s="1"/>
      <c r="L19" s="11"/>
      <c r="M19" s="11"/>
    </row>
    <row r="20" spans="2:14">
      <c r="F20" s="1"/>
      <c r="L20" s="11"/>
      <c r="M20" s="11"/>
    </row>
    <row r="21" spans="2:14">
      <c r="B21" t="s">
        <v>41</v>
      </c>
      <c r="F21" s="1">
        <f>SUM(CD!A50)</f>
        <v>44</v>
      </c>
      <c r="G21">
        <f>SUM(CD!A48)</f>
        <v>670</v>
      </c>
      <c r="L21" s="69" t="s">
        <v>42</v>
      </c>
      <c r="M21" s="69"/>
    </row>
    <row r="22" spans="2:14">
      <c r="B22" t="s">
        <v>43</v>
      </c>
      <c r="F22" s="1">
        <f>SUM(DVD!A74)</f>
        <v>67</v>
      </c>
      <c r="G22">
        <f>SUM(DVD!A72)</f>
        <v>1226</v>
      </c>
      <c r="H22">
        <f>SUM(DVD!A76)</f>
        <v>338</v>
      </c>
      <c r="L22" s="69" t="s">
        <v>42</v>
      </c>
      <c r="M22" s="69"/>
    </row>
    <row r="23" spans="2:14">
      <c r="B23" t="s">
        <v>44</v>
      </c>
      <c r="F23" s="1">
        <f>SUM(BluRay!A25)</f>
        <v>19</v>
      </c>
      <c r="G23">
        <f>SUM(BluRay!A23)</f>
        <v>333</v>
      </c>
      <c r="L23" s="69" t="s">
        <v>42</v>
      </c>
      <c r="M23" s="69"/>
    </row>
    <row r="24" spans="2:14">
      <c r="F24" s="1"/>
      <c r="L24" s="69"/>
      <c r="M24" s="69"/>
    </row>
    <row r="25" spans="2:14">
      <c r="B25" s="10" t="s">
        <v>45</v>
      </c>
      <c r="C25" s="10"/>
      <c r="D25" s="10"/>
      <c r="E25" s="10"/>
      <c r="F25" s="1">
        <f>SUM(PSN!G39)</f>
        <v>26</v>
      </c>
      <c r="G25">
        <f>SUM(PSN!F39)</f>
        <v>225</v>
      </c>
      <c r="H25">
        <v>0</v>
      </c>
      <c r="K25" s="11"/>
      <c r="L25" s="11">
        <f>SUM(PSN!A39)</f>
        <v>0.34451612903225798</v>
      </c>
      <c r="M25" s="11"/>
      <c r="N25" s="48">
        <v>41404</v>
      </c>
    </row>
    <row r="26" spans="2:14">
      <c r="B26" t="s">
        <v>46</v>
      </c>
      <c r="F26" s="1">
        <f>SUM(PC!A21)</f>
        <v>12</v>
      </c>
      <c r="G26">
        <f>SUM(PC!A17)</f>
        <v>290</v>
      </c>
      <c r="H26">
        <f>SUM(PC!A19)</f>
        <v>15</v>
      </c>
      <c r="L26" s="11">
        <f>SUM(PC!A35)</f>
        <v>0.58333333333333337</v>
      </c>
      <c r="M26" s="11"/>
    </row>
    <row r="31" spans="2:14">
      <c r="B31" s="10" t="s">
        <v>47</v>
      </c>
      <c r="C31" s="10"/>
      <c r="D31" s="10"/>
      <c r="E31" s="10"/>
      <c r="F31" s="10" t="s">
        <v>48</v>
      </c>
    </row>
    <row r="32" spans="2:14">
      <c r="F32" s="10" t="s">
        <v>49</v>
      </c>
    </row>
    <row r="33" spans="6:6">
      <c r="F33" s="10" t="s">
        <v>50</v>
      </c>
    </row>
    <row r="34" spans="6:6">
      <c r="F34" s="10" t="s">
        <v>51</v>
      </c>
    </row>
  </sheetData>
  <conditionalFormatting sqref="I2:I128">
    <cfRule type="cellIs" priority="1" operator="lessThan">
      <formula>($N$4)-365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7"/>
  </sheetPr>
  <dimension ref="A1:O31"/>
  <sheetViews>
    <sheetView workbookViewId="0" xr3:uid="{7BE570AB-09E9-518F-B8F7-3F91B7162CA9}">
      <selection activeCell="F6" sqref="F6"/>
    </sheetView>
  </sheetViews>
  <sheetFormatPr defaultColWidth="11.42578125" defaultRowHeight="12.75"/>
  <cols>
    <col min="1" max="1" width="15" bestFit="1" customWidth="1"/>
    <col min="3" max="3" width="21.7109375" customWidth="1"/>
  </cols>
  <sheetData>
    <row r="1" spans="1:15">
      <c r="A1" s="1" t="s">
        <v>63</v>
      </c>
      <c r="B1" t="s">
        <v>73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10" t="s">
        <v>695</v>
      </c>
      <c r="J1" t="s">
        <v>72</v>
      </c>
      <c r="K1" t="s">
        <v>73</v>
      </c>
      <c r="L1" t="s">
        <v>74</v>
      </c>
      <c r="M1" t="s">
        <v>75</v>
      </c>
      <c r="N1" t="s">
        <v>1</v>
      </c>
    </row>
    <row r="2" spans="1:15">
      <c r="A2" s="1"/>
      <c r="B2" t="s">
        <v>755</v>
      </c>
      <c r="C2" t="s">
        <v>756</v>
      </c>
      <c r="D2" t="s">
        <v>81</v>
      </c>
      <c r="E2">
        <v>30</v>
      </c>
      <c r="F2">
        <v>100</v>
      </c>
      <c r="G2" s="10" t="s">
        <v>89</v>
      </c>
      <c r="H2" s="64">
        <f t="shared" ref="H2:H5" si="0">MIN(F2:G2)</f>
        <v>100</v>
      </c>
      <c r="I2" s="48">
        <v>42169</v>
      </c>
      <c r="K2" t="s">
        <v>166</v>
      </c>
      <c r="M2" t="s">
        <v>90</v>
      </c>
      <c r="N2" t="s">
        <v>151</v>
      </c>
    </row>
    <row r="3" spans="1:15">
      <c r="A3" s="1"/>
      <c r="B3" s="10" t="s">
        <v>755</v>
      </c>
      <c r="C3" t="s">
        <v>757</v>
      </c>
      <c r="D3" t="s">
        <v>81</v>
      </c>
      <c r="E3">
        <v>20</v>
      </c>
      <c r="F3" s="10" t="s">
        <v>89</v>
      </c>
      <c r="G3">
        <v>92</v>
      </c>
      <c r="H3" s="64">
        <f t="shared" si="0"/>
        <v>92</v>
      </c>
      <c r="I3" s="48">
        <v>42169</v>
      </c>
      <c r="K3" t="s">
        <v>166</v>
      </c>
      <c r="M3" t="s">
        <v>90</v>
      </c>
      <c r="N3" t="s">
        <v>151</v>
      </c>
      <c r="O3" s="10" t="s">
        <v>758</v>
      </c>
    </row>
    <row r="4" spans="1:15">
      <c r="B4" t="s">
        <v>755</v>
      </c>
      <c r="C4" t="s">
        <v>759</v>
      </c>
      <c r="D4" t="s">
        <v>81</v>
      </c>
      <c r="E4">
        <v>30</v>
      </c>
      <c r="F4" s="39">
        <v>140</v>
      </c>
      <c r="G4">
        <v>205</v>
      </c>
      <c r="H4" s="64">
        <f t="shared" si="0"/>
        <v>140</v>
      </c>
      <c r="I4" s="48">
        <v>42169</v>
      </c>
      <c r="K4" t="s">
        <v>61</v>
      </c>
      <c r="M4" t="s">
        <v>90</v>
      </c>
      <c r="N4" t="s">
        <v>30</v>
      </c>
      <c r="O4" t="s">
        <v>760</v>
      </c>
    </row>
    <row r="5" spans="1:15">
      <c r="B5" t="s">
        <v>755</v>
      </c>
      <c r="C5" t="s">
        <v>761</v>
      </c>
      <c r="D5" t="s">
        <v>81</v>
      </c>
      <c r="E5">
        <v>30</v>
      </c>
      <c r="F5">
        <v>80</v>
      </c>
      <c r="G5">
        <v>310</v>
      </c>
      <c r="H5" s="64">
        <f t="shared" si="0"/>
        <v>80</v>
      </c>
      <c r="I5" s="48">
        <v>42169</v>
      </c>
      <c r="K5" t="s">
        <v>61</v>
      </c>
      <c r="M5" t="s">
        <v>90</v>
      </c>
      <c r="N5" t="s">
        <v>30</v>
      </c>
    </row>
    <row r="6" spans="1:15">
      <c r="C6" t="s">
        <v>762</v>
      </c>
      <c r="D6" t="s">
        <v>81</v>
      </c>
      <c r="E6">
        <v>30</v>
      </c>
    </row>
    <row r="8" spans="1:15">
      <c r="A8" s="1" t="s">
        <v>169</v>
      </c>
    </row>
    <row r="9" spans="1:15">
      <c r="A9" s="6">
        <f>SUM(E:E)</f>
        <v>140</v>
      </c>
    </row>
    <row r="10" spans="1:15">
      <c r="A10" s="14" t="s">
        <v>763</v>
      </c>
    </row>
    <row r="11" spans="1:15">
      <c r="A11" s="8">
        <f>COUNTA(B:B)-1</f>
        <v>4</v>
      </c>
    </row>
    <row r="12" spans="1:15">
      <c r="A12" s="1" t="s">
        <v>736</v>
      </c>
    </row>
    <row r="13" spans="1:15">
      <c r="A13" s="2">
        <f>COUNTIF(K:K,"Never")</f>
        <v>2</v>
      </c>
    </row>
    <row r="14" spans="1:15">
      <c r="A14" s="1" t="s">
        <v>162</v>
      </c>
    </row>
    <row r="15" spans="1:15">
      <c r="A15" s="2">
        <f>COUNTIF(K:K,"Completed")</f>
        <v>2</v>
      </c>
    </row>
    <row r="16" spans="1:15">
      <c r="A16" s="1" t="s">
        <v>163</v>
      </c>
    </row>
    <row r="17" spans="1:1">
      <c r="A17" s="2">
        <f>COUNTIF(K:K,"CBD")</f>
        <v>0</v>
      </c>
    </row>
    <row r="18" spans="1:1">
      <c r="A18" s="1" t="s">
        <v>164</v>
      </c>
    </row>
    <row r="19" spans="1:1">
      <c r="A19" s="1">
        <f>SUM(A15,A17,A13)</f>
        <v>4</v>
      </c>
    </row>
    <row r="20" spans="1:1">
      <c r="A20" s="1" t="s">
        <v>96</v>
      </c>
    </row>
    <row r="21" spans="1:1">
      <c r="A21" s="2">
        <f>COUNTIF(K:K,"Undone")</f>
        <v>0</v>
      </c>
    </row>
    <row r="22" spans="1:1">
      <c r="A22" s="1" t="s">
        <v>125</v>
      </c>
    </row>
    <row r="23" spans="1:1">
      <c r="A23" s="2">
        <f>COUNTIF(K:K,"Pending")</f>
        <v>0</v>
      </c>
    </row>
    <row r="24" spans="1:1">
      <c r="A24" s="1" t="s">
        <v>167</v>
      </c>
    </row>
    <row r="25" spans="1:1">
      <c r="A25" s="1">
        <f>SUM(A21,A23)</f>
        <v>0</v>
      </c>
    </row>
    <row r="26" spans="1:1">
      <c r="A26" s="1" t="s">
        <v>168</v>
      </c>
    </row>
    <row r="27" spans="1:1">
      <c r="A27" s="11">
        <f>(A19)/(A11)</f>
        <v>1</v>
      </c>
    </row>
    <row r="28" spans="1:1">
      <c r="A28" s="10" t="s">
        <v>159</v>
      </c>
    </row>
    <row r="29" spans="1:1">
      <c r="A29">
        <f>SUM(H:H)</f>
        <v>412</v>
      </c>
    </row>
    <row r="30" spans="1:1">
      <c r="A30" s="10" t="s">
        <v>160</v>
      </c>
    </row>
    <row r="31" spans="1:1">
      <c r="A31" s="10">
        <f>(A29-(A11*5))*0.85</f>
        <v>333.2</v>
      </c>
    </row>
  </sheetData>
  <phoneticPr fontId="2" type="noConversion"/>
  <pageMargins left="0.75" right="0.75" top="1" bottom="1" header="0.4921259845" footer="0.492125984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17"/>
  </sheetPr>
  <dimension ref="A1:N33"/>
  <sheetViews>
    <sheetView workbookViewId="0" xr3:uid="{65FA3815-DCC1-5481-872F-D2879ED395ED}">
      <selection activeCell="C12" sqref="C12"/>
    </sheetView>
  </sheetViews>
  <sheetFormatPr defaultColWidth="11.42578125" defaultRowHeight="12.75"/>
  <cols>
    <col min="1" max="1" width="18.7109375" bestFit="1" customWidth="1"/>
    <col min="3" max="3" width="38.28515625" customWidth="1"/>
    <col min="8" max="8" width="6.85546875" bestFit="1" customWidth="1"/>
    <col min="14" max="14" width="12.7109375" customWidth="1"/>
  </cols>
  <sheetData>
    <row r="1" spans="1:1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10" t="s">
        <v>764</v>
      </c>
      <c r="J1" t="s">
        <v>73</v>
      </c>
      <c r="K1" t="s">
        <v>74</v>
      </c>
      <c r="L1" t="s">
        <v>75</v>
      </c>
      <c r="M1" t="s">
        <v>1</v>
      </c>
    </row>
    <row r="2" spans="1:14">
      <c r="A2" s="1">
        <v>0</v>
      </c>
      <c r="C2" t="s">
        <v>765</v>
      </c>
      <c r="D2" t="s">
        <v>81</v>
      </c>
      <c r="E2">
        <v>10</v>
      </c>
      <c r="F2">
        <v>107</v>
      </c>
      <c r="G2">
        <v>95</v>
      </c>
      <c r="H2" s="53">
        <f t="shared" ref="H2:H3" si="0">MIN(F2:G2)</f>
        <v>95</v>
      </c>
      <c r="I2" s="48">
        <v>42176</v>
      </c>
      <c r="J2" s="10" t="s">
        <v>61</v>
      </c>
      <c r="L2" t="s">
        <v>90</v>
      </c>
      <c r="M2" s="10" t="s">
        <v>30</v>
      </c>
      <c r="N2" t="s">
        <v>162</v>
      </c>
    </row>
    <row r="3" spans="1:14">
      <c r="A3">
        <v>0</v>
      </c>
      <c r="C3" t="s">
        <v>766</v>
      </c>
      <c r="D3" t="s">
        <v>81</v>
      </c>
      <c r="E3">
        <v>10</v>
      </c>
      <c r="F3">
        <v>18</v>
      </c>
      <c r="G3">
        <v>17</v>
      </c>
      <c r="H3" s="53">
        <f t="shared" si="0"/>
        <v>17</v>
      </c>
      <c r="I3" s="48">
        <v>42176</v>
      </c>
      <c r="J3" s="10" t="s">
        <v>125</v>
      </c>
      <c r="L3" t="s">
        <v>90</v>
      </c>
      <c r="M3" s="10" t="s">
        <v>767</v>
      </c>
      <c r="N3" t="s">
        <v>768</v>
      </c>
    </row>
    <row r="4" spans="1:14">
      <c r="A4" s="1">
        <v>0</v>
      </c>
      <c r="C4" s="10" t="s">
        <v>769</v>
      </c>
      <c r="D4" s="10" t="s">
        <v>81</v>
      </c>
      <c r="E4">
        <v>25</v>
      </c>
      <c r="F4" s="32">
        <v>90</v>
      </c>
      <c r="G4" t="s">
        <v>89</v>
      </c>
      <c r="H4" s="53">
        <f>MIN(F4:G4)</f>
        <v>90</v>
      </c>
      <c r="I4" s="48">
        <v>42354</v>
      </c>
      <c r="J4" s="10" t="s">
        <v>61</v>
      </c>
      <c r="L4" t="s">
        <v>90</v>
      </c>
      <c r="M4" s="10" t="s">
        <v>30</v>
      </c>
      <c r="N4" s="10" t="s">
        <v>162</v>
      </c>
    </row>
    <row r="5" spans="1:14">
      <c r="A5" s="1">
        <v>0</v>
      </c>
      <c r="C5" s="10" t="s">
        <v>770</v>
      </c>
      <c r="D5" s="10" t="s">
        <v>81</v>
      </c>
      <c r="E5">
        <v>25</v>
      </c>
      <c r="F5" s="32">
        <v>55</v>
      </c>
      <c r="G5">
        <v>78</v>
      </c>
      <c r="H5" s="53">
        <f>MIN(F5:G5)</f>
        <v>55</v>
      </c>
      <c r="I5" s="48">
        <v>42354</v>
      </c>
      <c r="J5" s="10" t="s">
        <v>125</v>
      </c>
      <c r="L5" t="s">
        <v>90</v>
      </c>
      <c r="M5" s="10" t="s">
        <v>30</v>
      </c>
      <c r="N5" s="10" t="s">
        <v>771</v>
      </c>
    </row>
    <row r="6" spans="1:14">
      <c r="A6" s="1">
        <v>0</v>
      </c>
      <c r="C6" s="10" t="s">
        <v>772</v>
      </c>
      <c r="D6" s="10" t="s">
        <v>81</v>
      </c>
      <c r="E6">
        <v>10</v>
      </c>
      <c r="F6" s="32">
        <v>40</v>
      </c>
      <c r="G6">
        <v>53</v>
      </c>
      <c r="H6" s="53">
        <f t="shared" ref="H6" si="1">MIN(F6:G6)</f>
        <v>40</v>
      </c>
      <c r="I6" s="48">
        <v>42176</v>
      </c>
      <c r="J6" s="10" t="s">
        <v>61</v>
      </c>
      <c r="L6" t="s">
        <v>90</v>
      </c>
      <c r="M6" s="10" t="s">
        <v>30</v>
      </c>
      <c r="N6" s="10" t="s">
        <v>773</v>
      </c>
    </row>
    <row r="8" spans="1:14">
      <c r="A8" s="14" t="s">
        <v>774</v>
      </c>
    </row>
    <row r="9" spans="1:14">
      <c r="A9" s="8">
        <f>COUNT(A2:A7)</f>
        <v>5</v>
      </c>
    </row>
    <row r="10" spans="1:14">
      <c r="A10" s="1" t="s">
        <v>169</v>
      </c>
    </row>
    <row r="11" spans="1:14">
      <c r="A11" s="6">
        <f>SUM(E:E)</f>
        <v>80</v>
      </c>
    </row>
    <row r="12" spans="1:14">
      <c r="A12" s="6" t="s">
        <v>170</v>
      </c>
    </row>
    <row r="13" spans="1:14">
      <c r="A13" s="6">
        <f>AVERAGE(E:E)</f>
        <v>16</v>
      </c>
    </row>
    <row r="14" spans="1:14">
      <c r="A14" s="1" t="s">
        <v>393</v>
      </c>
    </row>
    <row r="15" spans="1:14">
      <c r="A15" s="7">
        <f>COUNTBLANK(F6:F6)</f>
        <v>0</v>
      </c>
    </row>
    <row r="16" spans="1:14">
      <c r="A16" s="1" t="s">
        <v>162</v>
      </c>
    </row>
    <row r="17" spans="1:1">
      <c r="A17" s="2">
        <f>COUNTIF(J:J,"Completed")</f>
        <v>3</v>
      </c>
    </row>
    <row r="18" spans="1:1">
      <c r="A18" s="1" t="s">
        <v>163</v>
      </c>
    </row>
    <row r="19" spans="1:1">
      <c r="A19" s="2">
        <f>COUNTIF(J:J,"CBD")</f>
        <v>0</v>
      </c>
    </row>
    <row r="20" spans="1:1">
      <c r="A20" s="1" t="s">
        <v>164</v>
      </c>
    </row>
    <row r="21" spans="1:1">
      <c r="A21" s="1">
        <f>SUM(A17,A19)</f>
        <v>3</v>
      </c>
    </row>
    <row r="22" spans="1:1">
      <c r="A22" s="1" t="s">
        <v>96</v>
      </c>
    </row>
    <row r="23" spans="1:1">
      <c r="A23" s="2">
        <f>COUNTIF(J:J,"Undone")</f>
        <v>0</v>
      </c>
    </row>
    <row r="24" spans="1:1">
      <c r="A24" s="1" t="s">
        <v>125</v>
      </c>
    </row>
    <row r="25" spans="1:1">
      <c r="A25" s="2">
        <f>COUNTIF(J:J,"Pending")</f>
        <v>2</v>
      </c>
    </row>
    <row r="26" spans="1:1">
      <c r="A26" s="1" t="s">
        <v>167</v>
      </c>
    </row>
    <row r="27" spans="1:1">
      <c r="A27" s="1">
        <f>SUM(A23,A25)</f>
        <v>2</v>
      </c>
    </row>
    <row r="28" spans="1:1">
      <c r="A28" s="1" t="s">
        <v>168</v>
      </c>
    </row>
    <row r="29" spans="1:1">
      <c r="A29" s="11">
        <f>(A21)/((A9)+3)</f>
        <v>0.375</v>
      </c>
    </row>
    <row r="30" spans="1:1">
      <c r="A30" s="10" t="s">
        <v>159</v>
      </c>
    </row>
    <row r="31" spans="1:1">
      <c r="A31">
        <f>SUM(H:H)</f>
        <v>297</v>
      </c>
    </row>
    <row r="32" spans="1:1">
      <c r="A32" s="10" t="s">
        <v>160</v>
      </c>
    </row>
    <row r="33" spans="1:1">
      <c r="A33" s="10">
        <f>(A31-(A9*5))*0.85</f>
        <v>231.2</v>
      </c>
    </row>
  </sheetData>
  <pageMargins left="0.75" right="0.75" top="1" bottom="1" header="0.4921259845" footer="0.4921259845"/>
  <pageSetup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17"/>
  </sheetPr>
  <dimension ref="A1:M30"/>
  <sheetViews>
    <sheetView workbookViewId="0" xr3:uid="{FF0BDA26-1AD6-5648-BD9A-E01AA4DDCA7C}">
      <selection activeCell="D4" sqref="D4"/>
    </sheetView>
  </sheetViews>
  <sheetFormatPr defaultRowHeight="12.75"/>
  <cols>
    <col min="1" max="1" width="21.140625" bestFit="1" customWidth="1"/>
    <col min="3" max="3" width="11.42578125" bestFit="1" customWidth="1"/>
    <col min="9" max="9" width="10.140625" bestFit="1" customWidth="1"/>
  </cols>
  <sheetData>
    <row r="1" spans="1:13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10" t="s">
        <v>764</v>
      </c>
      <c r="J1" t="s">
        <v>73</v>
      </c>
      <c r="K1" t="s">
        <v>74</v>
      </c>
      <c r="L1" t="s">
        <v>75</v>
      </c>
      <c r="M1" t="s">
        <v>1</v>
      </c>
    </row>
    <row r="2" spans="1:13">
      <c r="A2" s="1">
        <v>0</v>
      </c>
      <c r="C2" s="10" t="s">
        <v>775</v>
      </c>
      <c r="D2" s="10" t="s">
        <v>105</v>
      </c>
      <c r="E2">
        <v>30</v>
      </c>
      <c r="F2" s="32"/>
      <c r="H2" s="53">
        <f t="shared" ref="H2" si="0">MIN(F2:G2)</f>
        <v>0</v>
      </c>
      <c r="I2" s="48">
        <v>42169</v>
      </c>
      <c r="J2" s="10" t="s">
        <v>96</v>
      </c>
      <c r="L2" t="s">
        <v>90</v>
      </c>
      <c r="M2" s="10" t="s">
        <v>30</v>
      </c>
    </row>
    <row r="3" spans="1:13">
      <c r="A3" s="1"/>
    </row>
    <row r="5" spans="1:13">
      <c r="A5" s="14" t="s">
        <v>774</v>
      </c>
    </row>
    <row r="6" spans="1:13">
      <c r="A6" s="8">
        <f>COUNT(A2:A2)</f>
        <v>1</v>
      </c>
    </row>
    <row r="7" spans="1:13">
      <c r="A7" s="1" t="s">
        <v>169</v>
      </c>
    </row>
    <row r="8" spans="1:13">
      <c r="A8" s="6">
        <f>SUM(E:E)</f>
        <v>30</v>
      </c>
    </row>
    <row r="9" spans="1:13">
      <c r="A9" s="6" t="s">
        <v>170</v>
      </c>
    </row>
    <row r="10" spans="1:13">
      <c r="A10" s="6">
        <f>AVERAGE(E:E)</f>
        <v>30</v>
      </c>
    </row>
    <row r="11" spans="1:13">
      <c r="A11" s="1" t="s">
        <v>393</v>
      </c>
    </row>
    <row r="12" spans="1:13">
      <c r="A12" s="7">
        <f>COUNTBLANK(F2:F2)</f>
        <v>1</v>
      </c>
    </row>
    <row r="13" spans="1:13">
      <c r="A13" s="1" t="s">
        <v>162</v>
      </c>
    </row>
    <row r="14" spans="1:13">
      <c r="A14" s="2">
        <f>COUNTIF(J:J,"Completed")</f>
        <v>0</v>
      </c>
    </row>
    <row r="15" spans="1:13">
      <c r="A15" s="1" t="s">
        <v>163</v>
      </c>
    </row>
    <row r="16" spans="1:13">
      <c r="A16" s="2">
        <f>COUNTIF(J:J,"CBD")</f>
        <v>0</v>
      </c>
    </row>
    <row r="17" spans="1:1">
      <c r="A17" s="1" t="s">
        <v>164</v>
      </c>
    </row>
    <row r="18" spans="1:1">
      <c r="A18" s="1">
        <f>SUM(A14,A16)</f>
        <v>0</v>
      </c>
    </row>
    <row r="19" spans="1:1">
      <c r="A19" s="1" t="s">
        <v>96</v>
      </c>
    </row>
    <row r="20" spans="1:1">
      <c r="A20" s="2">
        <f>COUNTIF(J:J,"Undone")</f>
        <v>1</v>
      </c>
    </row>
    <row r="21" spans="1:1">
      <c r="A21" s="1" t="s">
        <v>125</v>
      </c>
    </row>
    <row r="22" spans="1:1">
      <c r="A22" s="2">
        <f>COUNTIF(J:J,"Pending")</f>
        <v>0</v>
      </c>
    </row>
    <row r="23" spans="1:1">
      <c r="A23" s="1" t="s">
        <v>167</v>
      </c>
    </row>
    <row r="24" spans="1:1">
      <c r="A24" s="1">
        <f>SUM(A20,A22)</f>
        <v>1</v>
      </c>
    </row>
    <row r="25" spans="1:1">
      <c r="A25" s="1" t="s">
        <v>168</v>
      </c>
    </row>
    <row r="26" spans="1:1">
      <c r="A26" s="11">
        <f>(A18)/((A6)+3)</f>
        <v>0</v>
      </c>
    </row>
    <row r="27" spans="1:1">
      <c r="A27" s="10" t="s">
        <v>159</v>
      </c>
    </row>
    <row r="28" spans="1:1">
      <c r="A28">
        <f>SUM(H:H)</f>
        <v>0</v>
      </c>
    </row>
    <row r="29" spans="1:1">
      <c r="A29" s="10" t="s">
        <v>160</v>
      </c>
    </row>
    <row r="30" spans="1:1">
      <c r="A30" s="10">
        <f>(A28-(A6*5))*0.85</f>
        <v>-4.25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17"/>
  </sheetPr>
  <dimension ref="A1:M30"/>
  <sheetViews>
    <sheetView workbookViewId="0" xr3:uid="{C67EF94B-0B3B-5838-830C-E3A509766221}">
      <selection activeCell="A30" sqref="A1:M30"/>
    </sheetView>
  </sheetViews>
  <sheetFormatPr defaultColWidth="11.42578125" defaultRowHeight="12.75"/>
  <cols>
    <col min="1" max="1" width="18.7109375" bestFit="1" customWidth="1"/>
    <col min="3" max="3" width="38.28515625" customWidth="1"/>
    <col min="8" max="8" width="6.85546875" bestFit="1" customWidth="1"/>
    <col min="14" max="14" width="12.7109375" customWidth="1"/>
  </cols>
  <sheetData>
    <row r="1" spans="1:13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10" t="s">
        <v>764</v>
      </c>
      <c r="J1" t="s">
        <v>73</v>
      </c>
      <c r="K1" t="s">
        <v>74</v>
      </c>
      <c r="L1" t="s">
        <v>75</v>
      </c>
      <c r="M1" t="s">
        <v>1</v>
      </c>
    </row>
    <row r="2" spans="1:13">
      <c r="A2" s="1">
        <v>0</v>
      </c>
      <c r="C2" s="10" t="s">
        <v>776</v>
      </c>
      <c r="D2" s="10" t="s">
        <v>105</v>
      </c>
      <c r="E2">
        <v>10</v>
      </c>
      <c r="F2" s="32" t="s">
        <v>89</v>
      </c>
      <c r="G2">
        <v>84</v>
      </c>
      <c r="H2" s="53">
        <f t="shared" ref="H2" si="0">MIN(F2:G2)</f>
        <v>84</v>
      </c>
      <c r="I2" s="48">
        <v>42169</v>
      </c>
      <c r="J2" s="10" t="s">
        <v>96</v>
      </c>
      <c r="L2" t="s">
        <v>90</v>
      </c>
      <c r="M2" s="10" t="s">
        <v>30</v>
      </c>
    </row>
    <row r="3" spans="1:13">
      <c r="A3" s="1"/>
    </row>
    <row r="5" spans="1:13">
      <c r="A5" s="14" t="s">
        <v>774</v>
      </c>
    </row>
    <row r="6" spans="1:13">
      <c r="A6" s="8">
        <f>COUNT(A2:A2)</f>
        <v>1</v>
      </c>
    </row>
    <row r="7" spans="1:13">
      <c r="A7" s="1" t="s">
        <v>169</v>
      </c>
    </row>
    <row r="8" spans="1:13">
      <c r="A8" s="6">
        <f>SUM(E:E)</f>
        <v>10</v>
      </c>
    </row>
    <row r="9" spans="1:13">
      <c r="A9" s="6" t="s">
        <v>170</v>
      </c>
    </row>
    <row r="10" spans="1:13">
      <c r="A10" s="6">
        <f>AVERAGE(E:E)</f>
        <v>10</v>
      </c>
    </row>
    <row r="11" spans="1:13">
      <c r="A11" s="1" t="s">
        <v>393</v>
      </c>
    </row>
    <row r="12" spans="1:13">
      <c r="A12" s="7">
        <f>COUNTBLANK(F2:F2)</f>
        <v>0</v>
      </c>
    </row>
    <row r="13" spans="1:13">
      <c r="A13" s="1" t="s">
        <v>162</v>
      </c>
    </row>
    <row r="14" spans="1:13">
      <c r="A14" s="2">
        <f>COUNTIF(J:J,"Completed")</f>
        <v>0</v>
      </c>
    </row>
    <row r="15" spans="1:13">
      <c r="A15" s="1" t="s">
        <v>163</v>
      </c>
    </row>
    <row r="16" spans="1:13">
      <c r="A16" s="2">
        <f>COUNTIF(J:J,"CBD")</f>
        <v>0</v>
      </c>
    </row>
    <row r="17" spans="1:1">
      <c r="A17" s="1" t="s">
        <v>164</v>
      </c>
    </row>
    <row r="18" spans="1:1">
      <c r="A18" s="1">
        <f>SUM(A14,A16)</f>
        <v>0</v>
      </c>
    </row>
    <row r="19" spans="1:1">
      <c r="A19" s="1" t="s">
        <v>96</v>
      </c>
    </row>
    <row r="20" spans="1:1">
      <c r="A20" s="2">
        <f>COUNTIF(J:J,"Undone")</f>
        <v>1</v>
      </c>
    </row>
    <row r="21" spans="1:1">
      <c r="A21" s="1" t="s">
        <v>125</v>
      </c>
    </row>
    <row r="22" spans="1:1">
      <c r="A22" s="2">
        <f>COUNTIF(J:J,"Pending")</f>
        <v>0</v>
      </c>
    </row>
    <row r="23" spans="1:1">
      <c r="A23" s="1" t="s">
        <v>167</v>
      </c>
    </row>
    <row r="24" spans="1:1">
      <c r="A24" s="1">
        <f>SUM(A20,A22)</f>
        <v>1</v>
      </c>
    </row>
    <row r="25" spans="1:1">
      <c r="A25" s="1" t="s">
        <v>168</v>
      </c>
    </row>
    <row r="26" spans="1:1">
      <c r="A26" s="11">
        <f>(A18)/((A6)+3)</f>
        <v>0</v>
      </c>
    </row>
    <row r="27" spans="1:1">
      <c r="A27" s="10" t="s">
        <v>159</v>
      </c>
    </row>
    <row r="28" spans="1:1">
      <c r="A28">
        <f>SUM(H:H)</f>
        <v>84</v>
      </c>
    </row>
    <row r="29" spans="1:1">
      <c r="A29" s="10" t="s">
        <v>160</v>
      </c>
    </row>
    <row r="30" spans="1:1">
      <c r="A30" s="10">
        <f>(A28-(A6*5))*0.85</f>
        <v>67.149999999999991</v>
      </c>
    </row>
  </sheetData>
  <pageMargins left="0.75" right="0.75" top="1" bottom="1" header="0.4921259845" footer="0.4921259845"/>
  <pageSetup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7"/>
  </sheetPr>
  <dimension ref="A1:M32"/>
  <sheetViews>
    <sheetView workbookViewId="0" xr3:uid="{274F5AE0-5452-572F-8038-C13FFDA59D49}">
      <selection activeCell="J2" sqref="J2"/>
    </sheetView>
  </sheetViews>
  <sheetFormatPr defaultColWidth="11.42578125" defaultRowHeight="12.75"/>
  <cols>
    <col min="1" max="1" width="14.7109375" style="1" customWidth="1"/>
    <col min="3" max="3" width="42.140625" customWidth="1"/>
    <col min="9" max="9" width="11.42578125" style="56"/>
    <col min="13" max="13" width="16.28515625" customWidth="1"/>
  </cols>
  <sheetData>
    <row r="1" spans="1:13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J1" t="s">
        <v>73</v>
      </c>
      <c r="K1" t="s">
        <v>74</v>
      </c>
      <c r="L1" t="s">
        <v>75</v>
      </c>
      <c r="M1" t="s">
        <v>1</v>
      </c>
    </row>
    <row r="2" spans="1:13">
      <c r="A2" s="1">
        <v>719593090052</v>
      </c>
      <c r="C2" t="s">
        <v>777</v>
      </c>
      <c r="D2" t="s">
        <v>81</v>
      </c>
      <c r="E2">
        <v>40</v>
      </c>
      <c r="F2" s="39">
        <v>30</v>
      </c>
      <c r="G2">
        <v>25</v>
      </c>
      <c r="H2" s="64">
        <f t="shared" ref="H2:H5" si="0">MIN(F2:G2)</f>
        <v>25</v>
      </c>
      <c r="I2" s="56">
        <v>42155</v>
      </c>
      <c r="J2" t="s">
        <v>125</v>
      </c>
      <c r="L2" s="9" t="s">
        <v>176</v>
      </c>
      <c r="M2" t="s">
        <v>151</v>
      </c>
    </row>
    <row r="3" spans="1:13">
      <c r="A3" s="1">
        <v>45496961343</v>
      </c>
      <c r="C3" t="s">
        <v>778</v>
      </c>
      <c r="D3" t="s">
        <v>81</v>
      </c>
      <c r="E3">
        <v>60</v>
      </c>
      <c r="F3" s="39">
        <v>70</v>
      </c>
      <c r="G3">
        <v>67</v>
      </c>
      <c r="H3" s="64">
        <f t="shared" si="0"/>
        <v>67</v>
      </c>
      <c r="I3" s="56">
        <v>42155</v>
      </c>
      <c r="J3" s="10" t="s">
        <v>61</v>
      </c>
      <c r="L3" s="9" t="s">
        <v>176</v>
      </c>
      <c r="M3" t="s">
        <v>30</v>
      </c>
    </row>
    <row r="4" spans="1:13">
      <c r="A4" s="1">
        <v>45496961688</v>
      </c>
      <c r="C4" s="5" t="s">
        <v>779</v>
      </c>
      <c r="D4" t="s">
        <v>81</v>
      </c>
      <c r="E4">
        <v>30</v>
      </c>
      <c r="F4" s="39">
        <v>36</v>
      </c>
      <c r="G4" s="10" t="s">
        <v>89</v>
      </c>
      <c r="H4" s="64">
        <f t="shared" si="0"/>
        <v>36</v>
      </c>
      <c r="I4" s="56">
        <v>42155</v>
      </c>
      <c r="J4" s="10" t="s">
        <v>61</v>
      </c>
      <c r="K4">
        <v>10</v>
      </c>
      <c r="L4" s="9" t="s">
        <v>176</v>
      </c>
      <c r="M4" t="s">
        <v>30</v>
      </c>
    </row>
    <row r="5" spans="1:13">
      <c r="A5" s="1">
        <v>0</v>
      </c>
      <c r="C5" s="10" t="s">
        <v>780</v>
      </c>
      <c r="D5" s="10" t="s">
        <v>81</v>
      </c>
      <c r="E5">
        <v>50</v>
      </c>
      <c r="F5" s="39">
        <v>70</v>
      </c>
      <c r="G5">
        <v>50</v>
      </c>
      <c r="H5" s="64">
        <f t="shared" si="0"/>
        <v>50</v>
      </c>
      <c r="I5" s="56">
        <v>42155</v>
      </c>
      <c r="J5" s="10" t="s">
        <v>61</v>
      </c>
      <c r="K5" s="10">
        <v>10</v>
      </c>
      <c r="L5" s="9" t="s">
        <v>176</v>
      </c>
      <c r="M5" s="10" t="s">
        <v>30</v>
      </c>
    </row>
    <row r="7" spans="1:13">
      <c r="A7" s="1" t="s">
        <v>781</v>
      </c>
    </row>
    <row r="8" spans="1:13">
      <c r="A8" s="8">
        <f>COUNT(A2:A5)</f>
        <v>4</v>
      </c>
    </row>
    <row r="9" spans="1:13">
      <c r="A9" s="1" t="s">
        <v>169</v>
      </c>
    </row>
    <row r="10" spans="1:13">
      <c r="A10" s="6">
        <f>SUM(E:E)</f>
        <v>180</v>
      </c>
    </row>
    <row r="11" spans="1:13">
      <c r="A11" s="6" t="s">
        <v>170</v>
      </c>
    </row>
    <row r="12" spans="1:13">
      <c r="A12" s="6">
        <f>AVERAGE(E:E)</f>
        <v>45</v>
      </c>
    </row>
    <row r="13" spans="1:13">
      <c r="A13" s="1" t="s">
        <v>159</v>
      </c>
    </row>
    <row r="14" spans="1:13">
      <c r="A14" s="6">
        <f>SUM(H:H)</f>
        <v>178</v>
      </c>
    </row>
    <row r="15" spans="1:13">
      <c r="A15" s="10" t="s">
        <v>160</v>
      </c>
    </row>
    <row r="16" spans="1:13">
      <c r="A16" s="10">
        <f>(A14-(A8*5))*0.85</f>
        <v>134.29999999999998</v>
      </c>
    </row>
    <row r="17" spans="1:1">
      <c r="A17" s="1" t="s">
        <v>393</v>
      </c>
    </row>
    <row r="18" spans="1:1">
      <c r="A18" s="7">
        <f>COUNTBLANK(F2:F5)</f>
        <v>0</v>
      </c>
    </row>
    <row r="19" spans="1:1">
      <c r="A19" s="1" t="s">
        <v>162</v>
      </c>
    </row>
    <row r="20" spans="1:1">
      <c r="A20" s="2">
        <f>COUNTIF(J:J,"Completed")</f>
        <v>3</v>
      </c>
    </row>
    <row r="21" spans="1:1">
      <c r="A21" s="1" t="s">
        <v>163</v>
      </c>
    </row>
    <row r="22" spans="1:1">
      <c r="A22" s="2">
        <f>COUNTIF(J:J,"CBD")</f>
        <v>0</v>
      </c>
    </row>
    <row r="23" spans="1:1">
      <c r="A23" s="1" t="s">
        <v>164</v>
      </c>
    </row>
    <row r="24" spans="1:1">
      <c r="A24" s="1">
        <f>SUM(A20,A22)</f>
        <v>3</v>
      </c>
    </row>
    <row r="25" spans="1:1">
      <c r="A25" s="1" t="s">
        <v>96</v>
      </c>
    </row>
    <row r="26" spans="1:1">
      <c r="A26" s="2">
        <f>COUNTIF(J:J,"Undone")</f>
        <v>0</v>
      </c>
    </row>
    <row r="27" spans="1:1">
      <c r="A27" s="1" t="s">
        <v>125</v>
      </c>
    </row>
    <row r="28" spans="1:1">
      <c r="A28" s="2">
        <f>COUNTIF(J:J,"Pending")</f>
        <v>1</v>
      </c>
    </row>
    <row r="29" spans="1:1">
      <c r="A29" s="1" t="s">
        <v>167</v>
      </c>
    </row>
    <row r="30" spans="1:1">
      <c r="A30" s="1">
        <f>SUM(A26,A28)</f>
        <v>1</v>
      </c>
    </row>
    <row r="31" spans="1:1">
      <c r="A31" s="1" t="s">
        <v>168</v>
      </c>
    </row>
    <row r="32" spans="1:1">
      <c r="A32" s="11">
        <f>(A24)/(A8)</f>
        <v>0.75</v>
      </c>
    </row>
  </sheetData>
  <phoneticPr fontId="2" type="noConversion"/>
  <pageMargins left="0.75" right="0.75" top="1" bottom="1" header="0.4921259845" footer="0.4921259845"/>
  <pageSetup orientation="portrait" horizontalDpi="4294967293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7"/>
  </sheetPr>
  <dimension ref="A1:M44"/>
  <sheetViews>
    <sheetView workbookViewId="0" xr3:uid="{33642244-9AC9-5136-AF77-195C889548CE}">
      <selection activeCell="A22" sqref="A22"/>
    </sheetView>
  </sheetViews>
  <sheetFormatPr defaultColWidth="11.42578125" defaultRowHeight="12.75"/>
  <cols>
    <col min="1" max="1" width="19.7109375" bestFit="1" customWidth="1"/>
    <col min="3" max="3" width="44.28515625" bestFit="1" customWidth="1"/>
    <col min="9" max="9" width="11.42578125" style="48"/>
    <col min="12" max="12" width="13.28515625" bestFit="1" customWidth="1"/>
    <col min="14" max="14" width="12.7109375" customWidth="1"/>
  </cols>
  <sheetData>
    <row r="1" spans="1:13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58" t="s">
        <v>764</v>
      </c>
      <c r="J1" t="s">
        <v>73</v>
      </c>
      <c r="K1" t="s">
        <v>74</v>
      </c>
      <c r="L1" t="s">
        <v>75</v>
      </c>
      <c r="M1" t="s">
        <v>1</v>
      </c>
    </row>
    <row r="2" spans="1:13">
      <c r="A2" s="1"/>
      <c r="B2">
        <v>0</v>
      </c>
      <c r="C2" s="10" t="s">
        <v>782</v>
      </c>
      <c r="D2" s="10" t="s">
        <v>105</v>
      </c>
      <c r="E2">
        <v>60</v>
      </c>
      <c r="F2" s="39">
        <v>200</v>
      </c>
      <c r="G2" s="39">
        <v>230</v>
      </c>
      <c r="H2" s="53">
        <f>MIN(F2:G2)</f>
        <v>200</v>
      </c>
      <c r="I2" s="48">
        <v>42481</v>
      </c>
      <c r="J2" s="10" t="s">
        <v>96</v>
      </c>
      <c r="L2" s="10" t="s">
        <v>90</v>
      </c>
      <c r="M2" s="10" t="s">
        <v>213</v>
      </c>
    </row>
    <row r="3" spans="1:13">
      <c r="A3" s="1"/>
      <c r="B3">
        <v>0</v>
      </c>
      <c r="C3" s="10" t="s">
        <v>783</v>
      </c>
      <c r="D3" s="10" t="s">
        <v>81</v>
      </c>
      <c r="E3">
        <v>30</v>
      </c>
      <c r="F3" s="10">
        <v>27</v>
      </c>
      <c r="G3">
        <v>38</v>
      </c>
      <c r="H3" s="53">
        <f>MIN(F3:G3)</f>
        <v>27</v>
      </c>
      <c r="I3" s="48">
        <v>42193</v>
      </c>
      <c r="J3" s="10" t="s">
        <v>96</v>
      </c>
      <c r="L3" s="10" t="s">
        <v>90</v>
      </c>
      <c r="M3" s="10" t="s">
        <v>30</v>
      </c>
    </row>
    <row r="4" spans="1:13">
      <c r="A4" s="1">
        <v>45496742898</v>
      </c>
      <c r="B4">
        <v>0</v>
      </c>
      <c r="C4" s="10" t="s">
        <v>784</v>
      </c>
      <c r="D4" s="10" t="s">
        <v>81</v>
      </c>
      <c r="E4">
        <v>10</v>
      </c>
      <c r="F4" s="10">
        <v>40</v>
      </c>
      <c r="G4">
        <v>42</v>
      </c>
      <c r="H4" s="53">
        <f>MIN(F4:G4)</f>
        <v>40</v>
      </c>
      <c r="I4" s="48">
        <v>42403</v>
      </c>
      <c r="J4" s="10" t="s">
        <v>96</v>
      </c>
      <c r="L4" s="10" t="s">
        <v>90</v>
      </c>
      <c r="M4" s="10" t="s">
        <v>30</v>
      </c>
    </row>
    <row r="5" spans="1:13">
      <c r="A5" s="1">
        <v>662248912233</v>
      </c>
      <c r="B5">
        <v>0</v>
      </c>
      <c r="C5" s="10" t="s">
        <v>785</v>
      </c>
      <c r="D5" s="10" t="s">
        <v>81</v>
      </c>
      <c r="E5">
        <v>10</v>
      </c>
      <c r="F5" s="10">
        <v>32</v>
      </c>
      <c r="G5" s="10">
        <v>31</v>
      </c>
      <c r="H5" s="53">
        <f t="shared" ref="H5:H17" si="0">MIN(F5:G5)</f>
        <v>31</v>
      </c>
      <c r="I5" s="48">
        <v>42403</v>
      </c>
      <c r="J5" s="10" t="s">
        <v>96</v>
      </c>
      <c r="L5" s="10" t="s">
        <v>90</v>
      </c>
      <c r="M5" s="10" t="s">
        <v>213</v>
      </c>
    </row>
    <row r="6" spans="1:13">
      <c r="A6" s="1"/>
      <c r="B6">
        <v>0</v>
      </c>
      <c r="C6" s="10" t="s">
        <v>786</v>
      </c>
      <c r="D6" s="10" t="s">
        <v>81</v>
      </c>
      <c r="E6">
        <v>16</v>
      </c>
      <c r="F6" s="10">
        <v>28</v>
      </c>
      <c r="G6">
        <v>21</v>
      </c>
      <c r="H6" s="53">
        <f t="shared" si="0"/>
        <v>21</v>
      </c>
      <c r="I6" s="48">
        <v>42193</v>
      </c>
      <c r="J6" s="10" t="s">
        <v>96</v>
      </c>
      <c r="L6" s="10" t="s">
        <v>90</v>
      </c>
      <c r="M6" s="10" t="s">
        <v>30</v>
      </c>
    </row>
    <row r="7" spans="1:13">
      <c r="A7" s="1"/>
      <c r="B7">
        <v>0</v>
      </c>
      <c r="C7" s="10" t="s">
        <v>787</v>
      </c>
      <c r="D7" s="10" t="s">
        <v>105</v>
      </c>
      <c r="E7">
        <v>80</v>
      </c>
      <c r="F7">
        <v>110</v>
      </c>
      <c r="G7">
        <v>77</v>
      </c>
      <c r="H7" s="53">
        <f t="shared" si="0"/>
        <v>77</v>
      </c>
      <c r="I7" s="48">
        <v>42169</v>
      </c>
      <c r="J7" s="10" t="s">
        <v>96</v>
      </c>
      <c r="L7" s="10" t="s">
        <v>90</v>
      </c>
      <c r="M7" t="s">
        <v>177</v>
      </c>
    </row>
    <row r="8" spans="1:13">
      <c r="A8" s="1"/>
      <c r="B8">
        <v>0</v>
      </c>
      <c r="C8" s="10" t="s">
        <v>788</v>
      </c>
      <c r="D8" s="10" t="s">
        <v>81</v>
      </c>
      <c r="E8">
        <v>26</v>
      </c>
      <c r="F8">
        <v>44</v>
      </c>
      <c r="G8">
        <v>33</v>
      </c>
      <c r="H8" s="53">
        <f t="shared" si="0"/>
        <v>33</v>
      </c>
      <c r="I8" s="48">
        <v>42193</v>
      </c>
      <c r="J8" s="10" t="s">
        <v>96</v>
      </c>
      <c r="L8" s="10" t="s">
        <v>90</v>
      </c>
      <c r="M8" s="10" t="s">
        <v>30</v>
      </c>
    </row>
    <row r="9" spans="1:13">
      <c r="A9" s="1">
        <v>45496743321</v>
      </c>
      <c r="B9">
        <v>0</v>
      </c>
      <c r="C9" s="10" t="s">
        <v>789</v>
      </c>
      <c r="D9" s="10" t="s">
        <v>81</v>
      </c>
      <c r="E9">
        <v>20</v>
      </c>
      <c r="F9">
        <v>71</v>
      </c>
      <c r="G9">
        <v>50</v>
      </c>
      <c r="H9" s="53">
        <f t="shared" si="0"/>
        <v>50</v>
      </c>
      <c r="I9" s="48">
        <v>42481</v>
      </c>
      <c r="J9" s="10" t="s">
        <v>96</v>
      </c>
      <c r="L9" s="10" t="s">
        <v>90</v>
      </c>
      <c r="M9" s="10" t="s">
        <v>30</v>
      </c>
    </row>
    <row r="10" spans="1:13">
      <c r="A10" s="1"/>
      <c r="B10">
        <v>0</v>
      </c>
      <c r="C10" s="10" t="s">
        <v>790</v>
      </c>
      <c r="D10" s="10" t="s">
        <v>81</v>
      </c>
      <c r="E10">
        <v>29</v>
      </c>
      <c r="F10" s="10">
        <v>75</v>
      </c>
      <c r="G10">
        <v>37</v>
      </c>
      <c r="H10" s="53">
        <f t="shared" si="0"/>
        <v>37</v>
      </c>
      <c r="I10" s="48">
        <v>42193</v>
      </c>
      <c r="J10" s="10" t="s">
        <v>96</v>
      </c>
      <c r="L10" s="10" t="s">
        <v>791</v>
      </c>
      <c r="M10" t="s">
        <v>177</v>
      </c>
    </row>
    <row r="11" spans="1:13">
      <c r="A11" s="1"/>
      <c r="B11">
        <v>0</v>
      </c>
      <c r="C11" s="10" t="s">
        <v>790</v>
      </c>
      <c r="D11" s="10" t="s">
        <v>105</v>
      </c>
      <c r="E11">
        <v>50</v>
      </c>
      <c r="F11" s="37">
        <v>75</v>
      </c>
      <c r="G11">
        <v>59</v>
      </c>
      <c r="H11" s="53">
        <f t="shared" si="0"/>
        <v>59</v>
      </c>
      <c r="I11" s="48">
        <v>42169</v>
      </c>
      <c r="J11" s="10" t="s">
        <v>96</v>
      </c>
      <c r="L11" s="10" t="s">
        <v>90</v>
      </c>
      <c r="M11" t="s">
        <v>177</v>
      </c>
    </row>
    <row r="12" spans="1:13">
      <c r="A12" s="1"/>
      <c r="B12">
        <v>0</v>
      </c>
      <c r="C12" s="10" t="s">
        <v>792</v>
      </c>
      <c r="D12" s="10" t="s">
        <v>105</v>
      </c>
      <c r="E12">
        <v>65</v>
      </c>
      <c r="F12" s="32">
        <v>105</v>
      </c>
      <c r="G12" s="10" t="s">
        <v>89</v>
      </c>
      <c r="H12" s="53">
        <f t="shared" si="0"/>
        <v>105</v>
      </c>
      <c r="I12" s="48">
        <v>42348</v>
      </c>
      <c r="J12" s="10" t="s">
        <v>96</v>
      </c>
      <c r="L12" s="10" t="s">
        <v>90</v>
      </c>
      <c r="M12" s="10" t="s">
        <v>177</v>
      </c>
    </row>
    <row r="13" spans="1:13">
      <c r="A13" s="1"/>
      <c r="B13">
        <v>0</v>
      </c>
      <c r="C13" s="10" t="s">
        <v>793</v>
      </c>
      <c r="D13" s="10" t="s">
        <v>81</v>
      </c>
      <c r="E13">
        <v>29</v>
      </c>
      <c r="F13">
        <v>39</v>
      </c>
      <c r="G13">
        <v>38</v>
      </c>
      <c r="H13" s="53">
        <f t="shared" si="0"/>
        <v>38</v>
      </c>
      <c r="I13" s="48">
        <v>42193</v>
      </c>
      <c r="J13" s="10" t="s">
        <v>61</v>
      </c>
      <c r="L13" s="10" t="s">
        <v>90</v>
      </c>
      <c r="M13" t="s">
        <v>30</v>
      </c>
    </row>
    <row r="14" spans="1:13">
      <c r="A14" s="1">
        <v>45496743185</v>
      </c>
      <c r="B14">
        <v>0</v>
      </c>
      <c r="C14" s="10" t="s">
        <v>794</v>
      </c>
      <c r="D14" s="10" t="s">
        <v>105</v>
      </c>
      <c r="E14">
        <v>40</v>
      </c>
      <c r="F14">
        <v>48</v>
      </c>
      <c r="G14">
        <v>40</v>
      </c>
      <c r="H14" s="53">
        <f t="shared" si="0"/>
        <v>40</v>
      </c>
      <c r="I14" s="48">
        <v>42176</v>
      </c>
      <c r="J14" s="10" t="s">
        <v>96</v>
      </c>
      <c r="L14" s="10" t="s">
        <v>90</v>
      </c>
      <c r="M14" s="10" t="s">
        <v>30</v>
      </c>
    </row>
    <row r="15" spans="1:13">
      <c r="A15" s="1">
        <v>45496743413</v>
      </c>
      <c r="B15">
        <v>0</v>
      </c>
      <c r="C15" s="32" t="s">
        <v>795</v>
      </c>
      <c r="D15" s="10" t="s">
        <v>105</v>
      </c>
      <c r="E15">
        <v>58</v>
      </c>
      <c r="F15">
        <v>58</v>
      </c>
      <c r="G15">
        <v>58</v>
      </c>
      <c r="H15" s="53">
        <f t="shared" si="0"/>
        <v>58</v>
      </c>
      <c r="I15" s="48">
        <v>42428</v>
      </c>
      <c r="J15" s="10" t="s">
        <v>96</v>
      </c>
      <c r="L15" s="10" t="s">
        <v>90</v>
      </c>
      <c r="M15" s="10" t="s">
        <v>30</v>
      </c>
    </row>
    <row r="16" spans="1:13">
      <c r="A16" s="1">
        <v>730865300228</v>
      </c>
      <c r="B16">
        <v>0</v>
      </c>
      <c r="C16" s="10" t="s">
        <v>796</v>
      </c>
      <c r="D16" s="10" t="s">
        <v>105</v>
      </c>
      <c r="E16">
        <v>58</v>
      </c>
      <c r="F16">
        <v>79</v>
      </c>
      <c r="G16">
        <v>49</v>
      </c>
      <c r="H16" s="53">
        <f t="shared" si="0"/>
        <v>49</v>
      </c>
      <c r="I16" s="48">
        <v>42442</v>
      </c>
      <c r="J16" s="10" t="s">
        <v>96</v>
      </c>
      <c r="L16" s="10" t="s">
        <v>90</v>
      </c>
      <c r="M16" s="10" t="s">
        <v>177</v>
      </c>
    </row>
    <row r="17" spans="1:13">
      <c r="A17" s="1">
        <v>662248914800</v>
      </c>
      <c r="B17">
        <v>0</v>
      </c>
      <c r="C17" s="10" t="s">
        <v>797</v>
      </c>
      <c r="D17" s="10" t="s">
        <v>105</v>
      </c>
      <c r="E17">
        <v>20</v>
      </c>
      <c r="F17">
        <v>92</v>
      </c>
      <c r="G17">
        <v>65</v>
      </c>
      <c r="H17" s="53">
        <f t="shared" si="0"/>
        <v>65</v>
      </c>
      <c r="I17" s="48">
        <v>42442</v>
      </c>
      <c r="J17" s="10" t="s">
        <v>96</v>
      </c>
      <c r="L17" s="10" t="s">
        <v>90</v>
      </c>
      <c r="M17" s="10" t="s">
        <v>213</v>
      </c>
    </row>
    <row r="18" spans="1:13">
      <c r="B18">
        <v>0</v>
      </c>
      <c r="C18" s="10" t="s">
        <v>798</v>
      </c>
      <c r="D18" s="10" t="s">
        <v>105</v>
      </c>
      <c r="E18">
        <v>120</v>
      </c>
      <c r="F18">
        <v>180</v>
      </c>
      <c r="G18" s="10" t="s">
        <v>89</v>
      </c>
      <c r="H18" s="53">
        <f>MIN(F18:G18)</f>
        <v>180</v>
      </c>
      <c r="I18" s="48">
        <v>42442</v>
      </c>
      <c r="J18" s="10" t="s">
        <v>96</v>
      </c>
      <c r="L18" s="10" t="s">
        <v>90</v>
      </c>
      <c r="M18" s="10" t="s">
        <v>30</v>
      </c>
    </row>
    <row r="19" spans="1:13">
      <c r="A19" s="1" t="s">
        <v>799</v>
      </c>
    </row>
    <row r="20" spans="1:13">
      <c r="A20" s="8">
        <f>COUNT(B:B)</f>
        <v>17</v>
      </c>
    </row>
    <row r="21" spans="1:13">
      <c r="A21" s="1" t="s">
        <v>169</v>
      </c>
    </row>
    <row r="22" spans="1:13">
      <c r="A22" s="6">
        <f>SUM(E:E)</f>
        <v>721</v>
      </c>
    </row>
    <row r="23" spans="1:13">
      <c r="A23" s="6" t="s">
        <v>170</v>
      </c>
    </row>
    <row r="24" spans="1:13">
      <c r="A24" s="6">
        <f>AVERAGE(E:E)</f>
        <v>42.411764705882355</v>
      </c>
    </row>
    <row r="25" spans="1:13">
      <c r="A25" s="1" t="s">
        <v>159</v>
      </c>
    </row>
    <row r="26" spans="1:13">
      <c r="A26" s="6">
        <f>SUM(H:H)</f>
        <v>1110</v>
      </c>
    </row>
    <row r="27" spans="1:13">
      <c r="A27" s="1" t="s">
        <v>162</v>
      </c>
    </row>
    <row r="28" spans="1:13">
      <c r="A28" s="2">
        <f>COUNTIF(J:J,"Completed")</f>
        <v>1</v>
      </c>
    </row>
    <row r="29" spans="1:13">
      <c r="A29" s="1" t="s">
        <v>163</v>
      </c>
    </row>
    <row r="30" spans="1:13">
      <c r="A30" s="2">
        <f>COUNTIF(J:J,"CBD")</f>
        <v>0</v>
      </c>
    </row>
    <row r="31" spans="1:13">
      <c r="A31" s="1" t="s">
        <v>164</v>
      </c>
    </row>
    <row r="32" spans="1:13">
      <c r="A32" s="1">
        <f>SUM(A28,A30)</f>
        <v>1</v>
      </c>
    </row>
    <row r="33" spans="1:1">
      <c r="A33" s="1" t="s">
        <v>96</v>
      </c>
    </row>
    <row r="34" spans="1:1">
      <c r="A34" s="2">
        <f>COUNTIF(J:J,"Undone")</f>
        <v>16</v>
      </c>
    </row>
    <row r="35" spans="1:1">
      <c r="A35" s="1" t="s">
        <v>125</v>
      </c>
    </row>
    <row r="36" spans="1:1">
      <c r="A36" s="2">
        <f>COUNTIF(J:J,"Pending")</f>
        <v>0</v>
      </c>
    </row>
    <row r="37" spans="1:1">
      <c r="A37" s="1" t="s">
        <v>167</v>
      </c>
    </row>
    <row r="38" spans="1:1">
      <c r="A38" s="1">
        <f>SUM(A34,A36)</f>
        <v>16</v>
      </c>
    </row>
    <row r="39" spans="1:1">
      <c r="A39" s="1" t="s">
        <v>168</v>
      </c>
    </row>
    <row r="40" spans="1:1">
      <c r="A40" s="11">
        <f>(A32)/((A20)+3)</f>
        <v>0.05</v>
      </c>
    </row>
    <row r="41" spans="1:1">
      <c r="A41" s="10" t="s">
        <v>159</v>
      </c>
    </row>
    <row r="42" spans="1:1">
      <c r="A42">
        <f>SUM(F:F)</f>
        <v>1303</v>
      </c>
    </row>
    <row r="43" spans="1:1">
      <c r="A43" s="10" t="s">
        <v>160</v>
      </c>
    </row>
    <row r="44" spans="1:1">
      <c r="A44" s="10">
        <f>(A42-(A20*5))*0.85</f>
        <v>1035.3</v>
      </c>
    </row>
  </sheetData>
  <pageMargins left="0.75" right="0.75" top="1" bottom="1" header="0.4921259845" footer="0.492125984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7"/>
  </sheetPr>
  <dimension ref="A1:M59"/>
  <sheetViews>
    <sheetView workbookViewId="0" xr3:uid="{D624DF06-3800-545C-AC8D-BADC89115800}">
      <selection activeCell="M2" sqref="M2"/>
    </sheetView>
  </sheetViews>
  <sheetFormatPr defaultColWidth="11.42578125" defaultRowHeight="12.75"/>
  <cols>
    <col min="1" max="1" width="18.7109375" bestFit="1" customWidth="1"/>
    <col min="3" max="3" width="38.28515625" customWidth="1"/>
    <col min="8" max="8" width="6.85546875" bestFit="1" customWidth="1"/>
    <col min="13" max="13" width="12.7109375" customWidth="1"/>
  </cols>
  <sheetData>
    <row r="1" spans="1:13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10" t="s">
        <v>764</v>
      </c>
      <c r="J1" t="s">
        <v>73</v>
      </c>
      <c r="K1" t="s">
        <v>74</v>
      </c>
      <c r="L1" t="s">
        <v>1</v>
      </c>
    </row>
    <row r="2" spans="1:13">
      <c r="A2" s="1">
        <v>73086540034</v>
      </c>
      <c r="C2" t="s">
        <v>800</v>
      </c>
      <c r="D2" t="s">
        <v>81</v>
      </c>
      <c r="E2">
        <v>24</v>
      </c>
      <c r="G2" s="10"/>
      <c r="H2" s="10"/>
      <c r="I2" s="10"/>
      <c r="J2" t="s">
        <v>96</v>
      </c>
      <c r="L2" t="s">
        <v>177</v>
      </c>
    </row>
    <row r="3" spans="1:13">
      <c r="A3" s="1">
        <v>730865300198</v>
      </c>
      <c r="C3" t="s">
        <v>801</v>
      </c>
      <c r="D3" t="s">
        <v>105</v>
      </c>
      <c r="E3">
        <v>68</v>
      </c>
      <c r="F3">
        <v>58</v>
      </c>
      <c r="G3" s="10">
        <v>56</v>
      </c>
      <c r="H3" s="53">
        <f t="shared" ref="H3:H6" si="0">MIN(F3:G3)</f>
        <v>56</v>
      </c>
      <c r="I3" s="48">
        <v>42400</v>
      </c>
      <c r="J3" s="10" t="s">
        <v>96</v>
      </c>
      <c r="L3" t="s">
        <v>177</v>
      </c>
      <c r="M3" t="s">
        <v>802</v>
      </c>
    </row>
    <row r="4" spans="1:13">
      <c r="A4" s="1">
        <v>662248908137</v>
      </c>
      <c r="C4" t="s">
        <v>803</v>
      </c>
      <c r="D4" t="s">
        <v>105</v>
      </c>
      <c r="E4">
        <v>55</v>
      </c>
      <c r="F4" s="87">
        <v>55</v>
      </c>
      <c r="G4" s="10">
        <v>54</v>
      </c>
      <c r="H4" s="53">
        <f t="shared" si="0"/>
        <v>54</v>
      </c>
      <c r="I4" s="48">
        <v>42400</v>
      </c>
      <c r="J4" s="10" t="s">
        <v>96</v>
      </c>
      <c r="L4" t="s">
        <v>213</v>
      </c>
    </row>
    <row r="5" spans="1:13">
      <c r="A5" s="1">
        <v>662248908267</v>
      </c>
      <c r="C5" t="s">
        <v>804</v>
      </c>
      <c r="D5" t="s">
        <v>105</v>
      </c>
      <c r="E5">
        <v>55</v>
      </c>
      <c r="F5" s="10" t="s">
        <v>89</v>
      </c>
      <c r="G5" s="10">
        <v>49</v>
      </c>
      <c r="H5" s="53">
        <f t="shared" si="0"/>
        <v>49</v>
      </c>
      <c r="I5" s="48">
        <v>42400</v>
      </c>
      <c r="J5" s="10" t="s">
        <v>96</v>
      </c>
      <c r="L5" t="s">
        <v>213</v>
      </c>
    </row>
    <row r="6" spans="1:13">
      <c r="A6" s="1">
        <v>48496741303</v>
      </c>
      <c r="C6" t="s">
        <v>805</v>
      </c>
      <c r="D6" t="s">
        <v>81</v>
      </c>
      <c r="E6">
        <v>70</v>
      </c>
      <c r="F6" s="87">
        <v>90</v>
      </c>
      <c r="G6" s="10" t="s">
        <v>89</v>
      </c>
      <c r="H6" s="53">
        <f t="shared" si="0"/>
        <v>90</v>
      </c>
      <c r="I6" s="48">
        <v>42400</v>
      </c>
      <c r="J6" s="10" t="s">
        <v>96</v>
      </c>
      <c r="L6" t="s">
        <v>30</v>
      </c>
    </row>
    <row r="7" spans="1:13">
      <c r="A7" s="1">
        <v>45496741013</v>
      </c>
      <c r="C7" t="s">
        <v>806</v>
      </c>
      <c r="D7" t="s">
        <v>81</v>
      </c>
      <c r="E7">
        <v>15</v>
      </c>
      <c r="F7">
        <v>33</v>
      </c>
      <c r="G7" s="10">
        <v>50</v>
      </c>
      <c r="H7" s="53">
        <f t="shared" ref="H7:H29" si="1">MIN(F7:G7)</f>
        <v>33</v>
      </c>
      <c r="I7" s="48">
        <v>42347</v>
      </c>
      <c r="J7" s="10" t="s">
        <v>96</v>
      </c>
      <c r="L7" s="10" t="s">
        <v>213</v>
      </c>
    </row>
    <row r="8" spans="1:13">
      <c r="A8" s="1">
        <v>662248907123</v>
      </c>
      <c r="C8" t="s">
        <v>807</v>
      </c>
      <c r="D8" t="s">
        <v>81</v>
      </c>
      <c r="E8">
        <v>35</v>
      </c>
      <c r="F8" s="39">
        <v>28</v>
      </c>
      <c r="G8">
        <v>45</v>
      </c>
      <c r="H8" s="53">
        <f t="shared" si="1"/>
        <v>28</v>
      </c>
      <c r="I8" s="48">
        <v>42169</v>
      </c>
      <c r="J8" t="s">
        <v>61</v>
      </c>
      <c r="K8">
        <v>8</v>
      </c>
      <c r="L8" t="s">
        <v>213</v>
      </c>
    </row>
    <row r="9" spans="1:13">
      <c r="A9" s="1">
        <v>45496741617</v>
      </c>
      <c r="C9" t="s">
        <v>808</v>
      </c>
      <c r="D9" t="s">
        <v>81</v>
      </c>
      <c r="E9">
        <v>15</v>
      </c>
      <c r="F9" s="39">
        <v>25</v>
      </c>
      <c r="G9" s="37">
        <v>32</v>
      </c>
      <c r="H9" s="53">
        <f t="shared" si="1"/>
        <v>25</v>
      </c>
      <c r="I9" s="48">
        <v>42403</v>
      </c>
      <c r="J9" s="10" t="s">
        <v>96</v>
      </c>
      <c r="L9" s="10" t="s">
        <v>213</v>
      </c>
    </row>
    <row r="10" spans="1:13">
      <c r="A10" s="1">
        <v>662248906133</v>
      </c>
      <c r="B10">
        <v>0</v>
      </c>
      <c r="C10" s="10" t="s">
        <v>809</v>
      </c>
      <c r="D10" s="10" t="s">
        <v>81</v>
      </c>
      <c r="E10">
        <v>20</v>
      </c>
      <c r="F10" s="10">
        <v>41</v>
      </c>
      <c r="G10">
        <v>29</v>
      </c>
      <c r="H10" s="53">
        <f t="shared" si="1"/>
        <v>29</v>
      </c>
      <c r="I10" s="48">
        <v>42442</v>
      </c>
      <c r="J10" s="10" t="s">
        <v>96</v>
      </c>
      <c r="L10" s="10" t="s">
        <v>213</v>
      </c>
    </row>
    <row r="11" spans="1:13">
      <c r="A11" s="1">
        <v>662248907147</v>
      </c>
      <c r="C11" s="10" t="s">
        <v>810</v>
      </c>
      <c r="D11" t="s">
        <v>81</v>
      </c>
      <c r="E11">
        <v>40</v>
      </c>
      <c r="F11" s="87">
        <v>30</v>
      </c>
      <c r="G11">
        <v>65</v>
      </c>
      <c r="H11" s="53">
        <f t="shared" si="1"/>
        <v>30</v>
      </c>
      <c r="I11" s="48">
        <v>42169</v>
      </c>
      <c r="J11" t="s">
        <v>125</v>
      </c>
      <c r="L11" t="s">
        <v>213</v>
      </c>
    </row>
    <row r="12" spans="1:13">
      <c r="A12" s="1">
        <v>45496740054</v>
      </c>
      <c r="C12" s="10" t="s">
        <v>811</v>
      </c>
      <c r="D12" s="10" t="s">
        <v>81</v>
      </c>
      <c r="E12">
        <v>20</v>
      </c>
      <c r="F12" s="32">
        <v>73</v>
      </c>
      <c r="G12">
        <v>85</v>
      </c>
      <c r="H12" s="53">
        <f t="shared" si="1"/>
        <v>73</v>
      </c>
      <c r="I12" s="48">
        <v>42173</v>
      </c>
      <c r="J12" s="10" t="s">
        <v>96</v>
      </c>
      <c r="L12" t="s">
        <v>30</v>
      </c>
    </row>
    <row r="13" spans="1:13">
      <c r="A13" s="1">
        <v>45796741099</v>
      </c>
      <c r="C13" s="10" t="s">
        <v>812</v>
      </c>
      <c r="D13" s="10" t="s">
        <v>105</v>
      </c>
      <c r="E13">
        <v>35</v>
      </c>
      <c r="F13" s="32">
        <v>35</v>
      </c>
      <c r="G13">
        <v>30</v>
      </c>
      <c r="H13" s="53">
        <f t="shared" si="1"/>
        <v>30</v>
      </c>
      <c r="I13" s="48">
        <v>42400</v>
      </c>
      <c r="J13" s="10" t="s">
        <v>96</v>
      </c>
      <c r="L13" t="s">
        <v>30</v>
      </c>
    </row>
    <row r="14" spans="1:13">
      <c r="A14" s="1">
        <v>719593100072</v>
      </c>
      <c r="C14" s="10" t="s">
        <v>813</v>
      </c>
      <c r="D14" s="10" t="s">
        <v>81</v>
      </c>
      <c r="E14">
        <v>10</v>
      </c>
      <c r="F14" s="32">
        <v>31</v>
      </c>
      <c r="G14">
        <v>25</v>
      </c>
      <c r="H14" s="53">
        <f t="shared" si="1"/>
        <v>25</v>
      </c>
      <c r="I14" s="58">
        <v>42358</v>
      </c>
      <c r="J14" s="10" t="s">
        <v>96</v>
      </c>
      <c r="L14" s="10" t="s">
        <v>151</v>
      </c>
    </row>
    <row r="15" spans="1:13">
      <c r="A15" s="1">
        <v>730865400331</v>
      </c>
      <c r="C15" s="10" t="s">
        <v>814</v>
      </c>
      <c r="D15" s="10" t="s">
        <v>105</v>
      </c>
      <c r="E15">
        <v>35</v>
      </c>
      <c r="F15" s="32">
        <v>42</v>
      </c>
      <c r="G15">
        <v>38</v>
      </c>
      <c r="H15" s="53">
        <f t="shared" si="1"/>
        <v>38</v>
      </c>
      <c r="I15" s="58">
        <v>42400</v>
      </c>
      <c r="J15" s="10" t="s">
        <v>96</v>
      </c>
      <c r="L15" s="10" t="s">
        <v>177</v>
      </c>
    </row>
    <row r="16" spans="1:13">
      <c r="A16" s="61">
        <v>45496737320</v>
      </c>
      <c r="C16" t="s">
        <v>815</v>
      </c>
      <c r="D16" t="s">
        <v>81</v>
      </c>
      <c r="E16">
        <v>35</v>
      </c>
      <c r="F16" s="37">
        <v>24</v>
      </c>
      <c r="G16">
        <v>27</v>
      </c>
      <c r="H16" s="53">
        <f t="shared" si="1"/>
        <v>24</v>
      </c>
      <c r="I16" s="48">
        <v>42169</v>
      </c>
      <c r="J16" t="s">
        <v>61</v>
      </c>
      <c r="K16">
        <v>7</v>
      </c>
      <c r="L16" t="s">
        <v>30</v>
      </c>
    </row>
    <row r="17" spans="1:12">
      <c r="A17" s="61">
        <v>45496742065</v>
      </c>
      <c r="C17" t="s">
        <v>816</v>
      </c>
      <c r="D17" t="s">
        <v>81</v>
      </c>
      <c r="E17">
        <v>20</v>
      </c>
      <c r="F17" s="32">
        <v>36</v>
      </c>
      <c r="G17">
        <v>45</v>
      </c>
      <c r="H17" s="53">
        <f t="shared" si="1"/>
        <v>36</v>
      </c>
      <c r="I17" s="48">
        <v>42173</v>
      </c>
      <c r="J17" s="10" t="s">
        <v>96</v>
      </c>
      <c r="L17" t="s">
        <v>30</v>
      </c>
    </row>
    <row r="18" spans="1:12">
      <c r="A18" s="1">
        <v>45496738501</v>
      </c>
      <c r="C18" t="s">
        <v>817</v>
      </c>
      <c r="D18" t="s">
        <v>81</v>
      </c>
      <c r="E18">
        <v>40</v>
      </c>
      <c r="F18" s="39">
        <v>30</v>
      </c>
      <c r="G18">
        <v>39</v>
      </c>
      <c r="H18" s="53">
        <f t="shared" si="1"/>
        <v>30</v>
      </c>
      <c r="I18" s="48">
        <v>42169</v>
      </c>
      <c r="J18" t="s">
        <v>61</v>
      </c>
      <c r="K18">
        <v>10</v>
      </c>
      <c r="L18" t="s">
        <v>30</v>
      </c>
    </row>
    <row r="19" spans="1:12">
      <c r="A19" s="14" t="s">
        <v>223</v>
      </c>
      <c r="C19" s="10" t="s">
        <v>818</v>
      </c>
      <c r="D19" s="10" t="s">
        <v>81</v>
      </c>
      <c r="E19">
        <v>20</v>
      </c>
      <c r="F19" s="32">
        <v>58</v>
      </c>
      <c r="G19">
        <v>73</v>
      </c>
      <c r="H19" s="53">
        <f t="shared" si="1"/>
        <v>58</v>
      </c>
      <c r="I19" s="48">
        <v>42173</v>
      </c>
      <c r="J19" s="10" t="s">
        <v>96</v>
      </c>
      <c r="L19" t="s">
        <v>30</v>
      </c>
    </row>
    <row r="20" spans="1:12">
      <c r="A20" s="14" t="s">
        <v>223</v>
      </c>
      <c r="C20" s="10" t="s">
        <v>819</v>
      </c>
      <c r="D20" s="10" t="s">
        <v>81</v>
      </c>
      <c r="E20">
        <v>20</v>
      </c>
      <c r="F20" s="32">
        <v>56</v>
      </c>
      <c r="G20">
        <v>71</v>
      </c>
      <c r="H20" s="53">
        <f t="shared" si="1"/>
        <v>56</v>
      </c>
      <c r="I20" s="48">
        <v>42173</v>
      </c>
      <c r="J20" s="10" t="s">
        <v>96</v>
      </c>
      <c r="L20" t="s">
        <v>30</v>
      </c>
    </row>
    <row r="21" spans="1:12">
      <c r="A21" s="14"/>
      <c r="C21" s="10" t="s">
        <v>820</v>
      </c>
      <c r="D21" s="10" t="s">
        <v>81</v>
      </c>
      <c r="E21">
        <v>10</v>
      </c>
      <c r="F21" s="32">
        <v>45</v>
      </c>
      <c r="G21">
        <v>45</v>
      </c>
      <c r="H21" s="53">
        <f t="shared" si="1"/>
        <v>45</v>
      </c>
      <c r="I21" s="48">
        <v>42403</v>
      </c>
      <c r="J21" s="10" t="s">
        <v>96</v>
      </c>
      <c r="L21" s="10" t="s">
        <v>30</v>
      </c>
    </row>
    <row r="22" spans="1:12">
      <c r="A22" s="1">
        <v>45496742041</v>
      </c>
      <c r="C22" t="s">
        <v>821</v>
      </c>
      <c r="D22" t="s">
        <v>81</v>
      </c>
      <c r="E22">
        <v>30</v>
      </c>
      <c r="F22" s="39">
        <v>35</v>
      </c>
      <c r="G22">
        <v>40</v>
      </c>
      <c r="H22" s="53">
        <f t="shared" si="1"/>
        <v>35</v>
      </c>
      <c r="I22" s="48">
        <v>42169</v>
      </c>
      <c r="J22" t="s">
        <v>125</v>
      </c>
      <c r="L22" t="s">
        <v>30</v>
      </c>
    </row>
    <row r="23" spans="1:12">
      <c r="A23" s="1">
        <v>730865400423</v>
      </c>
      <c r="C23" t="s">
        <v>822</v>
      </c>
      <c r="D23" t="s">
        <v>105</v>
      </c>
      <c r="E23">
        <v>35</v>
      </c>
      <c r="F23" s="87">
        <v>35</v>
      </c>
      <c r="G23">
        <v>35</v>
      </c>
      <c r="H23" s="53">
        <f t="shared" si="1"/>
        <v>35</v>
      </c>
      <c r="I23" s="48">
        <v>42400</v>
      </c>
      <c r="J23" s="10" t="s">
        <v>96</v>
      </c>
      <c r="L23" t="s">
        <v>177</v>
      </c>
    </row>
    <row r="24" spans="1:12">
      <c r="A24" s="1">
        <v>719593100041</v>
      </c>
      <c r="C24" t="s">
        <v>823</v>
      </c>
      <c r="D24" t="s">
        <v>81</v>
      </c>
      <c r="E24">
        <v>35</v>
      </c>
      <c r="F24" s="39">
        <v>41</v>
      </c>
      <c r="G24">
        <v>30</v>
      </c>
      <c r="H24" s="53">
        <f t="shared" si="1"/>
        <v>30</v>
      </c>
      <c r="I24" s="48">
        <v>42169</v>
      </c>
      <c r="J24" t="s">
        <v>125</v>
      </c>
      <c r="L24" t="s">
        <v>151</v>
      </c>
    </row>
    <row r="25" spans="1:12">
      <c r="A25" s="1">
        <v>719593100157</v>
      </c>
      <c r="C25" t="s">
        <v>824</v>
      </c>
      <c r="D25" t="s">
        <v>105</v>
      </c>
      <c r="E25">
        <v>35</v>
      </c>
      <c r="F25" s="37">
        <v>38</v>
      </c>
      <c r="G25">
        <v>26</v>
      </c>
      <c r="H25" s="53">
        <f t="shared" si="1"/>
        <v>26</v>
      </c>
      <c r="I25" s="48">
        <v>42169</v>
      </c>
      <c r="J25" t="s">
        <v>96</v>
      </c>
      <c r="L25" t="s">
        <v>151</v>
      </c>
    </row>
    <row r="26" spans="1:12">
      <c r="A26" s="1">
        <v>719593100317</v>
      </c>
      <c r="C26" t="s">
        <v>825</v>
      </c>
      <c r="D26" t="s">
        <v>105</v>
      </c>
      <c r="E26">
        <v>35</v>
      </c>
      <c r="F26" s="37"/>
      <c r="H26" s="53"/>
      <c r="I26" s="48"/>
      <c r="J26" t="s">
        <v>96</v>
      </c>
      <c r="L26" t="s">
        <v>151</v>
      </c>
    </row>
    <row r="27" spans="1:12">
      <c r="A27" s="1">
        <v>662248908014</v>
      </c>
      <c r="B27">
        <v>0</v>
      </c>
      <c r="C27" s="10" t="s">
        <v>826</v>
      </c>
      <c r="D27" s="10" t="s">
        <v>105</v>
      </c>
      <c r="E27">
        <v>20</v>
      </c>
      <c r="F27">
        <v>48</v>
      </c>
      <c r="G27">
        <v>34</v>
      </c>
      <c r="H27" s="53">
        <f t="shared" si="1"/>
        <v>34</v>
      </c>
      <c r="I27" s="48">
        <v>42442</v>
      </c>
      <c r="J27" s="10" t="s">
        <v>96</v>
      </c>
      <c r="L27" s="10" t="s">
        <v>213</v>
      </c>
    </row>
    <row r="28" spans="1:12">
      <c r="A28" s="1"/>
      <c r="C28" t="s">
        <v>827</v>
      </c>
      <c r="D28" t="s">
        <v>81</v>
      </c>
      <c r="E28">
        <v>30</v>
      </c>
      <c r="F28" s="32">
        <v>33</v>
      </c>
      <c r="G28">
        <v>32</v>
      </c>
      <c r="H28" s="53">
        <f t="shared" si="1"/>
        <v>32</v>
      </c>
      <c r="I28" s="48">
        <v>42281</v>
      </c>
      <c r="J28" s="10" t="s">
        <v>96</v>
      </c>
      <c r="L28" s="10" t="s">
        <v>30</v>
      </c>
    </row>
    <row r="29" spans="1:12">
      <c r="A29" s="1"/>
      <c r="C29" t="s">
        <v>828</v>
      </c>
      <c r="D29" t="s">
        <v>81</v>
      </c>
      <c r="E29">
        <v>30</v>
      </c>
      <c r="F29" s="32">
        <v>50</v>
      </c>
      <c r="G29">
        <v>44</v>
      </c>
      <c r="H29" s="53">
        <f t="shared" si="1"/>
        <v>44</v>
      </c>
      <c r="I29" s="48">
        <v>42281</v>
      </c>
      <c r="J29" s="10" t="s">
        <v>96</v>
      </c>
      <c r="L29" s="10" t="s">
        <v>30</v>
      </c>
    </row>
    <row r="30" spans="1:12">
      <c r="A30" s="1"/>
    </row>
    <row r="32" spans="1:12">
      <c r="A32" s="1" t="s">
        <v>799</v>
      </c>
    </row>
    <row r="33" spans="1:1">
      <c r="A33" s="8">
        <f>COUNT(A8:A25)</f>
        <v>15</v>
      </c>
    </row>
    <row r="34" spans="1:1">
      <c r="A34" s="1" t="s">
        <v>169</v>
      </c>
    </row>
    <row r="35" spans="1:1">
      <c r="A35" s="6">
        <f>SUM(E:E)</f>
        <v>892</v>
      </c>
    </row>
    <row r="36" spans="1:1">
      <c r="A36" s="6" t="s">
        <v>170</v>
      </c>
    </row>
    <row r="37" spans="1:1">
      <c r="A37" s="6">
        <f>AVERAGE(E:E)</f>
        <v>31.857142857142858</v>
      </c>
    </row>
    <row r="38" spans="1:1">
      <c r="A38" s="1" t="s">
        <v>159</v>
      </c>
    </row>
    <row r="39" spans="1:1">
      <c r="A39" s="6">
        <f>SUM(H:H)</f>
        <v>1045</v>
      </c>
    </row>
    <row r="40" spans="1:1">
      <c r="A40" s="1" t="s">
        <v>393</v>
      </c>
    </row>
    <row r="41" spans="1:1">
      <c r="A41" s="7">
        <f>COUNTBLANK(F8:F25)</f>
        <v>0</v>
      </c>
    </row>
    <row r="42" spans="1:1">
      <c r="A42" s="1" t="s">
        <v>162</v>
      </c>
    </row>
    <row r="43" spans="1:1">
      <c r="A43" s="2">
        <f>COUNTIF(J:J,"Completed")</f>
        <v>3</v>
      </c>
    </row>
    <row r="44" spans="1:1">
      <c r="A44" s="1" t="s">
        <v>163</v>
      </c>
    </row>
    <row r="45" spans="1:1">
      <c r="A45" s="2">
        <f>COUNTIF(J:J,"CBD")</f>
        <v>0</v>
      </c>
    </row>
    <row r="46" spans="1:1">
      <c r="A46" s="1" t="s">
        <v>164</v>
      </c>
    </row>
    <row r="47" spans="1:1">
      <c r="A47" s="1">
        <f>SUM(A43,A45)</f>
        <v>3</v>
      </c>
    </row>
    <row r="48" spans="1:1">
      <c r="A48" s="1" t="s">
        <v>96</v>
      </c>
    </row>
    <row r="49" spans="1:1">
      <c r="A49" s="2">
        <f>COUNTIF(J:J,"Undone")</f>
        <v>22</v>
      </c>
    </row>
    <row r="50" spans="1:1">
      <c r="A50" s="1" t="s">
        <v>125</v>
      </c>
    </row>
    <row r="51" spans="1:1">
      <c r="A51" s="2">
        <f>COUNTIF(J:J,"Pending")</f>
        <v>3</v>
      </c>
    </row>
    <row r="52" spans="1:1">
      <c r="A52" s="14" t="s">
        <v>167</v>
      </c>
    </row>
    <row r="53" spans="1:1">
      <c r="A53" s="1">
        <f>SUM(A49,A51)</f>
        <v>25</v>
      </c>
    </row>
    <row r="54" spans="1:1">
      <c r="A54" s="1" t="s">
        <v>168</v>
      </c>
    </row>
    <row r="55" spans="1:1">
      <c r="A55" s="11">
        <f>(A47)/((A33)+3)</f>
        <v>0.16666666666666666</v>
      </c>
    </row>
    <row r="56" spans="1:1">
      <c r="A56" s="10" t="s">
        <v>159</v>
      </c>
    </row>
    <row r="57" spans="1:1">
      <c r="A57">
        <f>SUM(F:F)</f>
        <v>1070</v>
      </c>
    </row>
    <row r="58" spans="1:1">
      <c r="A58" s="10" t="s">
        <v>160</v>
      </c>
    </row>
    <row r="59" spans="1:1">
      <c r="A59" s="10">
        <f>(A57-(A33*5))*0.85</f>
        <v>845.75</v>
      </c>
    </row>
  </sheetData>
  <phoneticPr fontId="2" type="noConversion"/>
  <pageMargins left="0.75" right="0.75" top="1" bottom="1" header="0.4921259845" footer="0.4921259845"/>
  <pageSetup orientation="portrait" horizont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8000"/>
  </sheetPr>
  <dimension ref="A1:O50"/>
  <sheetViews>
    <sheetView workbookViewId="0" xr3:uid="{11A3ACCB-1F19-5AC9-A611-4158731A345D}">
      <selection activeCell="F2" sqref="F2"/>
    </sheetView>
  </sheetViews>
  <sheetFormatPr defaultRowHeight="12.75"/>
  <cols>
    <col min="1" max="1" width="27" bestFit="1" customWidth="1"/>
    <col min="7" max="7" width="10.140625" style="48" bestFit="1" customWidth="1"/>
    <col min="8" max="8" width="9.85546875" bestFit="1" customWidth="1"/>
    <col min="9" max="9" width="9.140625" style="41"/>
  </cols>
  <sheetData>
    <row r="1" spans="1:15">
      <c r="A1" t="s">
        <v>65</v>
      </c>
      <c r="B1" t="s">
        <v>66</v>
      </c>
      <c r="C1" t="s">
        <v>67</v>
      </c>
      <c r="D1" s="10" t="s">
        <v>68</v>
      </c>
      <c r="E1" s="10" t="s">
        <v>69</v>
      </c>
      <c r="F1" s="10" t="s">
        <v>829</v>
      </c>
      <c r="G1" s="58" t="s">
        <v>830</v>
      </c>
      <c r="H1" t="s">
        <v>73</v>
      </c>
      <c r="I1" s="41" t="s">
        <v>74</v>
      </c>
      <c r="J1" t="s">
        <v>75</v>
      </c>
      <c r="K1" t="s">
        <v>1</v>
      </c>
      <c r="M1" s="10" t="s">
        <v>831</v>
      </c>
      <c r="N1" s="10" t="s">
        <v>832</v>
      </c>
    </row>
    <row r="2" spans="1:15">
      <c r="A2" t="s">
        <v>833</v>
      </c>
      <c r="B2" t="s">
        <v>81</v>
      </c>
      <c r="C2">
        <v>5</v>
      </c>
      <c r="D2" s="10">
        <v>40</v>
      </c>
      <c r="E2" s="10">
        <v>75</v>
      </c>
      <c r="F2" s="53">
        <f t="shared" ref="F2:F7" si="0">MIN(D2:E2)</f>
        <v>40</v>
      </c>
      <c r="G2" s="62">
        <v>42166</v>
      </c>
      <c r="H2" s="10" t="s">
        <v>61</v>
      </c>
      <c r="M2" s="10"/>
      <c r="N2" s="10"/>
    </row>
    <row r="3" spans="1:15">
      <c r="A3" s="10" t="s">
        <v>834</v>
      </c>
      <c r="B3" s="10" t="s">
        <v>81</v>
      </c>
      <c r="C3">
        <v>0</v>
      </c>
      <c r="D3">
        <v>13</v>
      </c>
      <c r="E3">
        <v>25</v>
      </c>
      <c r="F3" s="53">
        <f t="shared" si="0"/>
        <v>13</v>
      </c>
      <c r="G3" s="62">
        <v>42166</v>
      </c>
      <c r="H3" s="10" t="s">
        <v>61</v>
      </c>
      <c r="I3" s="41">
        <v>7</v>
      </c>
      <c r="J3" s="10" t="s">
        <v>90</v>
      </c>
      <c r="K3" s="10" t="s">
        <v>182</v>
      </c>
      <c r="M3" s="10" t="s">
        <v>728</v>
      </c>
      <c r="N3" s="10" t="s">
        <v>728</v>
      </c>
      <c r="O3" s="10"/>
    </row>
    <row r="4" spans="1:15">
      <c r="A4" s="10" t="s">
        <v>835</v>
      </c>
      <c r="B4" s="10" t="s">
        <v>81</v>
      </c>
      <c r="C4">
        <v>0</v>
      </c>
      <c r="D4">
        <v>10</v>
      </c>
      <c r="E4">
        <v>10</v>
      </c>
      <c r="F4" s="53">
        <f t="shared" si="0"/>
        <v>10</v>
      </c>
      <c r="G4" s="62">
        <v>42166</v>
      </c>
      <c r="H4" s="10" t="s">
        <v>61</v>
      </c>
      <c r="I4" s="41">
        <v>6</v>
      </c>
      <c r="J4" s="10" t="s">
        <v>90</v>
      </c>
      <c r="K4" s="10" t="s">
        <v>30</v>
      </c>
      <c r="M4" s="10" t="s">
        <v>728</v>
      </c>
      <c r="N4" s="10" t="s">
        <v>728</v>
      </c>
    </row>
    <row r="5" spans="1:15">
      <c r="A5" s="10" t="s">
        <v>836</v>
      </c>
      <c r="B5" s="10" t="s">
        <v>81</v>
      </c>
      <c r="C5">
        <v>5</v>
      </c>
      <c r="D5">
        <v>10</v>
      </c>
      <c r="E5">
        <v>12</v>
      </c>
      <c r="F5" s="53">
        <f t="shared" si="0"/>
        <v>10</v>
      </c>
      <c r="G5" s="62">
        <v>42166</v>
      </c>
      <c r="H5" s="10" t="s">
        <v>61</v>
      </c>
      <c r="J5" s="10"/>
      <c r="K5" s="10"/>
      <c r="M5" s="10"/>
      <c r="N5" s="10"/>
    </row>
    <row r="6" spans="1:15">
      <c r="A6" s="10" t="s">
        <v>837</v>
      </c>
      <c r="B6" s="10" t="s">
        <v>81</v>
      </c>
      <c r="C6">
        <v>0</v>
      </c>
      <c r="D6">
        <v>25</v>
      </c>
      <c r="E6">
        <v>32</v>
      </c>
      <c r="F6" s="53">
        <f t="shared" si="0"/>
        <v>25</v>
      </c>
      <c r="G6" s="62">
        <v>42166</v>
      </c>
      <c r="H6" s="10" t="s">
        <v>61</v>
      </c>
    </row>
    <row r="7" spans="1:15">
      <c r="A7" s="10" t="s">
        <v>837</v>
      </c>
      <c r="B7" s="10" t="s">
        <v>81</v>
      </c>
      <c r="C7">
        <v>5</v>
      </c>
      <c r="D7">
        <v>25</v>
      </c>
      <c r="E7">
        <v>32</v>
      </c>
      <c r="F7" s="53">
        <f t="shared" si="0"/>
        <v>25</v>
      </c>
      <c r="G7" s="62">
        <v>42166</v>
      </c>
      <c r="H7" s="10" t="s">
        <v>61</v>
      </c>
    </row>
    <row r="23" spans="1:1">
      <c r="A23" s="1" t="s">
        <v>169</v>
      </c>
    </row>
    <row r="24" spans="1:1">
      <c r="A24" s="6">
        <f>SUM(C:C)</f>
        <v>15</v>
      </c>
    </row>
    <row r="25" spans="1:1">
      <c r="A25" s="14" t="s">
        <v>838</v>
      </c>
    </row>
    <row r="26" spans="1:1">
      <c r="A26" s="8">
        <f>COUNT(C2:C11)</f>
        <v>6</v>
      </c>
    </row>
    <row r="27" spans="1:1">
      <c r="A27" s="1"/>
    </row>
    <row r="28" spans="1:1">
      <c r="A28" s="6"/>
    </row>
    <row r="29" spans="1:1">
      <c r="A29" s="6" t="s">
        <v>170</v>
      </c>
    </row>
    <row r="30" spans="1:1">
      <c r="A30" s="6">
        <f>AVERAGE(E:E)</f>
        <v>31</v>
      </c>
    </row>
    <row r="31" spans="1:1">
      <c r="A31" s="1" t="s">
        <v>159</v>
      </c>
    </row>
    <row r="32" spans="1:1">
      <c r="A32" s="6">
        <f>SUM(F:F)</f>
        <v>123</v>
      </c>
    </row>
    <row r="33" spans="1:1">
      <c r="A33" s="1" t="s">
        <v>162</v>
      </c>
    </row>
    <row r="34" spans="1:1">
      <c r="A34" s="2">
        <f>COUNTIF(H:H,"Completed")</f>
        <v>6</v>
      </c>
    </row>
    <row r="35" spans="1:1">
      <c r="A35" s="1" t="s">
        <v>163</v>
      </c>
    </row>
    <row r="36" spans="1:1">
      <c r="A36" s="2">
        <f>COUNTIF(K:K,"CBD")</f>
        <v>0</v>
      </c>
    </row>
    <row r="37" spans="1:1">
      <c r="A37" s="1" t="s">
        <v>164</v>
      </c>
    </row>
    <row r="38" spans="1:1">
      <c r="A38" s="1">
        <f>SUM(A34,A36)</f>
        <v>6</v>
      </c>
    </row>
    <row r="39" spans="1:1">
      <c r="A39" s="1" t="s">
        <v>96</v>
      </c>
    </row>
    <row r="40" spans="1:1">
      <c r="A40" s="2">
        <f>COUNTIF(K:K,"Undone")</f>
        <v>0</v>
      </c>
    </row>
    <row r="41" spans="1:1">
      <c r="A41" s="1" t="s">
        <v>125</v>
      </c>
    </row>
    <row r="42" spans="1:1">
      <c r="A42" s="2">
        <f>COUNTIF(K:K,"Pending")</f>
        <v>0</v>
      </c>
    </row>
    <row r="43" spans="1:1">
      <c r="A43" s="1" t="s">
        <v>167</v>
      </c>
    </row>
    <row r="44" spans="1:1">
      <c r="A44" s="1">
        <f>SUM(A40,A42)</f>
        <v>0</v>
      </c>
    </row>
    <row r="45" spans="1:1">
      <c r="A45" s="1" t="s">
        <v>168</v>
      </c>
    </row>
    <row r="46" spans="1:1">
      <c r="A46" s="11">
        <f>(A38)/(A26)</f>
        <v>1</v>
      </c>
    </row>
    <row r="47" spans="1:1">
      <c r="A47" s="10" t="s">
        <v>839</v>
      </c>
    </row>
    <row r="48" spans="1:1">
      <c r="A48">
        <f>SUM(E:E)</f>
        <v>186</v>
      </c>
    </row>
    <row r="49" spans="1:1">
      <c r="A49" s="10" t="s">
        <v>160</v>
      </c>
    </row>
    <row r="50" spans="1:1">
      <c r="A50" s="10">
        <f>(A48-(A26*5))*0.85</f>
        <v>132.6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8000"/>
  </sheetPr>
  <dimension ref="A1:Q79"/>
  <sheetViews>
    <sheetView workbookViewId="0" xr3:uid="{F1CDC194-CB96-5A2D-8E84-222F42300CFA}">
      <selection activeCell="A38" sqref="A38:XFD38"/>
    </sheetView>
  </sheetViews>
  <sheetFormatPr defaultRowHeight="12.75"/>
  <cols>
    <col min="1" max="1" width="17.5703125" bestFit="1" customWidth="1"/>
    <col min="2" max="2" width="27.7109375" customWidth="1"/>
    <col min="9" max="9" width="10.5703125" customWidth="1"/>
    <col min="10" max="10" width="12.42578125" style="48" bestFit="1" customWidth="1"/>
    <col min="11" max="11" width="9.85546875" bestFit="1" customWidth="1"/>
    <col min="12" max="12" width="9.140625" style="45"/>
    <col min="14" max="14" width="11.7109375" bestFit="1" customWidth="1"/>
  </cols>
  <sheetData>
    <row r="1" spans="1:17">
      <c r="A1" s="41" t="s">
        <v>63</v>
      </c>
      <c r="B1" t="s">
        <v>65</v>
      </c>
      <c r="C1" t="s">
        <v>66</v>
      </c>
      <c r="D1" t="s">
        <v>832</v>
      </c>
      <c r="E1" t="s">
        <v>831</v>
      </c>
      <c r="F1" t="s">
        <v>67</v>
      </c>
      <c r="G1" t="s">
        <v>68</v>
      </c>
      <c r="H1" s="10" t="s">
        <v>69</v>
      </c>
      <c r="I1" s="10" t="s">
        <v>840</v>
      </c>
      <c r="J1" s="58" t="s">
        <v>725</v>
      </c>
      <c r="K1" t="s">
        <v>73</v>
      </c>
      <c r="L1" s="45" t="s">
        <v>74</v>
      </c>
      <c r="M1" t="s">
        <v>75</v>
      </c>
      <c r="N1" t="s">
        <v>1</v>
      </c>
      <c r="O1" s="10" t="s">
        <v>480</v>
      </c>
      <c r="P1" s="10"/>
      <c r="Q1" s="10"/>
    </row>
    <row r="2" spans="1:17">
      <c r="A2" s="41">
        <v>0</v>
      </c>
      <c r="B2" t="s">
        <v>841</v>
      </c>
      <c r="C2" t="s">
        <v>81</v>
      </c>
      <c r="D2" t="s">
        <v>842</v>
      </c>
      <c r="E2" s="10" t="s">
        <v>843</v>
      </c>
      <c r="F2">
        <v>0</v>
      </c>
      <c r="G2" s="39">
        <v>32</v>
      </c>
      <c r="H2">
        <v>41</v>
      </c>
      <c r="I2" s="64">
        <f t="shared" ref="I2:I47" si="0">MIN(G2:H2)</f>
        <v>32</v>
      </c>
      <c r="J2" s="58">
        <v>42134</v>
      </c>
      <c r="K2" t="s">
        <v>125</v>
      </c>
      <c r="L2" s="45">
        <v>7</v>
      </c>
      <c r="M2" t="s">
        <v>90</v>
      </c>
      <c r="N2" t="s">
        <v>844</v>
      </c>
      <c r="O2" s="10"/>
      <c r="P2" s="10"/>
      <c r="Q2" s="10"/>
    </row>
    <row r="3" spans="1:17">
      <c r="A3" s="41">
        <v>0</v>
      </c>
      <c r="B3" t="s">
        <v>845</v>
      </c>
      <c r="C3" t="s">
        <v>81</v>
      </c>
      <c r="D3" t="s">
        <v>842</v>
      </c>
      <c r="E3" s="10" t="s">
        <v>842</v>
      </c>
      <c r="F3">
        <v>5</v>
      </c>
      <c r="G3" s="39">
        <v>185</v>
      </c>
      <c r="H3">
        <v>185</v>
      </c>
      <c r="I3" s="64">
        <f t="shared" si="0"/>
        <v>185</v>
      </c>
      <c r="J3" s="58">
        <v>42165</v>
      </c>
      <c r="K3" t="s">
        <v>125</v>
      </c>
      <c r="O3" s="10"/>
      <c r="P3" s="10"/>
      <c r="Q3" s="10"/>
    </row>
    <row r="4" spans="1:17">
      <c r="A4" s="41">
        <v>0</v>
      </c>
      <c r="B4" t="s">
        <v>846</v>
      </c>
      <c r="C4" t="s">
        <v>81</v>
      </c>
      <c r="D4" t="s">
        <v>842</v>
      </c>
      <c r="E4" t="s">
        <v>842</v>
      </c>
      <c r="F4">
        <v>10</v>
      </c>
      <c r="G4" s="39">
        <v>20</v>
      </c>
      <c r="H4">
        <v>41</v>
      </c>
      <c r="I4" s="64">
        <f t="shared" si="0"/>
        <v>20</v>
      </c>
      <c r="J4" s="48">
        <v>42134</v>
      </c>
      <c r="K4" t="s">
        <v>125</v>
      </c>
      <c r="L4" s="45">
        <v>6</v>
      </c>
      <c r="M4" t="s">
        <v>90</v>
      </c>
      <c r="N4" t="s">
        <v>423</v>
      </c>
      <c r="O4" s="10"/>
      <c r="P4" s="10"/>
      <c r="Q4" s="10"/>
    </row>
    <row r="5" spans="1:17">
      <c r="A5" s="41">
        <v>0</v>
      </c>
      <c r="B5" s="10" t="s">
        <v>847</v>
      </c>
      <c r="C5" s="10" t="s">
        <v>81</v>
      </c>
      <c r="D5" s="10" t="s">
        <v>842</v>
      </c>
      <c r="E5" s="10" t="s">
        <v>842</v>
      </c>
      <c r="F5">
        <v>65</v>
      </c>
      <c r="G5" s="121">
        <v>95</v>
      </c>
      <c r="H5" s="39">
        <v>95</v>
      </c>
      <c r="I5" s="64">
        <f t="shared" si="0"/>
        <v>95</v>
      </c>
      <c r="J5" s="48">
        <v>42400</v>
      </c>
      <c r="K5" t="s">
        <v>61</v>
      </c>
      <c r="L5" s="45">
        <v>10</v>
      </c>
      <c r="M5" s="10" t="s">
        <v>90</v>
      </c>
      <c r="N5" s="10" t="s">
        <v>182</v>
      </c>
      <c r="O5" s="10"/>
      <c r="P5" s="10"/>
      <c r="Q5" s="10"/>
    </row>
    <row r="6" spans="1:17">
      <c r="A6" s="41">
        <v>0</v>
      </c>
      <c r="B6" t="s">
        <v>848</v>
      </c>
      <c r="C6" t="s">
        <v>81</v>
      </c>
      <c r="D6" t="s">
        <v>842</v>
      </c>
      <c r="E6" t="s">
        <v>842</v>
      </c>
      <c r="F6">
        <v>5</v>
      </c>
      <c r="G6" s="32">
        <v>14</v>
      </c>
      <c r="H6">
        <v>19</v>
      </c>
      <c r="I6" s="64">
        <f t="shared" si="0"/>
        <v>14</v>
      </c>
      <c r="J6" s="48">
        <v>42166</v>
      </c>
      <c r="K6" t="s">
        <v>125</v>
      </c>
      <c r="O6" s="10"/>
      <c r="P6" s="10"/>
      <c r="Q6" s="10"/>
    </row>
    <row r="7" spans="1:17">
      <c r="A7" s="41">
        <v>0</v>
      </c>
      <c r="B7" s="10" t="s">
        <v>849</v>
      </c>
      <c r="C7" s="10" t="s">
        <v>81</v>
      </c>
      <c r="D7" s="10" t="s">
        <v>842</v>
      </c>
      <c r="E7" s="10" t="s">
        <v>842</v>
      </c>
      <c r="F7">
        <v>0</v>
      </c>
      <c r="G7" s="39">
        <v>47</v>
      </c>
      <c r="H7" s="39">
        <v>59</v>
      </c>
      <c r="I7" s="64">
        <f t="shared" si="0"/>
        <v>47</v>
      </c>
      <c r="J7" s="48">
        <v>42400</v>
      </c>
      <c r="K7" s="10" t="s">
        <v>61</v>
      </c>
      <c r="L7" s="45">
        <v>8</v>
      </c>
      <c r="M7" s="10" t="s">
        <v>90</v>
      </c>
      <c r="N7" s="10" t="s">
        <v>30</v>
      </c>
      <c r="O7" s="10"/>
      <c r="P7" s="10"/>
      <c r="Q7" s="10"/>
    </row>
    <row r="8" spans="1:17">
      <c r="A8" s="41">
        <v>0</v>
      </c>
      <c r="B8" s="10" t="s">
        <v>849</v>
      </c>
      <c r="C8" s="10" t="s">
        <v>81</v>
      </c>
      <c r="D8" s="10" t="s">
        <v>842</v>
      </c>
      <c r="E8" s="10" t="s">
        <v>842</v>
      </c>
      <c r="F8">
        <v>5</v>
      </c>
      <c r="G8" s="39">
        <v>47</v>
      </c>
      <c r="H8" s="39">
        <v>59</v>
      </c>
      <c r="I8" s="64">
        <f t="shared" ref="I8" si="1">MIN(G8:H8)</f>
        <v>47</v>
      </c>
      <c r="J8" s="48">
        <v>42134</v>
      </c>
      <c r="K8" s="10" t="s">
        <v>61</v>
      </c>
      <c r="L8" s="45">
        <v>8</v>
      </c>
      <c r="M8" s="10" t="s">
        <v>90</v>
      </c>
      <c r="N8" s="10" t="s">
        <v>30</v>
      </c>
      <c r="O8" s="10"/>
      <c r="P8" s="10"/>
      <c r="Q8" s="10"/>
    </row>
    <row r="9" spans="1:17">
      <c r="A9" s="41">
        <v>0</v>
      </c>
      <c r="B9" s="10" t="s">
        <v>850</v>
      </c>
      <c r="C9" s="10" t="s">
        <v>81</v>
      </c>
      <c r="D9" s="10" t="s">
        <v>843</v>
      </c>
      <c r="E9" s="10" t="s">
        <v>843</v>
      </c>
      <c r="F9">
        <v>5</v>
      </c>
      <c r="G9" s="84">
        <v>90</v>
      </c>
      <c r="H9" s="37">
        <v>85</v>
      </c>
      <c r="I9" s="64">
        <f t="shared" si="0"/>
        <v>85</v>
      </c>
      <c r="J9" s="48">
        <v>42400</v>
      </c>
      <c r="K9" s="10" t="s">
        <v>61</v>
      </c>
      <c r="L9" s="45">
        <v>8</v>
      </c>
      <c r="M9" s="10" t="s">
        <v>90</v>
      </c>
      <c r="N9" s="10" t="s">
        <v>30</v>
      </c>
      <c r="O9" s="10"/>
      <c r="P9" s="10"/>
      <c r="Q9" s="10"/>
    </row>
    <row r="10" spans="1:17">
      <c r="A10" s="41">
        <v>0</v>
      </c>
      <c r="B10" s="10" t="s">
        <v>851</v>
      </c>
      <c r="C10" s="10" t="s">
        <v>81</v>
      </c>
      <c r="D10" s="10" t="s">
        <v>843</v>
      </c>
      <c r="E10" s="10" t="s">
        <v>843</v>
      </c>
      <c r="F10">
        <v>5</v>
      </c>
      <c r="G10" s="84" t="s">
        <v>89</v>
      </c>
      <c r="H10">
        <v>125</v>
      </c>
      <c r="I10" s="64">
        <f t="shared" si="0"/>
        <v>125</v>
      </c>
      <c r="J10" s="48">
        <v>42166</v>
      </c>
      <c r="K10" s="10" t="s">
        <v>61</v>
      </c>
      <c r="M10" s="10"/>
      <c r="N10" s="10"/>
      <c r="O10" s="10"/>
      <c r="P10" s="10"/>
      <c r="Q10" s="10"/>
    </row>
    <row r="11" spans="1:17">
      <c r="A11" s="41">
        <v>0</v>
      </c>
      <c r="B11" s="10" t="s">
        <v>852</v>
      </c>
      <c r="C11" s="10" t="s">
        <v>81</v>
      </c>
      <c r="D11" s="10" t="s">
        <v>842</v>
      </c>
      <c r="E11" s="10" t="s">
        <v>842</v>
      </c>
      <c r="F11">
        <v>0</v>
      </c>
      <c r="G11" s="39">
        <v>75</v>
      </c>
      <c r="H11">
        <v>85</v>
      </c>
      <c r="I11" s="64">
        <f t="shared" si="0"/>
        <v>75</v>
      </c>
      <c r="J11" s="48">
        <v>42134</v>
      </c>
      <c r="K11" s="10" t="s">
        <v>61</v>
      </c>
      <c r="L11" s="45">
        <v>10</v>
      </c>
      <c r="M11" s="10" t="s">
        <v>90</v>
      </c>
      <c r="N11" s="10" t="s">
        <v>91</v>
      </c>
      <c r="O11" s="10"/>
      <c r="P11" s="10"/>
      <c r="Q11" s="10"/>
    </row>
    <row r="12" spans="1:17">
      <c r="A12" s="41">
        <v>0</v>
      </c>
      <c r="B12" s="10" t="s">
        <v>809</v>
      </c>
      <c r="C12" s="10" t="s">
        <v>81</v>
      </c>
      <c r="D12" s="10" t="s">
        <v>842</v>
      </c>
      <c r="E12" s="10" t="s">
        <v>842</v>
      </c>
      <c r="F12">
        <v>35</v>
      </c>
      <c r="G12" s="81">
        <v>85</v>
      </c>
      <c r="H12" s="50">
        <v>105</v>
      </c>
      <c r="I12" s="64">
        <f t="shared" si="0"/>
        <v>85</v>
      </c>
      <c r="J12" s="48">
        <v>42134</v>
      </c>
      <c r="K12" s="10" t="s">
        <v>61</v>
      </c>
      <c r="L12" s="45">
        <v>10</v>
      </c>
      <c r="M12" s="10" t="s">
        <v>90</v>
      </c>
      <c r="N12" s="10" t="s">
        <v>91</v>
      </c>
      <c r="O12" s="10" t="s">
        <v>853</v>
      </c>
      <c r="P12" s="10"/>
      <c r="Q12" s="10"/>
    </row>
    <row r="13" spans="1:17">
      <c r="A13" s="41">
        <v>0</v>
      </c>
      <c r="B13" s="10" t="s">
        <v>854</v>
      </c>
      <c r="C13" s="10" t="s">
        <v>81</v>
      </c>
      <c r="D13" s="10" t="s">
        <v>842</v>
      </c>
      <c r="E13" s="10" t="s">
        <v>842</v>
      </c>
      <c r="F13">
        <v>0</v>
      </c>
      <c r="G13" s="39">
        <v>14</v>
      </c>
      <c r="H13">
        <v>6</v>
      </c>
      <c r="I13" s="64">
        <f t="shared" si="0"/>
        <v>6</v>
      </c>
      <c r="J13" s="48">
        <v>42134</v>
      </c>
      <c r="K13" s="10" t="s">
        <v>184</v>
      </c>
      <c r="M13" s="10" t="s">
        <v>90</v>
      </c>
      <c r="N13" s="10" t="s">
        <v>122</v>
      </c>
      <c r="O13" s="10"/>
      <c r="P13" s="10"/>
      <c r="Q13" s="10"/>
    </row>
    <row r="14" spans="1:17">
      <c r="A14" s="41">
        <v>0</v>
      </c>
      <c r="B14" s="10" t="s">
        <v>855</v>
      </c>
      <c r="C14" s="10" t="s">
        <v>81</v>
      </c>
      <c r="D14" s="10" t="s">
        <v>842</v>
      </c>
      <c r="E14" s="10" t="s">
        <v>842</v>
      </c>
      <c r="F14">
        <v>40</v>
      </c>
      <c r="G14" s="39">
        <v>48</v>
      </c>
      <c r="H14">
        <v>45</v>
      </c>
      <c r="I14" s="64">
        <f t="shared" si="0"/>
        <v>45</v>
      </c>
      <c r="J14" s="48">
        <v>42134</v>
      </c>
      <c r="K14" s="10" t="s">
        <v>125</v>
      </c>
      <c r="L14" s="45">
        <v>9</v>
      </c>
      <c r="M14" s="10" t="s">
        <v>90</v>
      </c>
      <c r="N14" s="10" t="s">
        <v>856</v>
      </c>
      <c r="O14" s="10"/>
      <c r="P14" s="10"/>
      <c r="Q14" s="10"/>
    </row>
    <row r="15" spans="1:17">
      <c r="A15" s="41">
        <v>0</v>
      </c>
      <c r="B15" s="10" t="s">
        <v>857</v>
      </c>
      <c r="C15" s="10" t="s">
        <v>81</v>
      </c>
      <c r="D15" s="10" t="s">
        <v>843</v>
      </c>
      <c r="E15" s="10" t="s">
        <v>842</v>
      </c>
      <c r="F15">
        <v>5</v>
      </c>
      <c r="G15" s="32">
        <v>68</v>
      </c>
      <c r="H15" s="85" t="s">
        <v>89</v>
      </c>
      <c r="I15" s="64">
        <f t="shared" si="0"/>
        <v>68</v>
      </c>
      <c r="J15" s="48">
        <v>42166</v>
      </c>
      <c r="K15" s="10" t="s">
        <v>125</v>
      </c>
      <c r="M15" s="10"/>
      <c r="N15" s="10"/>
      <c r="O15" s="10"/>
      <c r="P15" s="10"/>
      <c r="Q15" s="10"/>
    </row>
    <row r="16" spans="1:17">
      <c r="A16" s="41">
        <v>0</v>
      </c>
      <c r="B16" s="10" t="s">
        <v>858</v>
      </c>
      <c r="C16" s="10" t="s">
        <v>81</v>
      </c>
      <c r="D16" s="10" t="s">
        <v>842</v>
      </c>
      <c r="E16" s="10" t="s">
        <v>842</v>
      </c>
      <c r="F16">
        <v>5</v>
      </c>
      <c r="G16" s="32">
        <v>15</v>
      </c>
      <c r="H16">
        <v>20</v>
      </c>
      <c r="I16" s="64">
        <f t="shared" si="0"/>
        <v>15</v>
      </c>
      <c r="J16" s="48">
        <v>42166</v>
      </c>
      <c r="K16" s="10" t="s">
        <v>125</v>
      </c>
      <c r="M16" s="10"/>
      <c r="N16" s="10"/>
      <c r="O16" s="10"/>
      <c r="P16" s="10"/>
      <c r="Q16" s="10"/>
    </row>
    <row r="17" spans="1:17">
      <c r="A17" s="41">
        <v>0</v>
      </c>
      <c r="B17" s="10" t="s">
        <v>859</v>
      </c>
      <c r="C17" s="10" t="s">
        <v>81</v>
      </c>
      <c r="D17" s="10" t="s">
        <v>842</v>
      </c>
      <c r="E17" s="10" t="s">
        <v>842</v>
      </c>
      <c r="F17">
        <v>5</v>
      </c>
      <c r="G17" s="32">
        <v>16</v>
      </c>
      <c r="H17">
        <v>19</v>
      </c>
      <c r="I17" s="64">
        <f t="shared" si="0"/>
        <v>16</v>
      </c>
      <c r="J17" s="48">
        <v>42166</v>
      </c>
      <c r="K17" s="10" t="s">
        <v>125</v>
      </c>
      <c r="M17" s="10"/>
      <c r="N17" s="10"/>
      <c r="O17" s="10"/>
      <c r="P17" s="10"/>
      <c r="Q17" s="10"/>
    </row>
    <row r="18" spans="1:17">
      <c r="A18" s="41">
        <v>0</v>
      </c>
      <c r="B18" s="10" t="s">
        <v>860</v>
      </c>
      <c r="C18" s="10" t="s">
        <v>81</v>
      </c>
      <c r="D18" s="10" t="s">
        <v>842</v>
      </c>
      <c r="E18" s="10" t="s">
        <v>842</v>
      </c>
      <c r="F18">
        <v>0</v>
      </c>
      <c r="G18" s="39">
        <v>8</v>
      </c>
      <c r="H18" s="39">
        <v>12</v>
      </c>
      <c r="I18" s="64">
        <f t="shared" si="0"/>
        <v>8</v>
      </c>
      <c r="J18" s="48">
        <v>42134</v>
      </c>
      <c r="K18" s="10" t="s">
        <v>61</v>
      </c>
      <c r="L18" s="45">
        <v>9</v>
      </c>
      <c r="M18" s="10" t="s">
        <v>90</v>
      </c>
      <c r="N18" s="10" t="s">
        <v>30</v>
      </c>
      <c r="O18" s="10" t="s">
        <v>861</v>
      </c>
      <c r="P18" s="10"/>
      <c r="Q18" s="10"/>
    </row>
    <row r="19" spans="1:17">
      <c r="A19" s="41">
        <v>0</v>
      </c>
      <c r="B19" s="10" t="s">
        <v>860</v>
      </c>
      <c r="C19" s="10" t="s">
        <v>81</v>
      </c>
      <c r="D19" s="10" t="s">
        <v>842</v>
      </c>
      <c r="E19" s="10" t="s">
        <v>842</v>
      </c>
      <c r="F19">
        <v>0</v>
      </c>
      <c r="G19" s="39">
        <v>8</v>
      </c>
      <c r="H19" s="39">
        <v>12</v>
      </c>
      <c r="I19" s="64">
        <f t="shared" ref="I19" si="2">MIN(G19:H19)</f>
        <v>8</v>
      </c>
      <c r="J19" s="48">
        <v>42134</v>
      </c>
      <c r="K19" s="10" t="s">
        <v>61</v>
      </c>
      <c r="L19" s="45">
        <v>9</v>
      </c>
      <c r="M19" s="10" t="s">
        <v>90</v>
      </c>
      <c r="N19" s="10" t="s">
        <v>30</v>
      </c>
      <c r="O19" s="10" t="s">
        <v>861</v>
      </c>
      <c r="P19" s="10"/>
      <c r="Q19" s="10"/>
    </row>
    <row r="20" spans="1:17">
      <c r="A20" s="41">
        <v>0</v>
      </c>
      <c r="B20" s="10" t="s">
        <v>862</v>
      </c>
      <c r="C20" s="10" t="s">
        <v>81</v>
      </c>
      <c r="D20" s="10" t="s">
        <v>842</v>
      </c>
      <c r="E20" s="10" t="s">
        <v>842</v>
      </c>
      <c r="F20">
        <v>5</v>
      </c>
      <c r="G20" s="39">
        <v>27</v>
      </c>
      <c r="H20">
        <v>105</v>
      </c>
      <c r="I20" s="64">
        <f t="shared" si="0"/>
        <v>27</v>
      </c>
      <c r="J20" s="48">
        <v>42169</v>
      </c>
      <c r="K20" s="10" t="s">
        <v>61</v>
      </c>
      <c r="L20" s="45">
        <v>5</v>
      </c>
      <c r="M20" s="10" t="s">
        <v>90</v>
      </c>
      <c r="N20" s="10" t="s">
        <v>136</v>
      </c>
      <c r="O20" s="10"/>
      <c r="P20" s="10"/>
      <c r="Q20" s="10"/>
    </row>
    <row r="21" spans="1:17">
      <c r="A21" s="41">
        <v>0</v>
      </c>
      <c r="B21" s="10" t="s">
        <v>863</v>
      </c>
      <c r="C21" s="10" t="s">
        <v>81</v>
      </c>
      <c r="D21" s="10" t="s">
        <v>842</v>
      </c>
      <c r="E21" s="10" t="s">
        <v>842</v>
      </c>
      <c r="F21">
        <v>10</v>
      </c>
      <c r="G21" s="39">
        <v>25</v>
      </c>
      <c r="H21" s="10">
        <v>21</v>
      </c>
      <c r="I21" s="64">
        <f t="shared" si="0"/>
        <v>21</v>
      </c>
      <c r="J21" s="48">
        <v>42134</v>
      </c>
      <c r="K21" s="10" t="s">
        <v>61</v>
      </c>
      <c r="L21" s="45">
        <v>8</v>
      </c>
      <c r="M21" s="10" t="s">
        <v>90</v>
      </c>
      <c r="N21" s="10" t="s">
        <v>200</v>
      </c>
      <c r="O21" s="10"/>
      <c r="P21" s="10"/>
      <c r="Q21" s="10"/>
    </row>
    <row r="22" spans="1:17">
      <c r="A22" s="41">
        <v>0</v>
      </c>
      <c r="B22" s="10" t="s">
        <v>864</v>
      </c>
      <c r="C22" s="10" t="s">
        <v>81</v>
      </c>
      <c r="D22" s="10" t="s">
        <v>842</v>
      </c>
      <c r="E22" s="10" t="s">
        <v>842</v>
      </c>
      <c r="F22">
        <v>0</v>
      </c>
      <c r="G22" s="39">
        <v>15</v>
      </c>
      <c r="H22">
        <v>15</v>
      </c>
      <c r="I22" s="64">
        <f t="shared" si="0"/>
        <v>15</v>
      </c>
      <c r="J22" s="48">
        <v>42134</v>
      </c>
      <c r="K22" s="10" t="s">
        <v>61</v>
      </c>
      <c r="L22" s="45">
        <v>7</v>
      </c>
      <c r="M22" s="10" t="s">
        <v>90</v>
      </c>
      <c r="N22" s="10" t="s">
        <v>122</v>
      </c>
      <c r="O22" s="10"/>
      <c r="P22" s="10"/>
      <c r="Q22" s="10"/>
    </row>
    <row r="23" spans="1:17">
      <c r="A23" s="41">
        <v>0</v>
      </c>
      <c r="B23" s="10" t="s">
        <v>864</v>
      </c>
      <c r="C23" s="10" t="s">
        <v>81</v>
      </c>
      <c r="D23" s="10" t="s">
        <v>842</v>
      </c>
      <c r="E23" s="10" t="s">
        <v>842</v>
      </c>
      <c r="F23">
        <v>0</v>
      </c>
      <c r="G23" s="39">
        <v>15</v>
      </c>
      <c r="H23">
        <v>15</v>
      </c>
      <c r="I23" s="64">
        <f t="shared" si="0"/>
        <v>15</v>
      </c>
      <c r="J23" s="48">
        <v>42134</v>
      </c>
      <c r="K23" s="10" t="s">
        <v>61</v>
      </c>
      <c r="L23" s="45">
        <v>7</v>
      </c>
      <c r="M23" s="10" t="s">
        <v>90</v>
      </c>
      <c r="N23" s="10" t="s">
        <v>122</v>
      </c>
      <c r="O23" s="10"/>
      <c r="P23" s="10"/>
      <c r="Q23" s="10"/>
    </row>
    <row r="24" spans="1:17">
      <c r="A24" s="41">
        <v>0</v>
      </c>
      <c r="B24" s="10" t="s">
        <v>865</v>
      </c>
      <c r="C24" s="10" t="s">
        <v>81</v>
      </c>
      <c r="D24" s="10" t="s">
        <v>842</v>
      </c>
      <c r="E24" s="10" t="s">
        <v>842</v>
      </c>
      <c r="F24">
        <v>10</v>
      </c>
      <c r="G24" s="10">
        <v>15</v>
      </c>
      <c r="H24">
        <v>24</v>
      </c>
      <c r="I24" s="64">
        <f t="shared" si="0"/>
        <v>15</v>
      </c>
      <c r="J24" s="48">
        <v>42148</v>
      </c>
      <c r="K24" s="10" t="s">
        <v>61</v>
      </c>
      <c r="L24" s="45">
        <v>7</v>
      </c>
      <c r="M24" s="10" t="s">
        <v>90</v>
      </c>
      <c r="N24" s="10"/>
      <c r="O24" s="10"/>
      <c r="P24" s="10"/>
      <c r="Q24" s="10"/>
    </row>
    <row r="25" spans="1:17">
      <c r="A25" s="41">
        <v>0</v>
      </c>
      <c r="B25" s="10" t="s">
        <v>866</v>
      </c>
      <c r="C25" s="10" t="s">
        <v>81</v>
      </c>
      <c r="D25" s="10" t="s">
        <v>842</v>
      </c>
      <c r="E25" s="10" t="s">
        <v>842</v>
      </c>
      <c r="F25">
        <v>5</v>
      </c>
      <c r="G25" s="32">
        <v>10</v>
      </c>
      <c r="H25">
        <v>35</v>
      </c>
      <c r="I25" s="64">
        <f t="shared" si="0"/>
        <v>10</v>
      </c>
      <c r="J25" s="48">
        <v>42166</v>
      </c>
      <c r="K25" s="10" t="s">
        <v>184</v>
      </c>
      <c r="M25" s="10"/>
      <c r="N25" s="10"/>
      <c r="O25" s="10"/>
      <c r="P25" s="10"/>
      <c r="Q25" s="10"/>
    </row>
    <row r="26" spans="1:17">
      <c r="A26" s="41">
        <v>0</v>
      </c>
      <c r="B26" s="10" t="s">
        <v>867</v>
      </c>
      <c r="C26" s="10" t="s">
        <v>81</v>
      </c>
      <c r="D26" s="10" t="s">
        <v>842</v>
      </c>
      <c r="E26" s="10" t="s">
        <v>842</v>
      </c>
      <c r="F26">
        <v>0</v>
      </c>
      <c r="G26" s="39">
        <v>40</v>
      </c>
      <c r="H26" s="37">
        <v>35</v>
      </c>
      <c r="I26" s="64">
        <f t="shared" si="0"/>
        <v>35</v>
      </c>
      <c r="J26" s="48">
        <v>42400</v>
      </c>
      <c r="K26" s="10" t="s">
        <v>61</v>
      </c>
      <c r="L26" s="45">
        <v>8</v>
      </c>
      <c r="M26" s="10" t="s">
        <v>90</v>
      </c>
      <c r="N26" s="10" t="s">
        <v>255</v>
      </c>
      <c r="O26" s="10"/>
      <c r="P26" s="10"/>
      <c r="Q26" s="10"/>
    </row>
    <row r="27" spans="1:17">
      <c r="A27" s="41">
        <v>0</v>
      </c>
      <c r="B27" s="10" t="s">
        <v>868</v>
      </c>
      <c r="C27" s="10" t="s">
        <v>81</v>
      </c>
      <c r="D27" s="10" t="s">
        <v>842</v>
      </c>
      <c r="E27" s="10" t="s">
        <v>842</v>
      </c>
      <c r="F27">
        <v>25</v>
      </c>
      <c r="G27" s="39">
        <v>65</v>
      </c>
      <c r="H27">
        <v>80</v>
      </c>
      <c r="I27" s="64">
        <f t="shared" si="0"/>
        <v>65</v>
      </c>
      <c r="J27" s="48">
        <v>42134</v>
      </c>
      <c r="K27" s="10" t="s">
        <v>125</v>
      </c>
      <c r="M27" s="10" t="s">
        <v>90</v>
      </c>
      <c r="N27" s="10" t="s">
        <v>869</v>
      </c>
      <c r="O27" s="10"/>
      <c r="P27" s="10"/>
      <c r="Q27" s="10"/>
    </row>
    <row r="28" spans="1:17">
      <c r="A28" s="41">
        <v>0</v>
      </c>
      <c r="B28" s="10" t="s">
        <v>870</v>
      </c>
      <c r="C28" s="10" t="s">
        <v>81</v>
      </c>
      <c r="D28" s="10" t="s">
        <v>842</v>
      </c>
      <c r="E28" s="10" t="s">
        <v>842</v>
      </c>
      <c r="F28">
        <v>30</v>
      </c>
      <c r="G28" s="39">
        <v>21</v>
      </c>
      <c r="H28">
        <v>21</v>
      </c>
      <c r="I28" s="64">
        <f t="shared" si="0"/>
        <v>21</v>
      </c>
      <c r="J28" s="48">
        <v>42134</v>
      </c>
      <c r="K28" s="10" t="s">
        <v>61</v>
      </c>
      <c r="L28" s="45">
        <v>9</v>
      </c>
      <c r="M28" s="10" t="s">
        <v>90</v>
      </c>
      <c r="N28" s="10" t="s">
        <v>30</v>
      </c>
      <c r="O28" s="10"/>
      <c r="P28" s="10"/>
      <c r="Q28" s="10"/>
    </row>
    <row r="29" spans="1:17">
      <c r="A29" s="41">
        <v>0</v>
      </c>
      <c r="B29" s="10" t="s">
        <v>871</v>
      </c>
      <c r="C29" s="10" t="s">
        <v>81</v>
      </c>
      <c r="D29" s="10" t="s">
        <v>842</v>
      </c>
      <c r="E29" s="10" t="s">
        <v>842</v>
      </c>
      <c r="F29">
        <v>8</v>
      </c>
      <c r="G29" s="10">
        <v>14</v>
      </c>
      <c r="H29">
        <v>10</v>
      </c>
      <c r="I29" s="64">
        <f t="shared" si="0"/>
        <v>10</v>
      </c>
      <c r="J29" s="48">
        <v>42148</v>
      </c>
      <c r="K29" s="10" t="s">
        <v>61</v>
      </c>
      <c r="L29" s="45">
        <v>7</v>
      </c>
      <c r="M29" s="10" t="s">
        <v>90</v>
      </c>
      <c r="N29" s="10"/>
      <c r="O29" s="10"/>
      <c r="P29" s="10"/>
      <c r="Q29" s="10"/>
    </row>
    <row r="30" spans="1:17">
      <c r="A30" s="41">
        <v>0</v>
      </c>
      <c r="B30" s="10" t="s">
        <v>872</v>
      </c>
      <c r="C30" s="10" t="s">
        <v>81</v>
      </c>
      <c r="D30" s="10" t="s">
        <v>842</v>
      </c>
      <c r="E30" s="10" t="s">
        <v>842</v>
      </c>
      <c r="F30">
        <v>0</v>
      </c>
      <c r="G30" s="39">
        <v>9</v>
      </c>
      <c r="H30">
        <v>15</v>
      </c>
      <c r="I30" s="64">
        <f t="shared" si="0"/>
        <v>9</v>
      </c>
      <c r="J30" s="48">
        <v>42134</v>
      </c>
      <c r="K30" s="10" t="s">
        <v>184</v>
      </c>
      <c r="M30" s="10" t="s">
        <v>90</v>
      </c>
      <c r="N30" s="10" t="s">
        <v>873</v>
      </c>
      <c r="P30" s="10"/>
      <c r="Q30" s="10"/>
    </row>
    <row r="31" spans="1:17">
      <c r="A31" s="41">
        <v>0</v>
      </c>
      <c r="B31" s="10" t="s">
        <v>874</v>
      </c>
      <c r="C31" s="10" t="s">
        <v>81</v>
      </c>
      <c r="D31" s="10" t="s">
        <v>842</v>
      </c>
      <c r="E31" s="10" t="s">
        <v>842</v>
      </c>
      <c r="F31">
        <v>0</v>
      </c>
      <c r="G31" s="39">
        <v>30</v>
      </c>
      <c r="H31">
        <v>40</v>
      </c>
      <c r="I31" s="64">
        <f t="shared" si="0"/>
        <v>30</v>
      </c>
      <c r="J31" s="48">
        <v>42134</v>
      </c>
      <c r="K31" s="10" t="s">
        <v>184</v>
      </c>
      <c r="L31" s="45">
        <v>10</v>
      </c>
      <c r="M31" s="10" t="s">
        <v>90</v>
      </c>
      <c r="N31" s="10" t="s">
        <v>30</v>
      </c>
      <c r="P31" s="10"/>
      <c r="Q31" s="10"/>
    </row>
    <row r="32" spans="1:17">
      <c r="A32" s="41">
        <v>0</v>
      </c>
      <c r="B32" s="10" t="s">
        <v>874</v>
      </c>
      <c r="C32" s="10" t="s">
        <v>81</v>
      </c>
      <c r="D32" s="10" t="s">
        <v>842</v>
      </c>
      <c r="E32" s="10" t="s">
        <v>842</v>
      </c>
      <c r="F32">
        <v>0</v>
      </c>
      <c r="G32" s="39">
        <v>30</v>
      </c>
      <c r="H32">
        <v>40</v>
      </c>
      <c r="I32" s="64">
        <f t="shared" ref="I32" si="3">MIN(G32:H32)</f>
        <v>30</v>
      </c>
      <c r="J32" s="48">
        <v>42134</v>
      </c>
      <c r="K32" s="10" t="s">
        <v>184</v>
      </c>
      <c r="L32" s="45">
        <v>10</v>
      </c>
      <c r="M32" s="10" t="s">
        <v>90</v>
      </c>
      <c r="N32" s="10" t="s">
        <v>30</v>
      </c>
      <c r="P32" s="10"/>
      <c r="Q32" s="10"/>
    </row>
    <row r="33" spans="1:17">
      <c r="A33" s="41">
        <v>0</v>
      </c>
      <c r="B33" s="10" t="s">
        <v>875</v>
      </c>
      <c r="C33" s="10" t="s">
        <v>81</v>
      </c>
      <c r="D33" s="10" t="s">
        <v>842</v>
      </c>
      <c r="E33" s="10" t="s">
        <v>842</v>
      </c>
      <c r="F33">
        <v>0</v>
      </c>
      <c r="G33" s="39">
        <v>50</v>
      </c>
      <c r="H33">
        <v>45</v>
      </c>
      <c r="I33" s="64">
        <f t="shared" si="0"/>
        <v>45</v>
      </c>
      <c r="J33" s="48">
        <v>42134</v>
      </c>
      <c r="K33" s="10" t="s">
        <v>125</v>
      </c>
      <c r="L33" s="45">
        <v>7</v>
      </c>
      <c r="M33" s="10" t="s">
        <v>90</v>
      </c>
      <c r="N33" s="10" t="s">
        <v>255</v>
      </c>
      <c r="P33" s="10"/>
      <c r="Q33" s="10"/>
    </row>
    <row r="34" spans="1:17">
      <c r="A34" s="41">
        <v>0</v>
      </c>
      <c r="B34" s="10" t="s">
        <v>876</v>
      </c>
      <c r="C34" s="10" t="s">
        <v>81</v>
      </c>
      <c r="D34" s="10" t="s">
        <v>842</v>
      </c>
      <c r="E34" s="10" t="s">
        <v>842</v>
      </c>
      <c r="F34">
        <v>5</v>
      </c>
      <c r="G34" s="39">
        <v>47</v>
      </c>
      <c r="H34">
        <v>51</v>
      </c>
      <c r="I34" s="64">
        <f t="shared" ref="I34" si="4">MIN(G34:H34)</f>
        <v>47</v>
      </c>
      <c r="J34" s="48">
        <v>42134</v>
      </c>
      <c r="K34" s="10" t="s">
        <v>61</v>
      </c>
      <c r="L34" s="45">
        <v>7</v>
      </c>
      <c r="M34" s="10" t="s">
        <v>90</v>
      </c>
      <c r="N34" s="10" t="s">
        <v>30</v>
      </c>
      <c r="P34" s="10"/>
      <c r="Q34" s="10"/>
    </row>
    <row r="35" spans="1:17">
      <c r="A35" s="41">
        <v>0</v>
      </c>
      <c r="B35" s="10" t="s">
        <v>877</v>
      </c>
      <c r="C35" s="10" t="s">
        <v>81</v>
      </c>
      <c r="D35" s="10" t="s">
        <v>842</v>
      </c>
      <c r="E35" s="10" t="s">
        <v>842</v>
      </c>
      <c r="F35">
        <v>0</v>
      </c>
      <c r="G35" s="39">
        <v>45</v>
      </c>
      <c r="H35">
        <v>52</v>
      </c>
      <c r="I35" s="64">
        <f t="shared" si="0"/>
        <v>45</v>
      </c>
      <c r="J35" s="48">
        <v>42134</v>
      </c>
      <c r="K35" s="10" t="s">
        <v>61</v>
      </c>
      <c r="L35" s="45">
        <v>8</v>
      </c>
      <c r="M35" s="10" t="s">
        <v>90</v>
      </c>
      <c r="N35" s="10" t="s">
        <v>30</v>
      </c>
    </row>
    <row r="36" spans="1:17">
      <c r="A36" s="41">
        <v>0</v>
      </c>
      <c r="B36" s="10" t="s">
        <v>877</v>
      </c>
      <c r="C36" s="10" t="s">
        <v>81</v>
      </c>
      <c r="D36" s="10" t="s">
        <v>842</v>
      </c>
      <c r="E36" s="10" t="s">
        <v>842</v>
      </c>
      <c r="F36">
        <v>0</v>
      </c>
      <c r="G36" s="39">
        <v>45</v>
      </c>
      <c r="H36">
        <v>52</v>
      </c>
      <c r="I36" s="64">
        <f t="shared" si="0"/>
        <v>45</v>
      </c>
      <c r="J36" s="48">
        <v>42134</v>
      </c>
      <c r="K36" s="10" t="s">
        <v>61</v>
      </c>
      <c r="L36" s="45">
        <v>8</v>
      </c>
      <c r="M36" s="10" t="s">
        <v>90</v>
      </c>
      <c r="N36" s="10" t="s">
        <v>30</v>
      </c>
    </row>
    <row r="37" spans="1:17">
      <c r="A37" s="41">
        <v>0</v>
      </c>
      <c r="B37" s="10" t="s">
        <v>878</v>
      </c>
      <c r="C37" s="10" t="s">
        <v>81</v>
      </c>
      <c r="D37" s="10" t="s">
        <v>842</v>
      </c>
      <c r="E37" s="10" t="s">
        <v>842</v>
      </c>
      <c r="F37">
        <v>0</v>
      </c>
      <c r="G37" s="39">
        <v>28</v>
      </c>
      <c r="H37">
        <v>32</v>
      </c>
      <c r="I37" s="64">
        <f t="shared" ref="I37" si="5">MIN(G37:H37)</f>
        <v>28</v>
      </c>
      <c r="J37" s="48">
        <v>42134</v>
      </c>
      <c r="K37" s="10" t="s">
        <v>61</v>
      </c>
      <c r="L37" s="45">
        <v>9</v>
      </c>
      <c r="M37" s="10" t="s">
        <v>90</v>
      </c>
      <c r="N37" s="10" t="s">
        <v>30</v>
      </c>
    </row>
    <row r="38" spans="1:17">
      <c r="A38" s="41">
        <v>0</v>
      </c>
      <c r="B38" s="10" t="s">
        <v>878</v>
      </c>
      <c r="C38" s="10" t="s">
        <v>81</v>
      </c>
      <c r="D38" s="10" t="s">
        <v>842</v>
      </c>
      <c r="E38" s="10" t="s">
        <v>842</v>
      </c>
      <c r="F38">
        <v>0</v>
      </c>
      <c r="G38" s="39">
        <v>28</v>
      </c>
      <c r="H38">
        <v>32</v>
      </c>
      <c r="I38" s="64">
        <f t="shared" si="0"/>
        <v>28</v>
      </c>
      <c r="J38" s="48">
        <v>42134</v>
      </c>
      <c r="K38" s="10" t="s">
        <v>61</v>
      </c>
      <c r="L38" s="45">
        <v>9</v>
      </c>
      <c r="M38" s="10" t="s">
        <v>90</v>
      </c>
      <c r="N38" s="10" t="s">
        <v>30</v>
      </c>
    </row>
    <row r="39" spans="1:17">
      <c r="A39" s="41">
        <v>0</v>
      </c>
      <c r="B39" s="10" t="s">
        <v>879</v>
      </c>
      <c r="C39" s="10" t="s">
        <v>81</v>
      </c>
      <c r="D39" s="10"/>
      <c r="E39" s="10"/>
      <c r="F39">
        <v>30</v>
      </c>
      <c r="G39" s="32">
        <v>52</v>
      </c>
      <c r="H39">
        <v>55</v>
      </c>
      <c r="I39" s="64">
        <f t="shared" si="0"/>
        <v>52</v>
      </c>
      <c r="J39" s="48">
        <v>42162</v>
      </c>
      <c r="K39" s="10" t="s">
        <v>125</v>
      </c>
      <c r="M39" s="10"/>
      <c r="N39" s="10"/>
    </row>
    <row r="40" spans="1:17">
      <c r="A40" s="41">
        <v>0</v>
      </c>
      <c r="B40" s="10" t="s">
        <v>880</v>
      </c>
      <c r="C40" s="10" t="s">
        <v>81</v>
      </c>
      <c r="D40" s="10" t="s">
        <v>842</v>
      </c>
      <c r="E40" s="10" t="s">
        <v>842</v>
      </c>
      <c r="F40">
        <v>15</v>
      </c>
      <c r="G40" s="39">
        <v>22</v>
      </c>
      <c r="H40">
        <v>8</v>
      </c>
      <c r="I40" s="64">
        <f t="shared" si="0"/>
        <v>8</v>
      </c>
      <c r="J40" s="48">
        <v>42134</v>
      </c>
      <c r="K40" s="10" t="s">
        <v>61</v>
      </c>
      <c r="L40" s="45">
        <v>8</v>
      </c>
      <c r="M40" s="10" t="s">
        <v>90</v>
      </c>
      <c r="N40" s="10" t="s">
        <v>30</v>
      </c>
    </row>
    <row r="41" spans="1:17">
      <c r="A41" s="41">
        <v>0</v>
      </c>
      <c r="B41" s="10" t="s">
        <v>881</v>
      </c>
      <c r="C41" s="10" t="s">
        <v>81</v>
      </c>
      <c r="D41" s="10" t="s">
        <v>842</v>
      </c>
      <c r="E41" s="10" t="s">
        <v>842</v>
      </c>
      <c r="F41">
        <v>5</v>
      </c>
      <c r="G41" s="39">
        <v>17</v>
      </c>
      <c r="H41">
        <v>5</v>
      </c>
      <c r="I41" s="64">
        <f t="shared" si="0"/>
        <v>5</v>
      </c>
      <c r="J41" s="48">
        <v>42343</v>
      </c>
      <c r="K41" s="10" t="s">
        <v>61</v>
      </c>
      <c r="M41" s="10" t="s">
        <v>90</v>
      </c>
      <c r="N41" s="10"/>
    </row>
    <row r="42" spans="1:17">
      <c r="A42" s="41">
        <v>0</v>
      </c>
      <c r="B42" s="10" t="s">
        <v>882</v>
      </c>
      <c r="C42" s="10" t="s">
        <v>81</v>
      </c>
      <c r="D42" s="10" t="s">
        <v>842</v>
      </c>
      <c r="E42" s="10" t="s">
        <v>842</v>
      </c>
      <c r="F42">
        <v>17</v>
      </c>
      <c r="G42">
        <v>35</v>
      </c>
      <c r="H42">
        <v>60</v>
      </c>
      <c r="I42" s="64">
        <f t="shared" si="0"/>
        <v>35</v>
      </c>
      <c r="J42" s="48">
        <v>42134</v>
      </c>
      <c r="K42" s="10" t="s">
        <v>61</v>
      </c>
      <c r="L42" s="45">
        <v>8</v>
      </c>
      <c r="M42" s="10" t="s">
        <v>90</v>
      </c>
      <c r="N42" s="10" t="s">
        <v>883</v>
      </c>
    </row>
    <row r="43" spans="1:17">
      <c r="A43" s="41">
        <v>0</v>
      </c>
      <c r="B43" s="10" t="s">
        <v>884</v>
      </c>
      <c r="C43" s="10" t="s">
        <v>81</v>
      </c>
      <c r="D43" s="10" t="s">
        <v>842</v>
      </c>
      <c r="E43" s="10" t="s">
        <v>842</v>
      </c>
      <c r="F43">
        <v>25</v>
      </c>
      <c r="G43" s="32">
        <v>57</v>
      </c>
      <c r="H43">
        <v>65</v>
      </c>
      <c r="I43" s="64">
        <f t="shared" si="0"/>
        <v>57</v>
      </c>
      <c r="J43" s="48">
        <v>42162</v>
      </c>
      <c r="K43" s="10" t="s">
        <v>125</v>
      </c>
      <c r="M43" s="10"/>
      <c r="N43" s="10"/>
    </row>
    <row r="44" spans="1:17">
      <c r="A44" s="41">
        <v>0</v>
      </c>
      <c r="B44" s="10" t="s">
        <v>885</v>
      </c>
      <c r="C44" s="10" t="s">
        <v>81</v>
      </c>
      <c r="D44" s="10" t="s">
        <v>842</v>
      </c>
      <c r="E44" s="10" t="s">
        <v>842</v>
      </c>
      <c r="F44">
        <v>40</v>
      </c>
      <c r="G44">
        <v>43</v>
      </c>
      <c r="H44" s="10" t="s">
        <v>89</v>
      </c>
      <c r="I44" s="64">
        <f t="shared" si="0"/>
        <v>43</v>
      </c>
      <c r="J44" s="48">
        <v>42134</v>
      </c>
      <c r="K44" s="10" t="s">
        <v>96</v>
      </c>
      <c r="M44" s="10"/>
      <c r="N44" s="10" t="s">
        <v>136</v>
      </c>
    </row>
    <row r="45" spans="1:17">
      <c r="A45" s="41">
        <v>0</v>
      </c>
      <c r="B45" s="10" t="s">
        <v>886</v>
      </c>
      <c r="C45" s="10" t="s">
        <v>81</v>
      </c>
      <c r="D45" s="10" t="s">
        <v>842</v>
      </c>
      <c r="E45" s="10" t="s">
        <v>842</v>
      </c>
      <c r="F45">
        <v>20</v>
      </c>
      <c r="G45" s="39">
        <v>30</v>
      </c>
      <c r="H45">
        <v>33</v>
      </c>
      <c r="I45" s="64">
        <f t="shared" si="0"/>
        <v>30</v>
      </c>
      <c r="J45" s="48">
        <v>42134</v>
      </c>
      <c r="K45" s="10" t="s">
        <v>61</v>
      </c>
      <c r="L45" s="45">
        <v>7</v>
      </c>
      <c r="M45" s="10" t="s">
        <v>90</v>
      </c>
      <c r="N45" s="10" t="s">
        <v>30</v>
      </c>
    </row>
    <row r="46" spans="1:17">
      <c r="A46" s="41">
        <v>0</v>
      </c>
      <c r="B46" s="10" t="s">
        <v>887</v>
      </c>
      <c r="C46" s="10" t="s">
        <v>81</v>
      </c>
      <c r="D46" s="10" t="s">
        <v>842</v>
      </c>
      <c r="E46" s="10" t="s">
        <v>842</v>
      </c>
      <c r="F46">
        <v>5</v>
      </c>
      <c r="G46" s="39">
        <v>15</v>
      </c>
      <c r="H46" s="10" t="s">
        <v>89</v>
      </c>
      <c r="I46" s="64">
        <f t="shared" si="0"/>
        <v>15</v>
      </c>
      <c r="J46" s="48">
        <v>42166</v>
      </c>
      <c r="K46" s="10" t="s">
        <v>125</v>
      </c>
      <c r="M46" s="10"/>
      <c r="N46" s="10"/>
    </row>
    <row r="47" spans="1:17">
      <c r="A47" s="41">
        <v>0</v>
      </c>
      <c r="B47" s="10" t="s">
        <v>888</v>
      </c>
      <c r="C47" s="10" t="s">
        <v>81</v>
      </c>
      <c r="D47" s="10" t="s">
        <v>842</v>
      </c>
      <c r="E47" s="10" t="s">
        <v>842</v>
      </c>
      <c r="F47">
        <v>0</v>
      </c>
      <c r="G47" s="39">
        <v>55</v>
      </c>
      <c r="H47">
        <v>80</v>
      </c>
      <c r="I47" s="64">
        <f t="shared" si="0"/>
        <v>55</v>
      </c>
      <c r="J47" s="48">
        <v>42134</v>
      </c>
      <c r="K47" s="10" t="s">
        <v>61</v>
      </c>
      <c r="L47" s="45">
        <v>10</v>
      </c>
      <c r="M47" s="10" t="s">
        <v>90</v>
      </c>
      <c r="N47" s="10" t="s">
        <v>30</v>
      </c>
    </row>
    <row r="48" spans="1:17">
      <c r="A48" s="41"/>
    </row>
    <row r="49" spans="1:2">
      <c r="A49" s="14" t="s">
        <v>889</v>
      </c>
      <c r="B49" s="14"/>
    </row>
    <row r="50" spans="1:2">
      <c r="A50" s="8">
        <f>COUNT(A1:A48)</f>
        <v>46</v>
      </c>
      <c r="B50" s="8"/>
    </row>
    <row r="51" spans="1:2">
      <c r="A51" s="6"/>
      <c r="B51" s="6"/>
    </row>
    <row r="52" spans="1:2">
      <c r="A52" s="6" t="s">
        <v>170</v>
      </c>
      <c r="B52" s="6"/>
    </row>
    <row r="53" spans="1:2">
      <c r="A53" s="6">
        <f>AVERAGE(G:G)</f>
        <v>38.93333333333333</v>
      </c>
      <c r="B53" s="6"/>
    </row>
    <row r="54" spans="1:2">
      <c r="A54" s="14" t="s">
        <v>890</v>
      </c>
      <c r="B54" s="1"/>
    </row>
    <row r="55" spans="1:2">
      <c r="A55" s="6">
        <f>SUM(G:G)</f>
        <v>1752</v>
      </c>
      <c r="B55" s="6"/>
    </row>
    <row r="56" spans="1:2">
      <c r="A56" s="14" t="s">
        <v>891</v>
      </c>
      <c r="B56" s="6"/>
    </row>
    <row r="57" spans="1:2">
      <c r="A57" s="6">
        <f>A55-(A50*10)</f>
        <v>1292</v>
      </c>
      <c r="B57" s="6"/>
    </row>
    <row r="58" spans="1:2">
      <c r="A58" s="1" t="s">
        <v>169</v>
      </c>
      <c r="B58" s="1"/>
    </row>
    <row r="59" spans="1:2">
      <c r="A59" s="6">
        <f>SUM(F:F)</f>
        <v>445</v>
      </c>
      <c r="B59" s="7"/>
    </row>
    <row r="60" spans="1:2">
      <c r="A60" s="64" t="s">
        <v>669</v>
      </c>
      <c r="B60" s="1"/>
    </row>
    <row r="61" spans="1:2">
      <c r="A61" s="6">
        <f>AVERAGE(F:F)</f>
        <v>9.6739130434782616</v>
      </c>
    </row>
    <row r="62" spans="1:2">
      <c r="A62" s="1"/>
    </row>
    <row r="63" spans="1:2">
      <c r="A63" s="6"/>
    </row>
    <row r="64" spans="1:2">
      <c r="A64" s="1"/>
    </row>
    <row r="65" spans="1:1">
      <c r="A65" s="7"/>
    </row>
    <row r="66" spans="1:1">
      <c r="A66" s="1" t="s">
        <v>162</v>
      </c>
    </row>
    <row r="67" spans="1:1">
      <c r="A67" s="2">
        <f>COUNTIF(K:K,"Completed")</f>
        <v>27</v>
      </c>
    </row>
    <row r="68" spans="1:1">
      <c r="A68" s="1" t="s">
        <v>163</v>
      </c>
    </row>
    <row r="69" spans="1:1">
      <c r="A69" s="2">
        <f>COUNTIF(K:K,"CBD")</f>
        <v>5</v>
      </c>
    </row>
    <row r="70" spans="1:1">
      <c r="A70" s="1" t="s">
        <v>164</v>
      </c>
    </row>
    <row r="71" spans="1:1">
      <c r="A71" s="1">
        <f>SUM(A67,A69)</f>
        <v>32</v>
      </c>
    </row>
    <row r="72" spans="1:1">
      <c r="A72" s="1" t="s">
        <v>96</v>
      </c>
    </row>
    <row r="73" spans="1:1">
      <c r="A73" s="2">
        <f>COUNTIF(K:K,"Undone")</f>
        <v>1</v>
      </c>
    </row>
    <row r="74" spans="1:1">
      <c r="A74" s="1" t="s">
        <v>125</v>
      </c>
    </row>
    <row r="75" spans="1:1">
      <c r="A75" s="2">
        <f>COUNTIF(K:K,"Pending")</f>
        <v>13</v>
      </c>
    </row>
    <row r="76" spans="1:1">
      <c r="A76" s="1" t="s">
        <v>167</v>
      </c>
    </row>
    <row r="77" spans="1:1">
      <c r="A77" s="1">
        <f>SUM(A73,A75)</f>
        <v>14</v>
      </c>
    </row>
    <row r="78" spans="1:1">
      <c r="A78" s="1" t="s">
        <v>168</v>
      </c>
    </row>
    <row r="79" spans="1:1">
      <c r="A79" s="11">
        <f>(A71)/(A50)</f>
        <v>0.69565217391304346</v>
      </c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7"/>
  </sheetPr>
  <dimension ref="A1:F50"/>
  <sheetViews>
    <sheetView workbookViewId="0" xr3:uid="{CF366857-BBDD-5199-9BC9-FF52903B0715}">
      <selection activeCell="E20" sqref="E20"/>
    </sheetView>
  </sheetViews>
  <sheetFormatPr defaultColWidth="11.42578125" defaultRowHeight="12.75"/>
  <cols>
    <col min="1" max="1" width="13.7109375" style="1" customWidth="1"/>
    <col min="2" max="2" width="21" bestFit="1" customWidth="1"/>
    <col min="3" max="3" width="28.140625" customWidth="1"/>
    <col min="4" max="4" width="7.5703125" style="41" customWidth="1"/>
  </cols>
  <sheetData>
    <row r="1" spans="1:6">
      <c r="A1" s="1" t="s">
        <v>63</v>
      </c>
      <c r="B1" t="s">
        <v>892</v>
      </c>
      <c r="C1" t="s">
        <v>41</v>
      </c>
      <c r="D1" s="41" t="s">
        <v>893</v>
      </c>
      <c r="E1" t="s">
        <v>894</v>
      </c>
      <c r="F1" t="s">
        <v>68</v>
      </c>
    </row>
    <row r="2" spans="1:6">
      <c r="A2" s="1">
        <v>94638548126</v>
      </c>
      <c r="B2" t="s">
        <v>895</v>
      </c>
      <c r="C2" t="s">
        <v>896</v>
      </c>
      <c r="D2" s="41">
        <v>1</v>
      </c>
      <c r="E2">
        <v>15</v>
      </c>
    </row>
    <row r="3" spans="1:6">
      <c r="A3" s="1">
        <v>724359660028</v>
      </c>
      <c r="B3" t="s">
        <v>895</v>
      </c>
      <c r="C3" t="s">
        <v>897</v>
      </c>
      <c r="D3" s="41">
        <v>1</v>
      </c>
      <c r="E3">
        <v>10</v>
      </c>
    </row>
    <row r="4" spans="1:6">
      <c r="A4" s="1">
        <v>879822000013</v>
      </c>
      <c r="B4" t="s">
        <v>898</v>
      </c>
      <c r="C4" t="s">
        <v>899</v>
      </c>
      <c r="D4" s="41">
        <v>1</v>
      </c>
      <c r="E4">
        <v>15</v>
      </c>
    </row>
    <row r="5" spans="1:6">
      <c r="A5" s="1">
        <v>727701840024</v>
      </c>
      <c r="B5" t="s">
        <v>898</v>
      </c>
      <c r="C5" t="s">
        <v>900</v>
      </c>
      <c r="D5" s="41">
        <v>1</v>
      </c>
      <c r="E5">
        <v>15</v>
      </c>
    </row>
    <row r="6" spans="1:6">
      <c r="A6" s="1">
        <v>93624323921</v>
      </c>
      <c r="B6" t="s">
        <v>901</v>
      </c>
      <c r="C6" t="s">
        <v>902</v>
      </c>
      <c r="D6" s="41">
        <v>1</v>
      </c>
      <c r="E6">
        <v>10</v>
      </c>
    </row>
    <row r="7" spans="1:6">
      <c r="A7" s="1">
        <v>75679012623</v>
      </c>
      <c r="B7" t="s">
        <v>903</v>
      </c>
      <c r="C7" t="s">
        <v>904</v>
      </c>
      <c r="D7" s="41">
        <v>1</v>
      </c>
      <c r="E7">
        <v>10</v>
      </c>
    </row>
    <row r="8" spans="1:6">
      <c r="A8" s="1">
        <v>75596184229</v>
      </c>
      <c r="B8" t="s">
        <v>903</v>
      </c>
      <c r="C8" t="s">
        <v>905</v>
      </c>
      <c r="D8" s="41">
        <v>1</v>
      </c>
      <c r="E8">
        <v>20</v>
      </c>
    </row>
    <row r="9" spans="1:6">
      <c r="A9" s="1">
        <v>75678379321</v>
      </c>
      <c r="B9" t="s">
        <v>903</v>
      </c>
      <c r="C9" t="s">
        <v>906</v>
      </c>
      <c r="D9" s="41">
        <v>1</v>
      </c>
      <c r="E9">
        <v>15</v>
      </c>
    </row>
    <row r="10" spans="1:6">
      <c r="A10" s="1">
        <v>75596244824</v>
      </c>
      <c r="B10" t="s">
        <v>903</v>
      </c>
      <c r="C10" t="s">
        <v>907</v>
      </c>
      <c r="D10" s="41">
        <v>1</v>
      </c>
      <c r="E10">
        <v>25</v>
      </c>
    </row>
    <row r="11" spans="1:6">
      <c r="A11" s="1">
        <v>75596274227</v>
      </c>
      <c r="B11" t="s">
        <v>903</v>
      </c>
      <c r="C11" t="s">
        <v>908</v>
      </c>
      <c r="D11" s="41">
        <v>2</v>
      </c>
      <c r="E11">
        <v>25</v>
      </c>
    </row>
    <row r="12" spans="1:6">
      <c r="A12" s="1">
        <v>16861798222</v>
      </c>
      <c r="B12" t="s">
        <v>903</v>
      </c>
      <c r="C12" t="s">
        <v>909</v>
      </c>
      <c r="D12" s="41">
        <v>2</v>
      </c>
      <c r="E12">
        <v>20</v>
      </c>
    </row>
    <row r="13" spans="1:6">
      <c r="A13" s="1">
        <v>75596289122</v>
      </c>
      <c r="B13" t="s">
        <v>903</v>
      </c>
      <c r="C13" t="s">
        <v>910</v>
      </c>
      <c r="D13" s="41">
        <v>1</v>
      </c>
      <c r="E13">
        <v>25</v>
      </c>
    </row>
    <row r="14" spans="1:6">
      <c r="A14" s="1">
        <v>824953003921</v>
      </c>
      <c r="B14" t="s">
        <v>911</v>
      </c>
      <c r="C14" t="s">
        <v>912</v>
      </c>
      <c r="D14" s="41">
        <v>1</v>
      </c>
      <c r="E14">
        <v>10</v>
      </c>
    </row>
    <row r="15" spans="1:6">
      <c r="A15" s="1">
        <v>696998695924</v>
      </c>
      <c r="B15" t="s">
        <v>913</v>
      </c>
      <c r="C15" t="s">
        <v>914</v>
      </c>
      <c r="D15" s="41">
        <v>1</v>
      </c>
      <c r="E15">
        <v>15</v>
      </c>
    </row>
    <row r="16" spans="1:6">
      <c r="A16" s="1">
        <v>827969070222</v>
      </c>
      <c r="B16" t="s">
        <v>915</v>
      </c>
      <c r="C16" t="s">
        <v>916</v>
      </c>
      <c r="D16" s="41">
        <v>1</v>
      </c>
      <c r="E16">
        <v>15</v>
      </c>
    </row>
    <row r="17" spans="1:5">
      <c r="A17" s="1">
        <v>94635570120</v>
      </c>
      <c r="B17" t="s">
        <v>917</v>
      </c>
      <c r="C17" t="s">
        <v>918</v>
      </c>
      <c r="D17" s="41">
        <v>1</v>
      </c>
      <c r="E17">
        <v>15</v>
      </c>
    </row>
    <row r="18" spans="1:5">
      <c r="A18" s="1">
        <v>724387392922</v>
      </c>
      <c r="B18" t="s">
        <v>919</v>
      </c>
      <c r="C18" t="s">
        <v>126</v>
      </c>
      <c r="D18" s="41">
        <v>1</v>
      </c>
      <c r="E18">
        <v>15</v>
      </c>
    </row>
    <row r="19" spans="1:5">
      <c r="A19" s="1">
        <v>766929908628</v>
      </c>
      <c r="B19" s="10" t="s">
        <v>920</v>
      </c>
      <c r="C19" s="10" t="s">
        <v>921</v>
      </c>
      <c r="D19" s="63">
        <v>2</v>
      </c>
      <c r="E19">
        <v>20</v>
      </c>
    </row>
    <row r="20" spans="1:5">
      <c r="A20" s="1">
        <v>99923823728</v>
      </c>
      <c r="B20" t="s">
        <v>922</v>
      </c>
      <c r="C20" t="s">
        <v>923</v>
      </c>
      <c r="D20" s="41">
        <v>1</v>
      </c>
      <c r="E20">
        <v>5</v>
      </c>
    </row>
    <row r="21" spans="1:5">
      <c r="A21" s="1">
        <v>99923865223</v>
      </c>
      <c r="B21" t="s">
        <v>922</v>
      </c>
      <c r="C21" t="s">
        <v>924</v>
      </c>
      <c r="D21" s="41">
        <v>1</v>
      </c>
      <c r="E21">
        <v>5</v>
      </c>
    </row>
    <row r="22" spans="1:5">
      <c r="A22" s="1">
        <v>99923843726</v>
      </c>
      <c r="B22" t="s">
        <v>922</v>
      </c>
      <c r="C22" t="s">
        <v>925</v>
      </c>
      <c r="D22" s="41">
        <v>1</v>
      </c>
      <c r="E22">
        <v>5</v>
      </c>
    </row>
    <row r="23" spans="1:5">
      <c r="A23" s="1">
        <v>16861812324</v>
      </c>
      <c r="B23" t="s">
        <v>922</v>
      </c>
      <c r="C23" t="s">
        <v>926</v>
      </c>
      <c r="D23" s="41">
        <v>1</v>
      </c>
      <c r="E23">
        <v>15</v>
      </c>
    </row>
    <row r="24" spans="1:5">
      <c r="A24" s="1">
        <v>99923418924</v>
      </c>
      <c r="B24" t="s">
        <v>922</v>
      </c>
      <c r="C24" t="s">
        <v>927</v>
      </c>
      <c r="D24" s="41">
        <v>2</v>
      </c>
      <c r="E24">
        <v>10</v>
      </c>
    </row>
    <row r="25" spans="1:5">
      <c r="A25" s="1">
        <v>801056707826</v>
      </c>
      <c r="B25" t="s">
        <v>922</v>
      </c>
      <c r="C25" t="s">
        <v>928</v>
      </c>
      <c r="D25" s="41">
        <v>1</v>
      </c>
      <c r="E25">
        <v>20</v>
      </c>
    </row>
    <row r="26" spans="1:5">
      <c r="A26" s="1">
        <v>724386668820</v>
      </c>
      <c r="B26" t="s">
        <v>929</v>
      </c>
      <c r="C26" t="s">
        <v>930</v>
      </c>
      <c r="D26" s="41">
        <v>1</v>
      </c>
      <c r="E26">
        <v>20</v>
      </c>
    </row>
    <row r="27" spans="1:5">
      <c r="A27" s="1">
        <v>724384925321</v>
      </c>
      <c r="B27" t="s">
        <v>929</v>
      </c>
      <c r="C27" t="s">
        <v>931</v>
      </c>
      <c r="D27" s="41">
        <v>1</v>
      </c>
      <c r="E27">
        <v>15</v>
      </c>
    </row>
    <row r="28" spans="1:5">
      <c r="A28" s="1">
        <v>724359343922</v>
      </c>
      <c r="B28" t="s">
        <v>929</v>
      </c>
      <c r="C28" t="s">
        <v>932</v>
      </c>
      <c r="D28" s="41">
        <v>1</v>
      </c>
      <c r="E28">
        <v>25</v>
      </c>
    </row>
    <row r="29" spans="1:5">
      <c r="A29" s="1">
        <v>606949342524</v>
      </c>
      <c r="B29" t="s">
        <v>933</v>
      </c>
      <c r="C29" t="s">
        <v>934</v>
      </c>
      <c r="D29" s="41">
        <v>1</v>
      </c>
      <c r="E29">
        <v>15</v>
      </c>
    </row>
    <row r="30" spans="1:5">
      <c r="A30" s="1">
        <v>724353276423</v>
      </c>
      <c r="B30" t="s">
        <v>935</v>
      </c>
      <c r="C30" t="s">
        <v>936</v>
      </c>
      <c r="D30" s="41">
        <v>1</v>
      </c>
      <c r="E30">
        <v>10</v>
      </c>
    </row>
    <row r="31" spans="1:5">
      <c r="A31" s="1">
        <v>724352775323</v>
      </c>
      <c r="B31" t="s">
        <v>935</v>
      </c>
      <c r="C31" t="s">
        <v>937</v>
      </c>
      <c r="D31" s="41">
        <v>1</v>
      </c>
      <c r="E31">
        <v>20</v>
      </c>
    </row>
    <row r="32" spans="1:5">
      <c r="A32" s="1">
        <v>724385522925</v>
      </c>
      <c r="B32" t="s">
        <v>935</v>
      </c>
      <c r="C32" t="s">
        <v>938</v>
      </c>
      <c r="D32" s="41">
        <v>1</v>
      </c>
      <c r="E32">
        <v>15</v>
      </c>
    </row>
    <row r="33" spans="1:5">
      <c r="A33" s="1">
        <v>77778140924</v>
      </c>
      <c r="B33" t="s">
        <v>935</v>
      </c>
      <c r="C33" t="s">
        <v>939</v>
      </c>
      <c r="D33" s="41">
        <v>1</v>
      </c>
      <c r="E33">
        <v>10</v>
      </c>
    </row>
    <row r="34" spans="1:5">
      <c r="A34" s="1">
        <v>93624738626</v>
      </c>
      <c r="B34" t="s">
        <v>940</v>
      </c>
      <c r="C34" t="s">
        <v>941</v>
      </c>
      <c r="D34" s="41">
        <v>1</v>
      </c>
      <c r="E34">
        <v>15</v>
      </c>
    </row>
    <row r="35" spans="1:5">
      <c r="A35" s="1">
        <v>842994098621</v>
      </c>
      <c r="B35" t="s">
        <v>942</v>
      </c>
      <c r="C35" t="s">
        <v>943</v>
      </c>
      <c r="D35" s="41">
        <v>1</v>
      </c>
      <c r="E35">
        <v>20</v>
      </c>
    </row>
    <row r="36" spans="1:5">
      <c r="A36" s="1">
        <v>693723792521</v>
      </c>
      <c r="B36" t="s">
        <v>944</v>
      </c>
      <c r="C36" t="s">
        <v>945</v>
      </c>
      <c r="D36" s="41">
        <v>1</v>
      </c>
      <c r="E36">
        <v>20</v>
      </c>
    </row>
    <row r="37" spans="1:5">
      <c r="A37" s="1">
        <v>693723001920</v>
      </c>
      <c r="B37" t="s">
        <v>944</v>
      </c>
      <c r="C37" t="s">
        <v>946</v>
      </c>
      <c r="D37" s="41">
        <v>1</v>
      </c>
      <c r="E37">
        <v>25</v>
      </c>
    </row>
    <row r="38" spans="1:5">
      <c r="A38" s="1">
        <v>82876726122</v>
      </c>
      <c r="B38" t="s">
        <v>947</v>
      </c>
      <c r="C38" t="s">
        <v>948</v>
      </c>
      <c r="D38" s="41">
        <v>1</v>
      </c>
      <c r="E38">
        <v>15</v>
      </c>
    </row>
    <row r="39" spans="1:5">
      <c r="B39" t="s">
        <v>947</v>
      </c>
      <c r="C39" t="s">
        <v>949</v>
      </c>
      <c r="D39" s="41">
        <v>1</v>
      </c>
      <c r="E39">
        <v>15</v>
      </c>
    </row>
    <row r="40" spans="1:5">
      <c r="A40" s="1">
        <v>696998706224</v>
      </c>
      <c r="B40" t="s">
        <v>947</v>
      </c>
      <c r="C40" t="s">
        <v>950</v>
      </c>
      <c r="D40" s="41">
        <v>1</v>
      </c>
      <c r="E40">
        <v>10</v>
      </c>
    </row>
    <row r="41" spans="1:5">
      <c r="A41" s="1">
        <v>74646892428</v>
      </c>
      <c r="B41" t="s">
        <v>947</v>
      </c>
      <c r="C41" t="s">
        <v>947</v>
      </c>
      <c r="D41" s="41">
        <v>1</v>
      </c>
      <c r="E41">
        <v>10</v>
      </c>
    </row>
    <row r="42" spans="1:5">
      <c r="A42" s="1">
        <v>74646224021</v>
      </c>
      <c r="B42" t="s">
        <v>947</v>
      </c>
      <c r="C42" t="s">
        <v>951</v>
      </c>
      <c r="D42" s="41">
        <v>1</v>
      </c>
      <c r="E42">
        <v>10</v>
      </c>
    </row>
    <row r="43" spans="1:5">
      <c r="A43" s="1">
        <v>828768199121</v>
      </c>
      <c r="B43" t="s">
        <v>952</v>
      </c>
      <c r="C43" t="s">
        <v>953</v>
      </c>
      <c r="D43" s="41">
        <v>1</v>
      </c>
      <c r="E43">
        <v>15</v>
      </c>
    </row>
    <row r="44" spans="1:5">
      <c r="A44" s="1">
        <v>614223108728</v>
      </c>
      <c r="B44" t="s">
        <v>952</v>
      </c>
      <c r="C44" t="s">
        <v>954</v>
      </c>
      <c r="D44" s="41">
        <v>1</v>
      </c>
      <c r="E44">
        <v>15</v>
      </c>
    </row>
    <row r="45" spans="1:5">
      <c r="A45" s="1">
        <v>61422330172</v>
      </c>
      <c r="B45" t="s">
        <v>952</v>
      </c>
      <c r="C45" t="s">
        <v>955</v>
      </c>
      <c r="D45" s="41">
        <v>1</v>
      </c>
      <c r="E45">
        <v>15</v>
      </c>
    </row>
    <row r="47" spans="1:5">
      <c r="A47" s="1" t="s">
        <v>169</v>
      </c>
    </row>
    <row r="48" spans="1:5">
      <c r="A48" s="6">
        <f>SUM(E:E)</f>
        <v>670</v>
      </c>
    </row>
    <row r="49" spans="1:1">
      <c r="A49" s="1" t="s">
        <v>956</v>
      </c>
    </row>
    <row r="50" spans="1:1">
      <c r="A50" s="8">
        <f>COUNTA(B:B)-1</f>
        <v>44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0"/>
  <sheetViews>
    <sheetView workbookViewId="0" xr3:uid="{958C4451-9541-5A59-BF78-D2F731DF1C81}">
      <selection activeCell="C10" sqref="C10"/>
    </sheetView>
  </sheetViews>
  <sheetFormatPr defaultRowHeight="12.75"/>
  <cols>
    <col min="2" max="2" width="37" customWidth="1"/>
  </cols>
  <sheetData>
    <row r="1" spans="1:3">
      <c r="A1" s="137" t="s">
        <v>52</v>
      </c>
      <c r="B1" s="138"/>
    </row>
    <row r="2" spans="1:3">
      <c r="A2" t="s">
        <v>53</v>
      </c>
      <c r="B2" t="s">
        <v>54</v>
      </c>
    </row>
    <row r="3" spans="1:3">
      <c r="B3" t="s">
        <v>55</v>
      </c>
    </row>
    <row r="4" spans="1:3">
      <c r="B4" t="s">
        <v>56</v>
      </c>
    </row>
    <row r="5" spans="1:3">
      <c r="B5" t="s">
        <v>57</v>
      </c>
    </row>
    <row r="6" spans="1:3">
      <c r="A6" t="s">
        <v>20</v>
      </c>
      <c r="B6" s="10" t="s">
        <v>58</v>
      </c>
    </row>
    <row r="8" spans="1:3">
      <c r="A8" s="137" t="s">
        <v>59</v>
      </c>
      <c r="B8" s="138"/>
    </row>
    <row r="9" spans="1:3">
      <c r="A9" t="s">
        <v>29</v>
      </c>
      <c r="B9" t="s">
        <v>60</v>
      </c>
      <c r="C9" t="s">
        <v>61</v>
      </c>
    </row>
    <row r="10" spans="1:3">
      <c r="A10" t="s">
        <v>29</v>
      </c>
      <c r="B10" t="s">
        <v>62</v>
      </c>
      <c r="C10" t="s">
        <v>61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7"/>
  </sheetPr>
  <dimension ref="A1:M76"/>
  <sheetViews>
    <sheetView topLeftCell="A46" workbookViewId="0" xr3:uid="{34904945-5288-588E-9F07-34343C13E9F2}">
      <selection activeCell="A77" sqref="A77"/>
    </sheetView>
  </sheetViews>
  <sheetFormatPr defaultColWidth="11.42578125" defaultRowHeight="12.75"/>
  <cols>
    <col min="1" max="1" width="18.7109375" style="1" bestFit="1" customWidth="1"/>
    <col min="2" max="2" width="37" customWidth="1"/>
    <col min="3" max="3" width="6.85546875" style="12" customWidth="1"/>
    <col min="4" max="4" width="7.5703125" style="60" bestFit="1" customWidth="1"/>
    <col min="5" max="5" width="11.140625" customWidth="1"/>
    <col min="6" max="6" width="11.42578125" customWidth="1"/>
    <col min="7" max="7" width="4.42578125" style="12" customWidth="1"/>
    <col min="8" max="8" width="4.7109375" style="12" customWidth="1"/>
    <col min="9" max="9" width="11.42578125" style="15"/>
    <col min="11" max="11" width="24.5703125" customWidth="1"/>
    <col min="12" max="12" width="11.42578125" style="13"/>
  </cols>
  <sheetData>
    <row r="1" spans="1:12">
      <c r="A1" s="1" t="s">
        <v>63</v>
      </c>
      <c r="B1" t="s">
        <v>957</v>
      </c>
      <c r="C1" s="12" t="s">
        <v>2</v>
      </c>
      <c r="D1" s="60" t="s">
        <v>958</v>
      </c>
      <c r="E1" t="s">
        <v>959</v>
      </c>
      <c r="F1" t="s">
        <v>960</v>
      </c>
      <c r="G1" s="12" t="s">
        <v>961</v>
      </c>
      <c r="H1" s="12" t="s">
        <v>962</v>
      </c>
      <c r="I1" s="15" t="s">
        <v>963</v>
      </c>
      <c r="J1" t="s">
        <v>964</v>
      </c>
      <c r="K1" t="s">
        <v>480</v>
      </c>
    </row>
    <row r="2" spans="1:12">
      <c r="A2" s="1">
        <v>85391198307</v>
      </c>
      <c r="B2" s="13">
        <v>300</v>
      </c>
      <c r="C2" s="12">
        <v>2006</v>
      </c>
      <c r="D2" s="60">
        <v>2</v>
      </c>
      <c r="E2">
        <v>25</v>
      </c>
      <c r="F2">
        <v>5</v>
      </c>
      <c r="G2" s="12" t="s">
        <v>965</v>
      </c>
      <c r="H2" s="12" t="s">
        <v>965</v>
      </c>
      <c r="I2" s="15">
        <v>116</v>
      </c>
      <c r="J2" t="s">
        <v>966</v>
      </c>
      <c r="L2" s="13" t="s">
        <v>967</v>
      </c>
    </row>
    <row r="3" spans="1:12">
      <c r="A3" s="1">
        <v>777966851099</v>
      </c>
      <c r="B3" s="13" t="s">
        <v>968</v>
      </c>
      <c r="C3" s="12" t="s">
        <v>969</v>
      </c>
      <c r="D3" s="60">
        <v>2</v>
      </c>
      <c r="E3">
        <v>5</v>
      </c>
      <c r="F3">
        <v>5</v>
      </c>
      <c r="H3" s="12" t="s">
        <v>965</v>
      </c>
      <c r="I3" s="15">
        <v>552</v>
      </c>
      <c r="J3" t="s">
        <v>969</v>
      </c>
      <c r="K3" t="s">
        <v>970</v>
      </c>
      <c r="L3" s="13" t="s">
        <v>967</v>
      </c>
    </row>
    <row r="4" spans="1:12">
      <c r="A4" s="1">
        <v>65935142249</v>
      </c>
      <c r="B4" t="s">
        <v>971</v>
      </c>
      <c r="C4" s="12">
        <v>2001</v>
      </c>
      <c r="D4" s="60">
        <v>2</v>
      </c>
      <c r="E4">
        <v>25</v>
      </c>
      <c r="F4">
        <v>5</v>
      </c>
      <c r="G4" s="12" t="s">
        <v>965</v>
      </c>
      <c r="I4" s="15">
        <v>122</v>
      </c>
      <c r="J4" t="s">
        <v>972</v>
      </c>
      <c r="K4" t="s">
        <v>973</v>
      </c>
      <c r="L4" s="13" t="s">
        <v>967</v>
      </c>
    </row>
    <row r="5" spans="1:12">
      <c r="A5" s="1">
        <v>678149443226</v>
      </c>
      <c r="B5" t="s">
        <v>974</v>
      </c>
      <c r="C5" s="12">
        <v>1999</v>
      </c>
      <c r="D5" s="60">
        <v>1</v>
      </c>
      <c r="E5">
        <v>10</v>
      </c>
      <c r="F5">
        <v>5</v>
      </c>
      <c r="G5" s="12" t="s">
        <v>965</v>
      </c>
      <c r="H5" s="12" t="s">
        <v>965</v>
      </c>
      <c r="I5" s="15">
        <v>122</v>
      </c>
      <c r="J5" t="s">
        <v>972</v>
      </c>
      <c r="L5" s="13" t="s">
        <v>967</v>
      </c>
    </row>
    <row r="6" spans="1:12">
      <c r="A6" s="1">
        <v>49656623768</v>
      </c>
      <c r="B6" t="s">
        <v>975</v>
      </c>
      <c r="D6" s="60">
        <v>2</v>
      </c>
      <c r="E6">
        <v>25</v>
      </c>
      <c r="F6">
        <v>15</v>
      </c>
      <c r="H6" s="12" t="s">
        <v>965</v>
      </c>
      <c r="I6" s="15" t="s">
        <v>150</v>
      </c>
      <c r="J6" t="s">
        <v>972</v>
      </c>
      <c r="K6" t="s">
        <v>165</v>
      </c>
      <c r="L6" s="13" t="s">
        <v>976</v>
      </c>
    </row>
    <row r="7" spans="1:12">
      <c r="A7" s="1">
        <v>794043457722</v>
      </c>
      <c r="B7" t="s">
        <v>977</v>
      </c>
      <c r="C7" s="12">
        <v>1997</v>
      </c>
      <c r="D7" s="60">
        <v>1</v>
      </c>
      <c r="E7">
        <v>5</v>
      </c>
      <c r="F7">
        <v>4</v>
      </c>
      <c r="G7" s="12" t="s">
        <v>965</v>
      </c>
      <c r="H7" s="12" t="s">
        <v>965</v>
      </c>
      <c r="I7" s="15">
        <v>90</v>
      </c>
      <c r="J7" t="s">
        <v>978</v>
      </c>
      <c r="L7" s="13" t="s">
        <v>967</v>
      </c>
    </row>
    <row r="8" spans="1:12">
      <c r="A8" s="1">
        <v>65935142911</v>
      </c>
      <c r="B8" t="s">
        <v>979</v>
      </c>
      <c r="C8" s="12">
        <v>1999</v>
      </c>
      <c r="D8" s="60">
        <v>1</v>
      </c>
      <c r="E8">
        <v>5</v>
      </c>
      <c r="F8">
        <v>4</v>
      </c>
      <c r="G8" s="12" t="s">
        <v>965</v>
      </c>
      <c r="H8" s="12" t="s">
        <v>965</v>
      </c>
      <c r="I8" s="15">
        <v>95</v>
      </c>
      <c r="J8" t="s">
        <v>972</v>
      </c>
      <c r="L8" s="13" t="s">
        <v>967</v>
      </c>
    </row>
    <row r="9" spans="1:12">
      <c r="A9" s="1">
        <v>65935144496</v>
      </c>
      <c r="B9" t="s">
        <v>980</v>
      </c>
      <c r="C9" s="12">
        <v>2002</v>
      </c>
      <c r="D9" s="60">
        <v>1</v>
      </c>
      <c r="E9">
        <v>5</v>
      </c>
      <c r="F9">
        <v>5</v>
      </c>
      <c r="G9" s="12" t="s">
        <v>965</v>
      </c>
      <c r="H9" s="12" t="s">
        <v>965</v>
      </c>
      <c r="I9" s="15">
        <v>95</v>
      </c>
      <c r="J9" t="s">
        <v>972</v>
      </c>
      <c r="K9" t="s">
        <v>165</v>
      </c>
      <c r="L9" s="13" t="s">
        <v>967</v>
      </c>
    </row>
    <row r="10" spans="1:12">
      <c r="A10" s="1">
        <v>25192043024</v>
      </c>
      <c r="B10" t="s">
        <v>981</v>
      </c>
      <c r="C10" s="12">
        <v>1998</v>
      </c>
      <c r="D10" s="60">
        <v>1</v>
      </c>
      <c r="E10">
        <v>10</v>
      </c>
      <c r="F10">
        <v>5</v>
      </c>
      <c r="G10" s="12" t="s">
        <v>965</v>
      </c>
      <c r="H10" s="12" t="s">
        <v>965</v>
      </c>
      <c r="I10" s="15">
        <v>104</v>
      </c>
      <c r="J10" t="s">
        <v>982</v>
      </c>
      <c r="L10" s="13" t="s">
        <v>967</v>
      </c>
    </row>
    <row r="11" spans="1:12">
      <c r="A11" s="1">
        <v>24543008132</v>
      </c>
      <c r="B11" t="s">
        <v>983</v>
      </c>
      <c r="C11" s="12">
        <v>2000</v>
      </c>
      <c r="D11" s="60">
        <v>1</v>
      </c>
      <c r="E11">
        <v>5</v>
      </c>
      <c r="F11">
        <v>2</v>
      </c>
      <c r="G11" s="12" t="s">
        <v>965</v>
      </c>
      <c r="H11" s="12" t="s">
        <v>965</v>
      </c>
      <c r="I11" s="15">
        <v>93</v>
      </c>
      <c r="J11" t="s">
        <v>972</v>
      </c>
      <c r="L11" s="13" t="s">
        <v>967</v>
      </c>
    </row>
    <row r="12" spans="1:12">
      <c r="A12">
        <v>43396112940</v>
      </c>
      <c r="B12" t="s">
        <v>984</v>
      </c>
      <c r="C12" s="12">
        <v>2003</v>
      </c>
      <c r="D12" s="60">
        <v>1</v>
      </c>
      <c r="E12">
        <v>25</v>
      </c>
      <c r="F12">
        <v>5</v>
      </c>
      <c r="G12" s="12" t="s">
        <v>965</v>
      </c>
      <c r="H12" s="12" t="s">
        <v>965</v>
      </c>
      <c r="I12" s="15">
        <v>125</v>
      </c>
      <c r="J12" t="s">
        <v>982</v>
      </c>
      <c r="L12" s="13" t="s">
        <v>967</v>
      </c>
    </row>
    <row r="13" spans="1:12">
      <c r="A13" s="1">
        <v>65935220404</v>
      </c>
      <c r="B13" t="s">
        <v>985</v>
      </c>
      <c r="C13" s="12">
        <v>2005</v>
      </c>
      <c r="D13" s="60">
        <v>1</v>
      </c>
      <c r="E13">
        <v>20</v>
      </c>
      <c r="F13">
        <v>10</v>
      </c>
      <c r="G13" s="12" t="s">
        <v>965</v>
      </c>
      <c r="H13" s="12" t="s">
        <v>965</v>
      </c>
      <c r="I13" s="15">
        <v>106</v>
      </c>
      <c r="J13" t="s">
        <v>986</v>
      </c>
      <c r="L13" s="13" t="s">
        <v>967</v>
      </c>
    </row>
    <row r="14" spans="1:12">
      <c r="A14" s="1">
        <v>794043717321</v>
      </c>
      <c r="B14" t="s">
        <v>987</v>
      </c>
      <c r="C14" s="12">
        <v>2004</v>
      </c>
      <c r="D14" s="60">
        <v>1</v>
      </c>
      <c r="E14">
        <v>20</v>
      </c>
      <c r="F14">
        <v>5</v>
      </c>
      <c r="G14" s="12" t="s">
        <v>965</v>
      </c>
      <c r="H14" s="12" t="s">
        <v>965</v>
      </c>
      <c r="I14" s="15">
        <v>114</v>
      </c>
      <c r="J14" t="s">
        <v>982</v>
      </c>
      <c r="L14" s="13" t="s">
        <v>967</v>
      </c>
    </row>
    <row r="15" spans="1:12">
      <c r="A15" s="1">
        <v>27616880208</v>
      </c>
      <c r="B15" t="s">
        <v>988</v>
      </c>
      <c r="C15" s="12">
        <v>1967</v>
      </c>
      <c r="D15" s="60">
        <v>1</v>
      </c>
      <c r="E15">
        <v>10</v>
      </c>
      <c r="F15">
        <v>5</v>
      </c>
      <c r="H15" s="12" t="s">
        <v>965</v>
      </c>
      <c r="I15" s="15">
        <v>137</v>
      </c>
      <c r="J15" t="s">
        <v>972</v>
      </c>
      <c r="L15" s="13" t="s">
        <v>967</v>
      </c>
    </row>
    <row r="16" spans="1:12">
      <c r="A16" s="1">
        <v>97360207446</v>
      </c>
      <c r="B16" t="s">
        <v>989</v>
      </c>
      <c r="C16" s="12">
        <v>2004</v>
      </c>
      <c r="D16" s="60">
        <v>2</v>
      </c>
      <c r="E16">
        <v>40</v>
      </c>
      <c r="F16">
        <v>15</v>
      </c>
      <c r="H16" s="12" t="s">
        <v>965</v>
      </c>
      <c r="I16" s="15">
        <v>275</v>
      </c>
      <c r="J16" t="s">
        <v>990</v>
      </c>
      <c r="L16" s="13" t="s">
        <v>991</v>
      </c>
    </row>
    <row r="17" spans="1:12">
      <c r="A17" s="1">
        <v>25193251329</v>
      </c>
      <c r="B17" t="s">
        <v>992</v>
      </c>
      <c r="C17" s="12">
        <v>2007</v>
      </c>
      <c r="D17" s="60">
        <v>1</v>
      </c>
      <c r="E17">
        <v>15</v>
      </c>
      <c r="F17">
        <v>5</v>
      </c>
      <c r="G17" s="12" t="s">
        <v>965</v>
      </c>
      <c r="H17" s="12" t="s">
        <v>965</v>
      </c>
      <c r="I17" s="15">
        <v>110</v>
      </c>
      <c r="J17" t="s">
        <v>982</v>
      </c>
      <c r="L17" s="13" t="s">
        <v>967</v>
      </c>
    </row>
    <row r="18" spans="1:12">
      <c r="A18" s="1">
        <v>73138359092</v>
      </c>
      <c r="B18" t="s">
        <v>993</v>
      </c>
      <c r="C18" s="12">
        <v>2000</v>
      </c>
      <c r="D18" s="60">
        <v>1</v>
      </c>
      <c r="E18">
        <v>5</v>
      </c>
      <c r="F18">
        <v>1</v>
      </c>
      <c r="G18" s="12" t="s">
        <v>965</v>
      </c>
      <c r="H18" s="12" t="s">
        <v>965</v>
      </c>
      <c r="I18" s="15">
        <v>98</v>
      </c>
      <c r="J18" t="s">
        <v>982</v>
      </c>
      <c r="L18" s="13" t="s">
        <v>967</v>
      </c>
    </row>
    <row r="19" spans="1:12">
      <c r="A19" s="1">
        <v>25192468827</v>
      </c>
      <c r="B19" t="s">
        <v>994</v>
      </c>
      <c r="C19" s="12">
        <v>2004</v>
      </c>
      <c r="D19" s="60">
        <v>1</v>
      </c>
      <c r="E19">
        <v>20</v>
      </c>
      <c r="F19">
        <v>5</v>
      </c>
      <c r="G19" s="12" t="s">
        <v>965</v>
      </c>
      <c r="H19" s="12" t="s">
        <v>965</v>
      </c>
      <c r="I19" s="15">
        <v>188</v>
      </c>
      <c r="J19" t="s">
        <v>969</v>
      </c>
      <c r="K19" t="s">
        <v>165</v>
      </c>
      <c r="L19" s="13" t="s">
        <v>967</v>
      </c>
    </row>
    <row r="20" spans="1:12">
      <c r="A20" s="1">
        <v>678149188622</v>
      </c>
      <c r="B20" t="s">
        <v>995</v>
      </c>
      <c r="C20" s="12">
        <v>2004</v>
      </c>
      <c r="D20" s="60">
        <v>1</v>
      </c>
      <c r="E20">
        <v>25</v>
      </c>
      <c r="F20">
        <v>5</v>
      </c>
      <c r="G20" s="12" t="s">
        <v>965</v>
      </c>
      <c r="H20" s="12" t="s">
        <v>965</v>
      </c>
      <c r="I20" s="15">
        <v>93</v>
      </c>
      <c r="J20" t="s">
        <v>982</v>
      </c>
      <c r="L20" s="13" t="s">
        <v>967</v>
      </c>
    </row>
    <row r="21" spans="1:12">
      <c r="A21" s="1">
        <v>24543069546</v>
      </c>
      <c r="B21" t="s">
        <v>996</v>
      </c>
      <c r="C21" s="12">
        <v>2003</v>
      </c>
      <c r="D21" s="60">
        <v>4</v>
      </c>
      <c r="E21">
        <v>20</v>
      </c>
      <c r="F21">
        <v>5</v>
      </c>
      <c r="G21" s="12" t="s">
        <v>965</v>
      </c>
      <c r="H21" s="12" t="s">
        <v>965</v>
      </c>
      <c r="I21" s="15">
        <v>624</v>
      </c>
      <c r="J21" t="s">
        <v>990</v>
      </c>
      <c r="K21" t="s">
        <v>997</v>
      </c>
      <c r="L21" s="13" t="s">
        <v>991</v>
      </c>
    </row>
    <row r="22" spans="1:12">
      <c r="A22" s="1">
        <v>24543081869</v>
      </c>
      <c r="B22" t="s">
        <v>998</v>
      </c>
      <c r="C22" s="12">
        <v>2003</v>
      </c>
      <c r="D22" s="60">
        <v>3</v>
      </c>
      <c r="E22">
        <v>20</v>
      </c>
      <c r="F22">
        <v>10</v>
      </c>
      <c r="G22" s="12" t="s">
        <v>965</v>
      </c>
      <c r="H22" s="12" t="s">
        <v>965</v>
      </c>
      <c r="I22" s="15">
        <v>495</v>
      </c>
      <c r="J22" t="s">
        <v>990</v>
      </c>
      <c r="K22" t="s">
        <v>999</v>
      </c>
      <c r="L22" s="13" t="s">
        <v>991</v>
      </c>
    </row>
    <row r="23" spans="1:12">
      <c r="A23" s="1">
        <v>24543382096</v>
      </c>
      <c r="B23" t="s">
        <v>1000</v>
      </c>
      <c r="C23" s="12">
        <v>2006</v>
      </c>
      <c r="D23" s="60">
        <v>3</v>
      </c>
      <c r="E23">
        <v>35</v>
      </c>
      <c r="F23">
        <v>15</v>
      </c>
      <c r="H23" s="12" t="s">
        <v>965</v>
      </c>
      <c r="I23" s="15">
        <v>314</v>
      </c>
      <c r="J23" t="s">
        <v>990</v>
      </c>
      <c r="K23" t="s">
        <v>1001</v>
      </c>
      <c r="L23" s="13" t="s">
        <v>991</v>
      </c>
    </row>
    <row r="24" spans="1:12">
      <c r="A24" s="1">
        <v>65935800002</v>
      </c>
      <c r="B24" t="s">
        <v>1002</v>
      </c>
      <c r="C24" s="12">
        <v>2006</v>
      </c>
      <c r="D24" s="60">
        <v>1</v>
      </c>
      <c r="E24">
        <v>25</v>
      </c>
      <c r="F24">
        <v>5</v>
      </c>
      <c r="G24" s="12" t="s">
        <v>965</v>
      </c>
      <c r="H24" s="12" t="s">
        <v>965</v>
      </c>
      <c r="I24" s="15">
        <v>104</v>
      </c>
      <c r="J24" t="s">
        <v>982</v>
      </c>
      <c r="L24" s="13" t="s">
        <v>967</v>
      </c>
    </row>
    <row r="25" spans="1:12">
      <c r="A25" s="1">
        <v>97361564449</v>
      </c>
      <c r="B25" t="s">
        <v>1003</v>
      </c>
      <c r="C25" s="12">
        <v>1994</v>
      </c>
      <c r="D25" s="60">
        <v>2</v>
      </c>
      <c r="E25">
        <v>15</v>
      </c>
      <c r="F25">
        <v>5</v>
      </c>
      <c r="G25" s="12" t="s">
        <v>965</v>
      </c>
      <c r="H25" s="12" t="s">
        <v>965</v>
      </c>
      <c r="I25" s="15">
        <v>141</v>
      </c>
      <c r="J25" t="s">
        <v>966</v>
      </c>
      <c r="L25" s="13" t="s">
        <v>967</v>
      </c>
    </row>
    <row r="26" spans="1:12">
      <c r="A26" s="1">
        <v>74645749693</v>
      </c>
      <c r="B26" t="s">
        <v>1004</v>
      </c>
      <c r="C26" s="12">
        <v>2005</v>
      </c>
      <c r="D26" s="60">
        <v>1</v>
      </c>
      <c r="E26">
        <v>20</v>
      </c>
      <c r="F26">
        <v>10</v>
      </c>
      <c r="H26" s="12" t="s">
        <v>965</v>
      </c>
      <c r="I26" s="15">
        <v>108</v>
      </c>
      <c r="J26" t="s">
        <v>150</v>
      </c>
      <c r="L26" s="13" t="s">
        <v>976</v>
      </c>
    </row>
    <row r="27" spans="1:12">
      <c r="A27" s="1">
        <v>14381305029</v>
      </c>
      <c r="B27" t="s">
        <v>1005</v>
      </c>
      <c r="C27" s="12">
        <v>2005</v>
      </c>
      <c r="D27" s="60">
        <v>1</v>
      </c>
      <c r="E27">
        <v>20</v>
      </c>
      <c r="F27">
        <v>5</v>
      </c>
      <c r="H27" s="12" t="s">
        <v>965</v>
      </c>
      <c r="I27" s="15">
        <v>85</v>
      </c>
      <c r="J27" t="s">
        <v>1006</v>
      </c>
      <c r="L27" s="13" t="s">
        <v>976</v>
      </c>
    </row>
    <row r="28" spans="1:12">
      <c r="A28" s="1">
        <v>24543135890</v>
      </c>
      <c r="B28" t="s">
        <v>1007</v>
      </c>
      <c r="C28" s="12">
        <v>2004</v>
      </c>
      <c r="D28" s="60">
        <v>1</v>
      </c>
      <c r="E28">
        <v>5</v>
      </c>
      <c r="F28">
        <v>2</v>
      </c>
      <c r="G28" s="12" t="s">
        <v>965</v>
      </c>
      <c r="H28" s="12" t="s">
        <v>965</v>
      </c>
      <c r="I28" s="15">
        <v>109</v>
      </c>
      <c r="J28" t="s">
        <v>982</v>
      </c>
      <c r="L28" s="13" t="s">
        <v>967</v>
      </c>
    </row>
    <row r="29" spans="1:12">
      <c r="A29" s="1">
        <v>678149083026</v>
      </c>
      <c r="B29" t="s">
        <v>1008</v>
      </c>
      <c r="C29" s="12">
        <v>2003</v>
      </c>
      <c r="D29" s="60">
        <v>1</v>
      </c>
      <c r="E29">
        <v>25</v>
      </c>
      <c r="F29">
        <v>10</v>
      </c>
      <c r="H29" s="12" t="s">
        <v>965</v>
      </c>
      <c r="I29" s="15">
        <v>155</v>
      </c>
      <c r="J29" t="s">
        <v>972</v>
      </c>
      <c r="L29" s="13" t="s">
        <v>967</v>
      </c>
    </row>
    <row r="30" spans="1:12">
      <c r="A30" s="1">
        <v>27616066237</v>
      </c>
      <c r="B30" t="s">
        <v>1009</v>
      </c>
      <c r="C30" s="12">
        <v>1995</v>
      </c>
      <c r="D30" s="60">
        <v>1</v>
      </c>
      <c r="E30">
        <v>10</v>
      </c>
      <c r="F30">
        <v>5</v>
      </c>
      <c r="G30" s="12" t="s">
        <v>965</v>
      </c>
      <c r="H30" s="12" t="s">
        <v>965</v>
      </c>
      <c r="I30" s="15">
        <v>130</v>
      </c>
      <c r="J30" t="s">
        <v>972</v>
      </c>
      <c r="L30" s="13" t="s">
        <v>967</v>
      </c>
    </row>
    <row r="31" spans="1:12">
      <c r="A31" s="1">
        <v>24543237068</v>
      </c>
      <c r="B31" t="s">
        <v>1010</v>
      </c>
      <c r="C31" s="12">
        <v>2006</v>
      </c>
      <c r="D31" s="60">
        <v>1</v>
      </c>
      <c r="E31">
        <v>25</v>
      </c>
      <c r="F31">
        <v>5</v>
      </c>
      <c r="G31" s="12" t="s">
        <v>965</v>
      </c>
      <c r="H31" s="12" t="s">
        <v>965</v>
      </c>
      <c r="I31" s="15">
        <v>94</v>
      </c>
      <c r="J31" t="s">
        <v>972</v>
      </c>
      <c r="L31" s="13" t="s">
        <v>967</v>
      </c>
    </row>
    <row r="32" spans="1:12">
      <c r="A32" s="1">
        <v>53939264012</v>
      </c>
      <c r="B32" t="s">
        <v>1011</v>
      </c>
      <c r="C32" s="12">
        <v>1999</v>
      </c>
      <c r="D32" s="60">
        <v>1</v>
      </c>
      <c r="E32">
        <v>10</v>
      </c>
      <c r="F32">
        <v>5</v>
      </c>
      <c r="G32" s="12" t="s">
        <v>965</v>
      </c>
      <c r="H32" s="12" t="s">
        <v>965</v>
      </c>
      <c r="I32" s="15">
        <v>188</v>
      </c>
      <c r="J32" t="s">
        <v>966</v>
      </c>
      <c r="L32" s="13" t="s">
        <v>967</v>
      </c>
    </row>
    <row r="33" spans="1:12">
      <c r="A33" s="1">
        <v>65935206675</v>
      </c>
      <c r="B33" t="s">
        <v>1012</v>
      </c>
      <c r="C33" s="12">
        <v>2004</v>
      </c>
      <c r="D33" s="60">
        <v>1</v>
      </c>
      <c r="E33">
        <v>25</v>
      </c>
      <c r="F33">
        <v>10</v>
      </c>
      <c r="G33" s="12" t="s">
        <v>965</v>
      </c>
      <c r="H33" s="12" t="s">
        <v>965</v>
      </c>
      <c r="I33" s="15">
        <v>99</v>
      </c>
      <c r="J33" t="s">
        <v>972</v>
      </c>
      <c r="K33" t="s">
        <v>165</v>
      </c>
      <c r="L33" s="13" t="s">
        <v>967</v>
      </c>
    </row>
    <row r="34" spans="1:12">
      <c r="A34" s="1">
        <v>24543058472</v>
      </c>
      <c r="B34" t="s">
        <v>1013</v>
      </c>
      <c r="C34" s="12">
        <v>1996</v>
      </c>
      <c r="D34" s="60">
        <v>2</v>
      </c>
      <c r="E34">
        <v>20</v>
      </c>
      <c r="F34">
        <v>10</v>
      </c>
      <c r="G34" s="12" t="s">
        <v>965</v>
      </c>
      <c r="H34" s="12" t="s">
        <v>965</v>
      </c>
      <c r="I34" s="15">
        <v>153</v>
      </c>
      <c r="J34" t="s">
        <v>972</v>
      </c>
      <c r="K34" t="s">
        <v>1014</v>
      </c>
      <c r="L34" s="13" t="s">
        <v>967</v>
      </c>
    </row>
    <row r="35" spans="1:12">
      <c r="A35" s="1">
        <v>2454304389</v>
      </c>
      <c r="B35" t="s">
        <v>1015</v>
      </c>
      <c r="C35" s="12">
        <v>2002</v>
      </c>
      <c r="D35" s="60">
        <v>1</v>
      </c>
      <c r="E35">
        <v>10</v>
      </c>
      <c r="F35">
        <v>5</v>
      </c>
      <c r="G35" s="12" t="s">
        <v>965</v>
      </c>
      <c r="H35" s="12" t="s">
        <v>965</v>
      </c>
      <c r="I35" s="15">
        <v>81</v>
      </c>
      <c r="J35" t="s">
        <v>972</v>
      </c>
      <c r="L35" s="13" t="s">
        <v>967</v>
      </c>
    </row>
    <row r="36" spans="1:12">
      <c r="A36" s="1">
        <v>85392838226</v>
      </c>
      <c r="B36" t="s">
        <v>1016</v>
      </c>
      <c r="C36" s="12">
        <v>2003</v>
      </c>
      <c r="D36" s="60">
        <v>2</v>
      </c>
      <c r="E36">
        <v>25</v>
      </c>
      <c r="F36">
        <v>5</v>
      </c>
      <c r="G36" s="12" t="s">
        <v>965</v>
      </c>
      <c r="H36" s="12" t="s">
        <v>965</v>
      </c>
      <c r="I36" s="15">
        <v>154</v>
      </c>
      <c r="J36" t="s">
        <v>990</v>
      </c>
      <c r="L36" s="13" t="s">
        <v>967</v>
      </c>
    </row>
    <row r="37" spans="1:12">
      <c r="A37" s="1">
        <v>24543101819</v>
      </c>
      <c r="B37" t="s">
        <v>1017</v>
      </c>
      <c r="C37" s="12">
        <v>2003</v>
      </c>
      <c r="D37" s="60">
        <v>1</v>
      </c>
      <c r="E37">
        <v>5</v>
      </c>
      <c r="F37">
        <v>2</v>
      </c>
      <c r="G37" s="12" t="s">
        <v>965</v>
      </c>
      <c r="H37" s="12" t="s">
        <v>965</v>
      </c>
      <c r="I37" s="15">
        <v>110</v>
      </c>
      <c r="J37" t="s">
        <v>972</v>
      </c>
      <c r="L37" s="13" t="s">
        <v>967</v>
      </c>
    </row>
    <row r="38" spans="1:12">
      <c r="A38" s="1">
        <v>786936286892</v>
      </c>
      <c r="B38" t="s">
        <v>1018</v>
      </c>
      <c r="C38" s="12">
        <v>2004</v>
      </c>
      <c r="D38" s="60">
        <v>1</v>
      </c>
      <c r="E38">
        <v>20</v>
      </c>
      <c r="F38">
        <v>15</v>
      </c>
      <c r="H38" s="12" t="s">
        <v>965</v>
      </c>
      <c r="I38" s="15">
        <v>118</v>
      </c>
      <c r="J38" t="s">
        <v>972</v>
      </c>
      <c r="L38" s="13" t="s">
        <v>967</v>
      </c>
    </row>
    <row r="39" spans="1:12">
      <c r="A39" s="1">
        <v>24543139683</v>
      </c>
      <c r="B39" t="s">
        <v>1019</v>
      </c>
      <c r="C39" s="12">
        <v>2004</v>
      </c>
      <c r="D39" s="60">
        <v>1</v>
      </c>
      <c r="E39">
        <v>10</v>
      </c>
      <c r="F39">
        <v>5</v>
      </c>
      <c r="G39" s="12" t="s">
        <v>965</v>
      </c>
      <c r="H39" s="12" t="s">
        <v>965</v>
      </c>
      <c r="I39" s="15">
        <v>146</v>
      </c>
      <c r="J39" t="s">
        <v>1020</v>
      </c>
      <c r="L39" s="13" t="s">
        <v>967</v>
      </c>
    </row>
    <row r="40" spans="1:12">
      <c r="A40" s="1">
        <v>24543114246</v>
      </c>
      <c r="B40" t="s">
        <v>1021</v>
      </c>
      <c r="C40" s="12">
        <v>2004</v>
      </c>
      <c r="D40" s="60">
        <v>1</v>
      </c>
      <c r="E40">
        <v>25</v>
      </c>
      <c r="F40">
        <v>10</v>
      </c>
      <c r="G40" s="12" t="s">
        <v>965</v>
      </c>
      <c r="H40" s="12" t="s">
        <v>965</v>
      </c>
      <c r="I40" s="15">
        <v>138</v>
      </c>
      <c r="J40" t="s">
        <v>1020</v>
      </c>
      <c r="L40" s="13" t="s">
        <v>967</v>
      </c>
    </row>
    <row r="41" spans="1:12">
      <c r="A41" s="1">
        <v>85392874811</v>
      </c>
      <c r="B41" t="s">
        <v>1022</v>
      </c>
      <c r="C41" s="12">
        <v>2003</v>
      </c>
      <c r="D41" s="60">
        <v>1</v>
      </c>
      <c r="E41">
        <v>5</v>
      </c>
      <c r="F41">
        <v>2</v>
      </c>
      <c r="G41" s="12" t="s">
        <v>965</v>
      </c>
      <c r="H41" s="12" t="s">
        <v>965</v>
      </c>
      <c r="I41" s="15">
        <v>138</v>
      </c>
      <c r="J41" s="13" t="s">
        <v>990</v>
      </c>
      <c r="L41" s="13" t="s">
        <v>967</v>
      </c>
    </row>
    <row r="42" spans="1:12">
      <c r="A42" s="1">
        <v>12569593237</v>
      </c>
      <c r="B42" t="s">
        <v>1023</v>
      </c>
      <c r="C42" s="12">
        <v>2004</v>
      </c>
      <c r="D42" s="60">
        <v>2</v>
      </c>
      <c r="E42">
        <v>25</v>
      </c>
      <c r="F42">
        <v>5</v>
      </c>
      <c r="G42" s="12" t="s">
        <v>965</v>
      </c>
      <c r="H42" s="12" t="s">
        <v>965</v>
      </c>
      <c r="I42" s="15">
        <v>132</v>
      </c>
      <c r="J42" t="s">
        <v>966</v>
      </c>
      <c r="L42" s="13" t="s">
        <v>967</v>
      </c>
    </row>
    <row r="43" spans="1:12">
      <c r="A43" s="1">
        <v>43396012936</v>
      </c>
      <c r="B43" t="s">
        <v>1024</v>
      </c>
      <c r="C43" s="12">
        <v>1974</v>
      </c>
      <c r="D43" s="60">
        <v>2</v>
      </c>
      <c r="E43">
        <v>20</v>
      </c>
      <c r="F43">
        <v>10</v>
      </c>
      <c r="H43" s="12" t="s">
        <v>965</v>
      </c>
      <c r="I43" s="15">
        <v>89</v>
      </c>
      <c r="J43" t="s">
        <v>966</v>
      </c>
      <c r="K43" t="s">
        <v>1025</v>
      </c>
      <c r="L43" s="13" t="s">
        <v>967</v>
      </c>
    </row>
    <row r="44" spans="1:12">
      <c r="A44" s="1">
        <v>97363456261</v>
      </c>
      <c r="B44" t="s">
        <v>1026</v>
      </c>
      <c r="C44" s="12">
        <v>2006</v>
      </c>
      <c r="D44" s="60">
        <v>1</v>
      </c>
      <c r="E44">
        <v>20</v>
      </c>
      <c r="F44">
        <v>5</v>
      </c>
      <c r="G44" s="12" t="s">
        <v>965</v>
      </c>
      <c r="H44" s="12" t="s">
        <v>965</v>
      </c>
      <c r="I44" s="15">
        <v>92</v>
      </c>
      <c r="J44" t="s">
        <v>966</v>
      </c>
      <c r="L44" s="13" t="s">
        <v>967</v>
      </c>
    </row>
    <row r="45" spans="1:12">
      <c r="A45" s="1">
        <v>65935138082</v>
      </c>
      <c r="B45" t="s">
        <v>1027</v>
      </c>
      <c r="C45" s="12">
        <v>2001</v>
      </c>
      <c r="D45" s="60">
        <v>1</v>
      </c>
      <c r="E45">
        <v>5</v>
      </c>
      <c r="F45">
        <v>2</v>
      </c>
      <c r="G45" s="12" t="s">
        <v>965</v>
      </c>
      <c r="H45" s="12" t="s">
        <v>965</v>
      </c>
      <c r="I45" s="15">
        <v>93</v>
      </c>
      <c r="J45" t="s">
        <v>1006</v>
      </c>
      <c r="L45" s="13" t="s">
        <v>967</v>
      </c>
    </row>
    <row r="46" spans="1:12">
      <c r="A46" s="1">
        <v>786936705164</v>
      </c>
      <c r="B46" t="s">
        <v>1028</v>
      </c>
      <c r="C46" s="12">
        <v>2006</v>
      </c>
      <c r="D46" s="60">
        <v>1</v>
      </c>
      <c r="E46">
        <v>25</v>
      </c>
      <c r="F46">
        <v>8</v>
      </c>
      <c r="G46" s="12" t="s">
        <v>965</v>
      </c>
      <c r="H46" s="12" t="s">
        <v>965</v>
      </c>
      <c r="I46" s="15">
        <v>130</v>
      </c>
      <c r="J46" t="s">
        <v>972</v>
      </c>
      <c r="L46" s="13" t="s">
        <v>967</v>
      </c>
    </row>
    <row r="47" spans="1:12">
      <c r="A47" s="1">
        <v>65935205036</v>
      </c>
      <c r="B47" t="s">
        <v>1029</v>
      </c>
      <c r="C47" s="12">
        <v>2000</v>
      </c>
      <c r="D47" s="60">
        <v>1</v>
      </c>
      <c r="E47">
        <v>10</v>
      </c>
      <c r="F47">
        <v>5</v>
      </c>
      <c r="G47" s="12" t="s">
        <v>965</v>
      </c>
      <c r="H47" s="12" t="s">
        <v>965</v>
      </c>
      <c r="I47" s="15">
        <v>102</v>
      </c>
      <c r="J47" t="s">
        <v>982</v>
      </c>
      <c r="L47" s="13" t="s">
        <v>967</v>
      </c>
    </row>
    <row r="48" spans="1:12">
      <c r="A48" s="1">
        <v>43396537279</v>
      </c>
      <c r="B48" t="s">
        <v>1030</v>
      </c>
      <c r="C48" s="12">
        <v>1993</v>
      </c>
      <c r="D48" s="60">
        <v>1</v>
      </c>
      <c r="E48">
        <v>10</v>
      </c>
      <c r="F48">
        <v>5</v>
      </c>
      <c r="G48" s="12" t="s">
        <v>965</v>
      </c>
      <c r="H48" s="12" t="s">
        <v>965</v>
      </c>
      <c r="I48" s="15">
        <v>114</v>
      </c>
      <c r="J48" t="s">
        <v>982</v>
      </c>
      <c r="L48" s="13" t="s">
        <v>967</v>
      </c>
    </row>
    <row r="49" spans="1:13">
      <c r="A49" s="1">
        <v>774212009037</v>
      </c>
      <c r="B49" t="s">
        <v>1031</v>
      </c>
      <c r="C49" s="12">
        <v>1998</v>
      </c>
      <c r="D49" s="60">
        <v>1</v>
      </c>
      <c r="E49">
        <v>5</v>
      </c>
      <c r="F49">
        <v>3</v>
      </c>
      <c r="G49" s="12" t="s">
        <v>965</v>
      </c>
      <c r="I49" s="15">
        <v>81</v>
      </c>
      <c r="J49" t="s">
        <v>990</v>
      </c>
      <c r="L49" s="13" t="s">
        <v>967</v>
      </c>
    </row>
    <row r="50" spans="1:13">
      <c r="A50" s="1">
        <v>53939263916</v>
      </c>
      <c r="B50" t="s">
        <v>1032</v>
      </c>
      <c r="C50" s="12">
        <v>1994</v>
      </c>
      <c r="D50" s="60">
        <v>1</v>
      </c>
      <c r="E50">
        <v>6</v>
      </c>
      <c r="F50">
        <v>5</v>
      </c>
      <c r="G50" s="12" t="s">
        <v>965</v>
      </c>
      <c r="H50" s="12" t="s">
        <v>965</v>
      </c>
      <c r="I50" s="15">
        <v>142</v>
      </c>
      <c r="J50" t="s">
        <v>966</v>
      </c>
      <c r="K50" t="s">
        <v>165</v>
      </c>
      <c r="L50" s="13" t="s">
        <v>967</v>
      </c>
    </row>
    <row r="51" spans="1:13">
      <c r="A51" s="1">
        <v>85392115624</v>
      </c>
      <c r="B51" t="s">
        <v>1033</v>
      </c>
      <c r="C51" s="12">
        <v>1980</v>
      </c>
      <c r="D51" s="60">
        <v>1</v>
      </c>
      <c r="E51">
        <v>10</v>
      </c>
      <c r="F51">
        <v>5</v>
      </c>
      <c r="G51" s="12" t="s">
        <v>965</v>
      </c>
      <c r="H51" s="12" t="s">
        <v>965</v>
      </c>
      <c r="I51" s="15">
        <v>142</v>
      </c>
      <c r="J51" t="s">
        <v>990</v>
      </c>
      <c r="L51" s="13" t="s">
        <v>967</v>
      </c>
    </row>
    <row r="52" spans="1:13">
      <c r="A52" s="1">
        <v>24543207894</v>
      </c>
      <c r="B52" t="s">
        <v>1034</v>
      </c>
      <c r="C52" s="12">
        <v>2005</v>
      </c>
      <c r="D52" s="60">
        <v>1</v>
      </c>
      <c r="E52">
        <v>20</v>
      </c>
      <c r="F52">
        <v>5</v>
      </c>
      <c r="G52" s="12" t="s">
        <v>1035</v>
      </c>
      <c r="H52" s="12" t="s">
        <v>965</v>
      </c>
      <c r="I52" s="15">
        <v>88</v>
      </c>
      <c r="J52" t="s">
        <v>990</v>
      </c>
      <c r="L52" s="13" t="s">
        <v>967</v>
      </c>
    </row>
    <row r="53" spans="1:13">
      <c r="A53" s="1">
        <v>97360568745</v>
      </c>
      <c r="B53" t="s">
        <v>1036</v>
      </c>
      <c r="C53" s="12">
        <v>2003</v>
      </c>
      <c r="D53" s="60">
        <v>1</v>
      </c>
      <c r="E53">
        <v>20</v>
      </c>
      <c r="F53">
        <v>5</v>
      </c>
      <c r="G53" s="12" t="s">
        <v>965</v>
      </c>
      <c r="H53" s="12" t="s">
        <v>965</v>
      </c>
      <c r="I53" s="15">
        <v>115</v>
      </c>
      <c r="J53" t="s">
        <v>990</v>
      </c>
      <c r="L53" s="13" t="s">
        <v>967</v>
      </c>
    </row>
    <row r="54" spans="1:13">
      <c r="A54" s="1">
        <v>43396031524</v>
      </c>
      <c r="B54" t="s">
        <v>1037</v>
      </c>
      <c r="C54" s="12">
        <v>2004</v>
      </c>
      <c r="D54" s="60">
        <v>1</v>
      </c>
      <c r="E54">
        <v>20</v>
      </c>
      <c r="F54">
        <v>8</v>
      </c>
      <c r="G54" s="12" t="s">
        <v>965</v>
      </c>
      <c r="H54" s="12" t="s">
        <v>965</v>
      </c>
      <c r="I54" s="15">
        <v>121</v>
      </c>
      <c r="J54" t="s">
        <v>972</v>
      </c>
      <c r="L54" s="13" t="s">
        <v>967</v>
      </c>
    </row>
    <row r="55" spans="1:13">
      <c r="A55" s="1">
        <v>43396146884</v>
      </c>
      <c r="B55" t="s">
        <v>1038</v>
      </c>
      <c r="C55" s="12">
        <v>2005</v>
      </c>
      <c r="D55" s="60">
        <v>1</v>
      </c>
      <c r="E55">
        <v>15</v>
      </c>
      <c r="F55">
        <v>8</v>
      </c>
      <c r="G55" s="12" t="s">
        <v>965</v>
      </c>
      <c r="H55" s="12" t="s">
        <v>965</v>
      </c>
      <c r="I55" s="15">
        <v>106</v>
      </c>
      <c r="J55" t="s">
        <v>1020</v>
      </c>
      <c r="L55" s="13" t="s">
        <v>967</v>
      </c>
    </row>
    <row r="56" spans="1:13">
      <c r="A56" s="1">
        <v>12569067127</v>
      </c>
      <c r="B56" t="s">
        <v>1039</v>
      </c>
      <c r="C56" s="12">
        <v>1989</v>
      </c>
      <c r="D56" s="60">
        <v>1</v>
      </c>
      <c r="E56">
        <v>5</v>
      </c>
      <c r="F56">
        <v>2</v>
      </c>
      <c r="G56" s="12" t="s">
        <v>965</v>
      </c>
      <c r="H56" s="12" t="s">
        <v>965</v>
      </c>
      <c r="I56" s="15">
        <v>92</v>
      </c>
      <c r="J56" t="s">
        <v>990</v>
      </c>
      <c r="L56" s="13" t="s">
        <v>967</v>
      </c>
    </row>
    <row r="58" spans="1:13">
      <c r="A58" s="1">
        <v>12569737204</v>
      </c>
      <c r="B58" t="s">
        <v>1040</v>
      </c>
      <c r="C58" s="12">
        <v>2005</v>
      </c>
      <c r="D58" s="60">
        <v>4</v>
      </c>
      <c r="E58">
        <v>40</v>
      </c>
      <c r="F58" t="s">
        <v>1041</v>
      </c>
      <c r="G58" s="12" t="s">
        <v>965</v>
      </c>
      <c r="H58" s="12" t="s">
        <v>965</v>
      </c>
      <c r="I58" s="15" t="s">
        <v>150</v>
      </c>
      <c r="J58" t="s">
        <v>150</v>
      </c>
      <c r="K58" t="s">
        <v>1042</v>
      </c>
      <c r="L58" s="13" t="s">
        <v>967</v>
      </c>
    </row>
    <row r="59" spans="1:13">
      <c r="A59" s="14">
        <v>622406031893</v>
      </c>
      <c r="B59" t="s">
        <v>1043</v>
      </c>
      <c r="C59" s="12">
        <v>2004</v>
      </c>
      <c r="D59" s="60">
        <v>2</v>
      </c>
      <c r="E59">
        <v>30</v>
      </c>
      <c r="F59" t="s">
        <v>1041</v>
      </c>
      <c r="G59" s="12" t="s">
        <v>965</v>
      </c>
      <c r="I59" s="15">
        <v>360</v>
      </c>
      <c r="J59" t="s">
        <v>990</v>
      </c>
      <c r="L59" s="13" t="s">
        <v>991</v>
      </c>
      <c r="M59" t="s">
        <v>1044</v>
      </c>
    </row>
    <row r="60" spans="1:13">
      <c r="A60" s="1">
        <v>622406031992</v>
      </c>
      <c r="B60" t="s">
        <v>1045</v>
      </c>
      <c r="C60" s="12">
        <v>2005</v>
      </c>
      <c r="D60" s="60">
        <v>2</v>
      </c>
      <c r="E60">
        <v>35</v>
      </c>
      <c r="F60" t="s">
        <v>1041</v>
      </c>
      <c r="G60" s="12" t="s">
        <v>965</v>
      </c>
      <c r="I60" s="15">
        <v>330</v>
      </c>
      <c r="J60" t="s">
        <v>990</v>
      </c>
      <c r="K60" t="s">
        <v>1046</v>
      </c>
      <c r="L60" s="13" t="s">
        <v>991</v>
      </c>
      <c r="M60" t="s">
        <v>1044</v>
      </c>
    </row>
    <row r="61" spans="1:13">
      <c r="A61" s="1">
        <v>622406032296</v>
      </c>
      <c r="B61" t="s">
        <v>1047</v>
      </c>
      <c r="C61" s="12">
        <v>2006</v>
      </c>
      <c r="D61" s="60">
        <v>3</v>
      </c>
      <c r="E61">
        <v>35</v>
      </c>
      <c r="F61" t="s">
        <v>1041</v>
      </c>
      <c r="G61" s="12" t="s">
        <v>965</v>
      </c>
      <c r="I61" s="15">
        <v>420</v>
      </c>
      <c r="J61" t="s">
        <v>990</v>
      </c>
      <c r="L61" s="13" t="s">
        <v>991</v>
      </c>
      <c r="M61" t="s">
        <v>1044</v>
      </c>
    </row>
    <row r="62" spans="1:13">
      <c r="A62" s="1">
        <v>824255003544</v>
      </c>
      <c r="B62" t="s">
        <v>1048</v>
      </c>
      <c r="C62" s="12">
        <v>2005</v>
      </c>
      <c r="D62" s="60">
        <v>3</v>
      </c>
      <c r="E62">
        <v>35</v>
      </c>
      <c r="F62" t="s">
        <v>1041</v>
      </c>
      <c r="G62" s="12" t="s">
        <v>965</v>
      </c>
      <c r="I62" s="15">
        <v>325</v>
      </c>
      <c r="J62" t="s">
        <v>990</v>
      </c>
      <c r="L62" s="13" t="s">
        <v>991</v>
      </c>
      <c r="M62" t="s">
        <v>1044</v>
      </c>
    </row>
    <row r="63" spans="1:13">
      <c r="A63" s="1">
        <v>824255003827</v>
      </c>
      <c r="B63" t="s">
        <v>1049</v>
      </c>
      <c r="C63" s="12">
        <v>2006</v>
      </c>
      <c r="D63" s="60">
        <v>3</v>
      </c>
      <c r="E63">
        <v>35</v>
      </c>
      <c r="F63" t="s">
        <v>1041</v>
      </c>
      <c r="G63" s="12" t="s">
        <v>965</v>
      </c>
      <c r="I63" s="15">
        <v>286</v>
      </c>
      <c r="J63" t="s">
        <v>990</v>
      </c>
      <c r="L63" s="13" t="s">
        <v>991</v>
      </c>
      <c r="M63" t="s">
        <v>1044</v>
      </c>
    </row>
    <row r="64" spans="1:13">
      <c r="A64" s="1">
        <v>603497036622</v>
      </c>
      <c r="B64" t="s">
        <v>1050</v>
      </c>
      <c r="C64" s="12">
        <v>2004</v>
      </c>
      <c r="D64" s="60">
        <v>1</v>
      </c>
      <c r="E64">
        <v>20</v>
      </c>
      <c r="F64" t="s">
        <v>1041</v>
      </c>
      <c r="H64" s="12" t="s">
        <v>965</v>
      </c>
      <c r="I64" s="15" t="s">
        <v>150</v>
      </c>
      <c r="J64" s="13" t="s">
        <v>150</v>
      </c>
      <c r="L64" s="13" t="s">
        <v>976</v>
      </c>
      <c r="M64" t="s">
        <v>1044</v>
      </c>
    </row>
    <row r="65" spans="1:13">
      <c r="A65" s="1">
        <v>65935222439</v>
      </c>
      <c r="B65" t="s">
        <v>1051</v>
      </c>
      <c r="C65" s="12">
        <v>2004</v>
      </c>
      <c r="D65" s="60">
        <v>1</v>
      </c>
      <c r="E65">
        <v>25</v>
      </c>
      <c r="F65" t="s">
        <v>1041</v>
      </c>
      <c r="G65" s="12" t="s">
        <v>965</v>
      </c>
      <c r="H65" s="12" t="s">
        <v>965</v>
      </c>
      <c r="I65" s="15">
        <v>108</v>
      </c>
      <c r="J65" t="s">
        <v>982</v>
      </c>
      <c r="L65" s="13" t="s">
        <v>967</v>
      </c>
      <c r="M65" t="s">
        <v>1044</v>
      </c>
    </row>
    <row r="66" spans="1:13">
      <c r="A66" s="1">
        <v>64027590999</v>
      </c>
      <c r="B66" t="s">
        <v>1052</v>
      </c>
      <c r="C66" s="12">
        <v>2008</v>
      </c>
      <c r="D66" s="60">
        <v>1</v>
      </c>
      <c r="E66">
        <v>25</v>
      </c>
      <c r="F66" t="s">
        <v>1041</v>
      </c>
      <c r="G66" s="12" t="s">
        <v>965</v>
      </c>
      <c r="I66" s="15">
        <v>100</v>
      </c>
      <c r="J66" t="s">
        <v>1053</v>
      </c>
      <c r="L66" s="13" t="s">
        <v>1054</v>
      </c>
      <c r="M66" t="s">
        <v>1044</v>
      </c>
    </row>
    <row r="67" spans="1:13">
      <c r="A67">
        <v>65935205432</v>
      </c>
      <c r="B67" t="s">
        <v>1055</v>
      </c>
      <c r="C67" s="12">
        <v>2004</v>
      </c>
      <c r="D67" s="60">
        <v>1</v>
      </c>
      <c r="E67">
        <v>25</v>
      </c>
      <c r="F67" t="s">
        <v>1041</v>
      </c>
      <c r="G67" s="12" t="s">
        <v>965</v>
      </c>
      <c r="H67" s="12" t="s">
        <v>965</v>
      </c>
      <c r="I67" s="15">
        <v>112</v>
      </c>
      <c r="J67" t="s">
        <v>982</v>
      </c>
      <c r="L67" s="13" t="s">
        <v>967</v>
      </c>
      <c r="M67" t="s">
        <v>1044</v>
      </c>
    </row>
    <row r="68" spans="1:13">
      <c r="A68" s="1">
        <v>95935209874</v>
      </c>
      <c r="B68" t="s">
        <v>1056</v>
      </c>
      <c r="C68" s="12">
        <v>2005</v>
      </c>
      <c r="D68" s="60">
        <v>1</v>
      </c>
      <c r="E68">
        <v>25</v>
      </c>
      <c r="F68" t="s">
        <v>1041</v>
      </c>
      <c r="G68" s="12" t="s">
        <v>965</v>
      </c>
      <c r="H68" s="12" t="s">
        <v>965</v>
      </c>
      <c r="I68" s="15">
        <v>124</v>
      </c>
      <c r="J68" t="s">
        <v>982</v>
      </c>
      <c r="L68" s="13" t="s">
        <v>967</v>
      </c>
      <c r="M68" t="s">
        <v>1044</v>
      </c>
    </row>
    <row r="69" spans="1:13">
      <c r="A69" s="1">
        <v>97360156782</v>
      </c>
      <c r="B69" t="s">
        <v>1057</v>
      </c>
      <c r="C69" s="12">
        <v>1984</v>
      </c>
      <c r="D69" s="60">
        <v>1</v>
      </c>
      <c r="E69">
        <v>5</v>
      </c>
      <c r="F69" t="s">
        <v>1041</v>
      </c>
      <c r="G69" s="12" t="s">
        <v>965</v>
      </c>
      <c r="H69" s="12" t="s">
        <v>965</v>
      </c>
      <c r="I69" s="15">
        <v>90</v>
      </c>
      <c r="J69" t="s">
        <v>966</v>
      </c>
      <c r="L69" s="13" t="s">
        <v>967</v>
      </c>
      <c r="M69" t="s">
        <v>1044</v>
      </c>
    </row>
    <row r="71" spans="1:13">
      <c r="A71" s="1" t="s">
        <v>169</v>
      </c>
      <c r="E71" s="16"/>
    </row>
    <row r="72" spans="1:13">
      <c r="A72" s="6">
        <f>SUM(E:E)</f>
        <v>1226</v>
      </c>
    </row>
    <row r="73" spans="1:13">
      <c r="A73" s="1" t="s">
        <v>1058</v>
      </c>
    </row>
    <row r="74" spans="1:13">
      <c r="A74" s="8">
        <f>COUNTA(B:B)-1</f>
        <v>67</v>
      </c>
    </row>
    <row r="75" spans="1:13">
      <c r="A75" s="14" t="s">
        <v>1059</v>
      </c>
    </row>
    <row r="76" spans="1:13">
      <c r="A76" s="6">
        <f>SUM(F:F)</f>
        <v>338</v>
      </c>
    </row>
  </sheetData>
  <phoneticPr fontId="2" type="noConversion"/>
  <pageMargins left="0.75" right="0.75" top="1" bottom="1" header="0.4921259845" footer="0.4921259845"/>
  <pageSetup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7"/>
  </sheetPr>
  <dimension ref="A1:L25"/>
  <sheetViews>
    <sheetView workbookViewId="0" xr3:uid="{731C365F-4EDE-5636-9D2D-917179ED8537}">
      <selection activeCell="B21" sqref="B21"/>
    </sheetView>
  </sheetViews>
  <sheetFormatPr defaultColWidth="11.42578125" defaultRowHeight="12.75"/>
  <cols>
    <col min="1" max="1" width="15.28515625" style="1" customWidth="1"/>
    <col min="2" max="2" width="33.42578125" bestFit="1" customWidth="1"/>
    <col min="3" max="3" width="7.140625" style="41" customWidth="1"/>
    <col min="4" max="4" width="8.28515625" style="45" customWidth="1"/>
    <col min="5" max="5" width="8.7109375" customWidth="1"/>
    <col min="6" max="6" width="7" customWidth="1"/>
    <col min="7" max="7" width="5.42578125" customWidth="1"/>
    <col min="8" max="8" width="5.28515625" customWidth="1"/>
    <col min="9" max="9" width="11.140625" style="41" customWidth="1"/>
    <col min="10" max="10" width="9.7109375" customWidth="1"/>
    <col min="11" max="11" width="15.28515625" customWidth="1"/>
  </cols>
  <sheetData>
    <row r="1" spans="1:12">
      <c r="A1" s="1" t="s">
        <v>63</v>
      </c>
      <c r="B1" t="s">
        <v>957</v>
      </c>
      <c r="C1" s="45" t="s">
        <v>2</v>
      </c>
      <c r="D1" s="45" t="s">
        <v>958</v>
      </c>
      <c r="E1" s="12" t="s">
        <v>959</v>
      </c>
      <c r="F1" s="12" t="s">
        <v>960</v>
      </c>
      <c r="G1" s="12" t="s">
        <v>961</v>
      </c>
      <c r="H1" s="12" t="s">
        <v>962</v>
      </c>
      <c r="I1" s="45" t="s">
        <v>963</v>
      </c>
      <c r="J1" s="12" t="s">
        <v>964</v>
      </c>
      <c r="K1" s="12" t="s">
        <v>480</v>
      </c>
      <c r="L1" s="13"/>
    </row>
    <row r="2" spans="1:12">
      <c r="A2" s="1">
        <v>57373178362</v>
      </c>
      <c r="B2" t="s">
        <v>1060</v>
      </c>
      <c r="C2" s="45">
        <v>2007</v>
      </c>
      <c r="D2" s="45">
        <v>1</v>
      </c>
      <c r="E2" s="12">
        <v>0</v>
      </c>
      <c r="F2" s="12"/>
      <c r="G2" s="12" t="s">
        <v>965</v>
      </c>
      <c r="H2" s="12" t="s">
        <v>965</v>
      </c>
      <c r="I2" s="45">
        <v>122</v>
      </c>
      <c r="J2" s="12" t="s">
        <v>1061</v>
      </c>
      <c r="K2" s="12"/>
    </row>
    <row r="3" spans="1:12">
      <c r="A3" s="1">
        <v>794043123252</v>
      </c>
      <c r="B3" t="s">
        <v>1062</v>
      </c>
      <c r="C3" s="45">
        <v>2004</v>
      </c>
      <c r="D3" s="45">
        <v>1</v>
      </c>
      <c r="E3" s="12">
        <v>35</v>
      </c>
      <c r="F3" s="12"/>
      <c r="G3" s="12"/>
      <c r="H3" s="12" t="s">
        <v>965</v>
      </c>
      <c r="I3" s="45">
        <v>102</v>
      </c>
      <c r="J3" s="12" t="s">
        <v>1061</v>
      </c>
      <c r="K3" s="12"/>
    </row>
    <row r="4" spans="1:12">
      <c r="A4" s="1">
        <v>43396341425</v>
      </c>
      <c r="B4" s="10" t="s">
        <v>1063</v>
      </c>
      <c r="C4" s="45">
        <v>2009</v>
      </c>
      <c r="D4" s="45">
        <v>2</v>
      </c>
      <c r="E4" s="12">
        <v>35</v>
      </c>
      <c r="F4" s="12"/>
      <c r="G4" s="85" t="s">
        <v>965</v>
      </c>
      <c r="H4" s="85" t="s">
        <v>965</v>
      </c>
      <c r="I4" s="45">
        <v>90</v>
      </c>
      <c r="J4" s="85" t="s">
        <v>1061</v>
      </c>
      <c r="K4" s="12"/>
    </row>
    <row r="5" spans="1:12">
      <c r="A5" s="1">
        <v>65935827054</v>
      </c>
      <c r="B5" s="10" t="s">
        <v>1051</v>
      </c>
      <c r="C5" s="45">
        <v>2004</v>
      </c>
      <c r="D5" s="45">
        <v>1</v>
      </c>
      <c r="E5" s="12">
        <v>10</v>
      </c>
      <c r="F5" s="12"/>
      <c r="G5" s="85" t="s">
        <v>965</v>
      </c>
      <c r="H5" s="85" t="s">
        <v>965</v>
      </c>
      <c r="I5" s="45">
        <v>108</v>
      </c>
      <c r="J5" s="85" t="s">
        <v>1061</v>
      </c>
      <c r="K5" s="85" t="s">
        <v>165</v>
      </c>
    </row>
    <row r="6" spans="1:12">
      <c r="A6" s="1">
        <v>65935823858</v>
      </c>
      <c r="B6" t="s">
        <v>1002</v>
      </c>
      <c r="C6" s="45">
        <v>2006</v>
      </c>
      <c r="D6" s="45">
        <v>1</v>
      </c>
      <c r="E6" s="12">
        <v>20</v>
      </c>
      <c r="F6" s="12"/>
      <c r="G6" s="12" t="s">
        <v>965</v>
      </c>
      <c r="H6" s="12" t="s">
        <v>965</v>
      </c>
      <c r="I6" s="45">
        <v>101</v>
      </c>
      <c r="J6" s="12" t="s">
        <v>1061</v>
      </c>
      <c r="K6" s="12" t="s">
        <v>165</v>
      </c>
    </row>
    <row r="7" spans="1:12">
      <c r="A7" s="1">
        <v>97360715866</v>
      </c>
      <c r="B7" t="s">
        <v>1008</v>
      </c>
      <c r="C7" s="45">
        <v>2000</v>
      </c>
      <c r="D7" s="45">
        <v>2</v>
      </c>
      <c r="E7" s="12">
        <v>30</v>
      </c>
      <c r="F7" s="12"/>
      <c r="G7" s="12" t="s">
        <v>965</v>
      </c>
      <c r="H7" s="12" t="s">
        <v>965</v>
      </c>
      <c r="I7" s="45">
        <v>171</v>
      </c>
      <c r="J7" s="12" t="s">
        <v>1061</v>
      </c>
      <c r="K7" s="12"/>
    </row>
    <row r="8" spans="1:12">
      <c r="A8" s="1">
        <v>65935831648</v>
      </c>
      <c r="B8" s="10" t="s">
        <v>1064</v>
      </c>
      <c r="C8" s="45">
        <v>2009</v>
      </c>
      <c r="D8" s="45">
        <v>2</v>
      </c>
      <c r="E8" s="12">
        <v>33</v>
      </c>
      <c r="F8" s="12"/>
      <c r="G8" s="12" t="s">
        <v>965</v>
      </c>
      <c r="H8" s="12" t="s">
        <v>965</v>
      </c>
      <c r="I8" s="45">
        <v>153</v>
      </c>
      <c r="J8" s="85" t="s">
        <v>1061</v>
      </c>
      <c r="K8" s="12"/>
    </row>
    <row r="9" spans="1:12">
      <c r="A9" s="1">
        <v>786936750034</v>
      </c>
      <c r="B9" t="s">
        <v>1065</v>
      </c>
      <c r="C9" s="45">
        <v>2007</v>
      </c>
      <c r="D9" s="45">
        <v>1</v>
      </c>
      <c r="E9" s="12">
        <v>10</v>
      </c>
      <c r="F9" s="12"/>
      <c r="G9" s="12" t="s">
        <v>965</v>
      </c>
      <c r="H9" s="12" t="s">
        <v>965</v>
      </c>
      <c r="I9" s="45">
        <v>122</v>
      </c>
      <c r="J9" s="12" t="s">
        <v>1061</v>
      </c>
      <c r="K9" s="85" t="s">
        <v>165</v>
      </c>
    </row>
    <row r="10" spans="1:12">
      <c r="A10" s="1">
        <v>794051400123</v>
      </c>
      <c r="B10" s="10" t="s">
        <v>1066</v>
      </c>
      <c r="C10" s="45">
        <v>2007</v>
      </c>
      <c r="D10" s="45">
        <v>4</v>
      </c>
      <c r="E10" s="12">
        <v>0</v>
      </c>
      <c r="F10" s="12"/>
      <c r="G10" s="12"/>
      <c r="H10" s="85" t="s">
        <v>965</v>
      </c>
      <c r="I10" s="45">
        <v>550</v>
      </c>
      <c r="J10" s="85" t="s">
        <v>1067</v>
      </c>
      <c r="K10" s="12"/>
    </row>
    <row r="11" spans="1:12">
      <c r="A11" s="1">
        <v>774212103285</v>
      </c>
      <c r="B11" s="10" t="s">
        <v>1068</v>
      </c>
      <c r="C11" s="45">
        <v>2010</v>
      </c>
      <c r="D11" s="45">
        <v>2</v>
      </c>
      <c r="E11" s="12">
        <v>28</v>
      </c>
      <c r="F11" s="12"/>
      <c r="G11" s="12"/>
      <c r="H11" s="85"/>
      <c r="I11" s="45">
        <v>288</v>
      </c>
      <c r="J11" s="85" t="s">
        <v>1061</v>
      </c>
      <c r="K11" s="12"/>
    </row>
    <row r="12" spans="1:12">
      <c r="A12" s="1">
        <v>65935820925</v>
      </c>
      <c r="B12" s="10" t="s">
        <v>1056</v>
      </c>
      <c r="C12" s="45">
        <v>2008</v>
      </c>
      <c r="D12" s="45">
        <v>1</v>
      </c>
      <c r="E12" s="12">
        <v>5</v>
      </c>
      <c r="F12" s="12"/>
      <c r="G12" s="85" t="s">
        <v>965</v>
      </c>
      <c r="H12" s="85" t="s">
        <v>965</v>
      </c>
      <c r="I12" s="45">
        <v>124</v>
      </c>
      <c r="J12" s="85" t="s">
        <v>1061</v>
      </c>
      <c r="K12" s="85" t="s">
        <v>165</v>
      </c>
    </row>
    <row r="13" spans="1:12">
      <c r="A13" s="1">
        <v>57373205112</v>
      </c>
      <c r="B13" s="10" t="s">
        <v>1069</v>
      </c>
      <c r="C13" s="45">
        <v>1991</v>
      </c>
      <c r="D13" s="45">
        <v>1</v>
      </c>
      <c r="E13" s="12">
        <v>12</v>
      </c>
      <c r="F13" s="12"/>
      <c r="G13" s="85" t="s">
        <v>965</v>
      </c>
      <c r="H13" s="85" t="s">
        <v>965</v>
      </c>
      <c r="I13" s="45">
        <v>152</v>
      </c>
      <c r="J13" s="85" t="s">
        <v>1061</v>
      </c>
      <c r="K13" s="12"/>
    </row>
    <row r="14" spans="1:12">
      <c r="A14" s="1">
        <v>85391292913</v>
      </c>
      <c r="B14" t="s">
        <v>1070</v>
      </c>
      <c r="C14" s="45">
        <v>2007</v>
      </c>
      <c r="D14" s="45">
        <v>1</v>
      </c>
      <c r="E14" s="12">
        <v>15</v>
      </c>
      <c r="F14" s="12"/>
      <c r="G14" s="12" t="s">
        <v>965</v>
      </c>
      <c r="H14" s="12" t="s">
        <v>965</v>
      </c>
      <c r="I14" s="45">
        <v>196</v>
      </c>
      <c r="J14" s="12" t="s">
        <v>1061</v>
      </c>
      <c r="K14" s="12"/>
    </row>
    <row r="15" spans="1:12">
      <c r="B15" t="s">
        <v>1071</v>
      </c>
      <c r="D15" s="45">
        <v>1</v>
      </c>
      <c r="E15" s="12">
        <v>23</v>
      </c>
    </row>
    <row r="16" spans="1:12">
      <c r="B16" s="10" t="s">
        <v>1072</v>
      </c>
      <c r="C16" s="45">
        <v>2010</v>
      </c>
      <c r="D16" s="45">
        <v>2</v>
      </c>
      <c r="E16" s="12">
        <v>31</v>
      </c>
    </row>
    <row r="17" spans="1:5">
      <c r="B17" s="10" t="s">
        <v>1073</v>
      </c>
      <c r="E17" s="12">
        <v>16</v>
      </c>
    </row>
    <row r="18" spans="1:5">
      <c r="B18" s="10" t="s">
        <v>1074</v>
      </c>
      <c r="E18" s="12">
        <v>30</v>
      </c>
    </row>
    <row r="19" spans="1:5">
      <c r="B19" s="10" t="s">
        <v>1075</v>
      </c>
      <c r="E19" s="12"/>
    </row>
    <row r="20" spans="1:5">
      <c r="B20" s="10" t="s">
        <v>1076</v>
      </c>
      <c r="E20" s="12"/>
    </row>
    <row r="21" spans="1:5">
      <c r="B21" s="10"/>
      <c r="E21" s="12"/>
    </row>
    <row r="22" spans="1:5">
      <c r="A22" s="1" t="s">
        <v>169</v>
      </c>
    </row>
    <row r="23" spans="1:5">
      <c r="A23" s="6">
        <f>SUM(E:E)</f>
        <v>333</v>
      </c>
    </row>
    <row r="24" spans="1:5">
      <c r="A24" s="1" t="s">
        <v>1077</v>
      </c>
    </row>
    <row r="25" spans="1:5">
      <c r="A25" s="8">
        <f>COUNTA(B:B)-1</f>
        <v>19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M35"/>
  <sheetViews>
    <sheetView workbookViewId="0" xr3:uid="{0801C90D-E949-51CC-9495-7D82D7DEDABF}">
      <selection activeCell="C27" sqref="C27"/>
    </sheetView>
  </sheetViews>
  <sheetFormatPr defaultColWidth="11.42578125" defaultRowHeight="12.75"/>
  <cols>
    <col min="1" max="1" width="15.85546875" style="1" bestFit="1" customWidth="1"/>
    <col min="3" max="3" width="25.5703125" bestFit="1" customWidth="1"/>
    <col min="9" max="9" width="11.42578125" style="41"/>
    <col min="10" max="10" width="14.42578125" customWidth="1"/>
    <col min="11" max="11" width="12.5703125" bestFit="1" customWidth="1"/>
    <col min="13" max="13" width="25.140625" bestFit="1" customWidth="1"/>
  </cols>
  <sheetData>
    <row r="1" spans="1:13">
      <c r="A1" s="1" t="s">
        <v>63</v>
      </c>
      <c r="B1" t="s">
        <v>1078</v>
      </c>
      <c r="C1" t="s">
        <v>65</v>
      </c>
      <c r="D1" t="s">
        <v>66</v>
      </c>
      <c r="E1" t="s">
        <v>67</v>
      </c>
      <c r="F1" t="s">
        <v>68</v>
      </c>
      <c r="G1" t="s">
        <v>72</v>
      </c>
      <c r="H1" s="10" t="s">
        <v>73</v>
      </c>
      <c r="I1" s="41" t="s">
        <v>74</v>
      </c>
      <c r="J1" t="s">
        <v>75</v>
      </c>
      <c r="K1" t="s">
        <v>1</v>
      </c>
      <c r="M1" s="10" t="s">
        <v>1079</v>
      </c>
    </row>
    <row r="2" spans="1:13">
      <c r="B2" t="s">
        <v>1080</v>
      </c>
      <c r="C2" t="s">
        <v>1081</v>
      </c>
      <c r="D2" t="s">
        <v>81</v>
      </c>
      <c r="E2">
        <v>50</v>
      </c>
      <c r="F2">
        <v>0</v>
      </c>
      <c r="H2" t="s">
        <v>184</v>
      </c>
      <c r="J2" t="s">
        <v>1082</v>
      </c>
      <c r="K2" t="s">
        <v>1083</v>
      </c>
    </row>
    <row r="3" spans="1:13">
      <c r="B3" s="10" t="s">
        <v>1084</v>
      </c>
      <c r="C3" s="10" t="s">
        <v>1085</v>
      </c>
      <c r="D3" s="10" t="s">
        <v>81</v>
      </c>
      <c r="E3">
        <v>5</v>
      </c>
      <c r="H3" s="10" t="s">
        <v>96</v>
      </c>
      <c r="J3" s="10" t="s">
        <v>90</v>
      </c>
      <c r="K3" s="10" t="s">
        <v>1086</v>
      </c>
      <c r="M3" s="10" t="s">
        <v>1087</v>
      </c>
    </row>
    <row r="4" spans="1:13">
      <c r="B4" s="10" t="s">
        <v>1084</v>
      </c>
      <c r="C4" s="10" t="s">
        <v>1088</v>
      </c>
      <c r="D4" s="10" t="s">
        <v>81</v>
      </c>
      <c r="E4">
        <v>5</v>
      </c>
      <c r="H4" s="10" t="s">
        <v>96</v>
      </c>
      <c r="J4" s="10" t="s">
        <v>90</v>
      </c>
      <c r="K4" s="10" t="s">
        <v>1086</v>
      </c>
      <c r="M4" s="10" t="s">
        <v>1087</v>
      </c>
    </row>
    <row r="5" spans="1:13">
      <c r="B5" s="10" t="s">
        <v>162</v>
      </c>
      <c r="C5" s="10" t="s">
        <v>1089</v>
      </c>
      <c r="D5" s="10" t="s">
        <v>81</v>
      </c>
      <c r="E5">
        <v>50</v>
      </c>
      <c r="F5">
        <v>3</v>
      </c>
      <c r="H5" s="10" t="s">
        <v>61</v>
      </c>
      <c r="I5" s="41">
        <v>10</v>
      </c>
      <c r="J5" s="10" t="s">
        <v>90</v>
      </c>
      <c r="K5" s="10" t="s">
        <v>1090</v>
      </c>
      <c r="M5" s="10" t="s">
        <v>1091</v>
      </c>
    </row>
    <row r="6" spans="1:13">
      <c r="B6" s="10" t="s">
        <v>162</v>
      </c>
      <c r="C6" s="10" t="s">
        <v>1092</v>
      </c>
      <c r="D6" s="10" t="s">
        <v>81</v>
      </c>
      <c r="E6">
        <v>30</v>
      </c>
      <c r="F6">
        <v>3</v>
      </c>
      <c r="H6" s="10" t="s">
        <v>125</v>
      </c>
      <c r="I6" s="41">
        <v>7</v>
      </c>
      <c r="J6" s="10" t="s">
        <v>90</v>
      </c>
      <c r="K6" s="10" t="s">
        <v>1093</v>
      </c>
      <c r="M6" s="10"/>
    </row>
    <row r="7" spans="1:13">
      <c r="B7" s="10" t="s">
        <v>162</v>
      </c>
      <c r="C7" s="10" t="s">
        <v>1094</v>
      </c>
      <c r="D7" s="10" t="s">
        <v>81</v>
      </c>
      <c r="E7">
        <v>20</v>
      </c>
      <c r="F7">
        <v>2</v>
      </c>
      <c r="H7" s="10" t="s">
        <v>125</v>
      </c>
      <c r="J7" s="10" t="s">
        <v>90</v>
      </c>
      <c r="K7" s="10" t="s">
        <v>423</v>
      </c>
      <c r="M7" s="10"/>
    </row>
    <row r="8" spans="1:13">
      <c r="B8" t="s">
        <v>1095</v>
      </c>
      <c r="C8" t="s">
        <v>1096</v>
      </c>
      <c r="D8" t="s">
        <v>81</v>
      </c>
      <c r="E8">
        <v>40</v>
      </c>
      <c r="F8">
        <v>0</v>
      </c>
      <c r="H8" t="s">
        <v>61</v>
      </c>
      <c r="I8" s="41">
        <v>9</v>
      </c>
      <c r="J8" t="s">
        <v>1082</v>
      </c>
      <c r="K8" t="s">
        <v>533</v>
      </c>
      <c r="L8" t="s">
        <v>83</v>
      </c>
    </row>
    <row r="9" spans="1:13">
      <c r="B9" s="10" t="s">
        <v>1097</v>
      </c>
      <c r="C9" s="10" t="s">
        <v>1098</v>
      </c>
      <c r="D9" s="10" t="s">
        <v>81</v>
      </c>
      <c r="E9">
        <v>5</v>
      </c>
      <c r="F9">
        <v>5</v>
      </c>
      <c r="H9" s="10" t="s">
        <v>61</v>
      </c>
      <c r="I9" s="41">
        <v>9</v>
      </c>
      <c r="J9" s="10" t="s">
        <v>1099</v>
      </c>
      <c r="K9" s="10" t="s">
        <v>1086</v>
      </c>
    </row>
    <row r="10" spans="1:13">
      <c r="A10" s="1">
        <v>778399004397</v>
      </c>
      <c r="B10" t="s">
        <v>162</v>
      </c>
      <c r="C10" t="s">
        <v>1100</v>
      </c>
      <c r="D10" t="s">
        <v>81</v>
      </c>
      <c r="E10">
        <v>15</v>
      </c>
      <c r="F10">
        <v>2</v>
      </c>
      <c r="H10" t="s">
        <v>125</v>
      </c>
      <c r="J10" t="s">
        <v>1082</v>
      </c>
      <c r="K10" t="s">
        <v>1101</v>
      </c>
    </row>
    <row r="11" spans="1:13">
      <c r="B11" s="10" t="s">
        <v>162</v>
      </c>
      <c r="C11" s="10" t="s">
        <v>1102</v>
      </c>
      <c r="D11" s="10" t="s">
        <v>81</v>
      </c>
      <c r="E11">
        <v>30</v>
      </c>
      <c r="H11" s="10" t="s">
        <v>184</v>
      </c>
      <c r="J11" s="10" t="s">
        <v>1082</v>
      </c>
      <c r="K11" s="10" t="s">
        <v>122</v>
      </c>
      <c r="M11" s="10" t="s">
        <v>1103</v>
      </c>
    </row>
    <row r="12" spans="1:13">
      <c r="B12" s="10" t="s">
        <v>162</v>
      </c>
      <c r="C12" s="10" t="s">
        <v>1104</v>
      </c>
      <c r="D12" s="10" t="s">
        <v>81</v>
      </c>
      <c r="E12">
        <v>20</v>
      </c>
      <c r="H12" s="10" t="s">
        <v>184</v>
      </c>
      <c r="J12" s="10" t="s">
        <v>1082</v>
      </c>
      <c r="K12" s="10" t="s">
        <v>122</v>
      </c>
      <c r="M12" s="10" t="s">
        <v>1105</v>
      </c>
    </row>
    <row r="13" spans="1:13">
      <c r="B13" s="10" t="s">
        <v>162</v>
      </c>
      <c r="C13" s="10" t="s">
        <v>1106</v>
      </c>
      <c r="D13" s="10" t="s">
        <v>81</v>
      </c>
      <c r="E13">
        <v>20</v>
      </c>
      <c r="H13" s="10" t="s">
        <v>184</v>
      </c>
      <c r="J13" s="10" t="s">
        <v>1082</v>
      </c>
      <c r="K13" s="10" t="s">
        <v>122</v>
      </c>
      <c r="M13" s="10" t="s">
        <v>1107</v>
      </c>
    </row>
    <row r="14" spans="1:13">
      <c r="B14" s="10"/>
      <c r="C14" s="10"/>
      <c r="D14" s="10"/>
      <c r="H14" s="10"/>
      <c r="J14" s="10"/>
      <c r="K14" s="10"/>
      <c r="M14" s="10"/>
    </row>
    <row r="16" spans="1:13">
      <c r="A16" s="1" t="s">
        <v>169</v>
      </c>
    </row>
    <row r="17" spans="1:1">
      <c r="A17" s="6">
        <f>SUM(E:E)</f>
        <v>290</v>
      </c>
    </row>
    <row r="18" spans="1:1">
      <c r="A18" s="1" t="s">
        <v>159</v>
      </c>
    </row>
    <row r="19" spans="1:1">
      <c r="A19" s="6">
        <f>SUM(F:F)</f>
        <v>15</v>
      </c>
    </row>
    <row r="20" spans="1:1">
      <c r="A20" s="1" t="s">
        <v>1108</v>
      </c>
    </row>
    <row r="21" spans="1:1">
      <c r="A21" s="8">
        <f>COUNTA(B:B)-1</f>
        <v>12</v>
      </c>
    </row>
    <row r="22" spans="1:1">
      <c r="A22" s="1" t="s">
        <v>162</v>
      </c>
    </row>
    <row r="23" spans="1:1">
      <c r="A23" s="2">
        <f>COUNTIF(H:H,"Completed")</f>
        <v>3</v>
      </c>
    </row>
    <row r="24" spans="1:1">
      <c r="A24" s="1" t="s">
        <v>163</v>
      </c>
    </row>
    <row r="25" spans="1:1">
      <c r="A25" s="2">
        <f>COUNTIF(H:H,"CBD")</f>
        <v>4</v>
      </c>
    </row>
    <row r="26" spans="1:1">
      <c r="A26" s="1" t="s">
        <v>164</v>
      </c>
    </row>
    <row r="27" spans="1:1">
      <c r="A27" s="1">
        <f>SUM(A23,A25)</f>
        <v>7</v>
      </c>
    </row>
    <row r="28" spans="1:1">
      <c r="A28" s="1" t="s">
        <v>96</v>
      </c>
    </row>
    <row r="29" spans="1:1">
      <c r="A29" s="2">
        <f>COUNTIF(H:H,"Undone")</f>
        <v>2</v>
      </c>
    </row>
    <row r="30" spans="1:1">
      <c r="A30" s="1" t="s">
        <v>125</v>
      </c>
    </row>
    <row r="31" spans="1:1">
      <c r="A31" s="2">
        <f>COUNTIF(H:H,"Pending")</f>
        <v>3</v>
      </c>
    </row>
    <row r="32" spans="1:1">
      <c r="A32" s="1" t="s">
        <v>167</v>
      </c>
    </row>
    <row r="33" spans="1:1">
      <c r="A33" s="1">
        <f>SUM(A29,A31)</f>
        <v>5</v>
      </c>
    </row>
    <row r="34" spans="1:1">
      <c r="A34" s="1" t="s">
        <v>168</v>
      </c>
    </row>
    <row r="35" spans="1:1">
      <c r="A35" s="11">
        <f>(A27)/(A21)</f>
        <v>0.58333333333333337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"/>
  <sheetViews>
    <sheetView workbookViewId="0" xr3:uid="{AB5DE215-5931-5800-A1A6-141DC62B4C85}">
      <selection activeCell="H27" sqref="H27"/>
    </sheetView>
  </sheetViews>
  <sheetFormatPr defaultRowHeight="12.7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39"/>
  <sheetViews>
    <sheetView workbookViewId="0" xr3:uid="{96AA9D09-0E06-52DD-9EE1-B522AFA11096}">
      <selection activeCell="E35" sqref="E35"/>
    </sheetView>
  </sheetViews>
  <sheetFormatPr defaultRowHeight="12.75"/>
  <cols>
    <col min="1" max="1" width="43.85546875" bestFit="1" customWidth="1"/>
    <col min="4" max="4" width="9.140625" style="11"/>
    <col min="5" max="5" width="20.28515625" bestFit="1" customWidth="1"/>
  </cols>
  <sheetData>
    <row r="1" spans="1:7">
      <c r="A1" t="s">
        <v>1109</v>
      </c>
      <c r="B1" t="s">
        <v>1110</v>
      </c>
      <c r="C1" t="s">
        <v>73</v>
      </c>
      <c r="D1" s="140" t="s">
        <v>1111</v>
      </c>
      <c r="E1" s="10" t="s">
        <v>480</v>
      </c>
      <c r="F1" s="10" t="s">
        <v>1112</v>
      </c>
      <c r="G1" s="10" t="s">
        <v>1113</v>
      </c>
    </row>
    <row r="2" spans="1:7">
      <c r="A2" s="10" t="s">
        <v>1114</v>
      </c>
      <c r="B2" s="10" t="s">
        <v>45</v>
      </c>
      <c r="C2" s="10" t="s">
        <v>125</v>
      </c>
      <c r="D2" s="140">
        <v>0.09</v>
      </c>
      <c r="E2" s="10"/>
      <c r="F2" s="10">
        <v>5</v>
      </c>
      <c r="G2" s="10" t="s">
        <v>1115</v>
      </c>
    </row>
    <row r="3" spans="1:7">
      <c r="A3" s="10" t="s">
        <v>1116</v>
      </c>
      <c r="B3" s="10" t="s">
        <v>45</v>
      </c>
      <c r="C3" s="10" t="s">
        <v>162</v>
      </c>
      <c r="D3" s="140">
        <v>1</v>
      </c>
      <c r="E3" s="10"/>
      <c r="F3" s="10">
        <v>5</v>
      </c>
      <c r="G3" s="10" t="s">
        <v>1115</v>
      </c>
    </row>
    <row r="4" spans="1:7">
      <c r="A4" s="10" t="s">
        <v>1117</v>
      </c>
      <c r="B4" s="10" t="s">
        <v>45</v>
      </c>
      <c r="C4" s="10" t="s">
        <v>125</v>
      </c>
      <c r="D4" s="140">
        <v>0.23</v>
      </c>
      <c r="E4" s="10"/>
      <c r="F4" s="10">
        <v>5</v>
      </c>
      <c r="G4" s="10" t="s">
        <v>1115</v>
      </c>
    </row>
    <row r="5" spans="1:7">
      <c r="A5" s="10" t="s">
        <v>1118</v>
      </c>
      <c r="B5" s="10" t="s">
        <v>45</v>
      </c>
      <c r="C5" s="10" t="s">
        <v>1119</v>
      </c>
      <c r="D5" s="140">
        <v>0.04</v>
      </c>
      <c r="E5" s="10"/>
      <c r="F5" s="10">
        <v>0</v>
      </c>
      <c r="G5" s="10" t="s">
        <v>1120</v>
      </c>
    </row>
    <row r="6" spans="1:7">
      <c r="A6" s="10" t="s">
        <v>1121</v>
      </c>
      <c r="B6" s="10" t="s">
        <v>45</v>
      </c>
      <c r="C6" s="10" t="s">
        <v>125</v>
      </c>
      <c r="D6" s="140">
        <v>0.11</v>
      </c>
      <c r="E6" s="10"/>
      <c r="F6" s="10">
        <v>0</v>
      </c>
      <c r="G6" s="10" t="s">
        <v>1115</v>
      </c>
    </row>
    <row r="7" spans="1:7">
      <c r="A7" s="10" t="s">
        <v>1122</v>
      </c>
      <c r="B7" s="10" t="s">
        <v>45</v>
      </c>
      <c r="C7" s="10" t="s">
        <v>125</v>
      </c>
      <c r="D7" s="140">
        <v>0.2</v>
      </c>
      <c r="E7" s="10"/>
      <c r="F7" s="10">
        <v>10</v>
      </c>
      <c r="G7" s="10" t="s">
        <v>1115</v>
      </c>
    </row>
    <row r="8" spans="1:7">
      <c r="A8" s="10" t="s">
        <v>1123</v>
      </c>
      <c r="B8" s="10" t="s">
        <v>45</v>
      </c>
      <c r="C8" s="10" t="s">
        <v>162</v>
      </c>
      <c r="D8" s="140">
        <v>1</v>
      </c>
      <c r="E8" s="10"/>
      <c r="F8" s="10">
        <v>5</v>
      </c>
      <c r="G8" s="10" t="s">
        <v>1115</v>
      </c>
    </row>
    <row r="9" spans="1:7">
      <c r="A9" s="10" t="s">
        <v>1124</v>
      </c>
      <c r="B9" s="10" t="s">
        <v>45</v>
      </c>
      <c r="C9" s="10" t="s">
        <v>125</v>
      </c>
      <c r="D9" s="140">
        <v>0</v>
      </c>
      <c r="E9" s="10"/>
      <c r="F9" s="10">
        <v>0</v>
      </c>
      <c r="G9" s="10" t="s">
        <v>1115</v>
      </c>
    </row>
    <row r="10" spans="1:7">
      <c r="A10" s="10" t="s">
        <v>1125</v>
      </c>
      <c r="B10" s="10" t="s">
        <v>45</v>
      </c>
      <c r="C10" s="10" t="s">
        <v>125</v>
      </c>
      <c r="D10" s="140">
        <v>0.4</v>
      </c>
      <c r="E10" s="10"/>
      <c r="F10" s="10">
        <v>5</v>
      </c>
      <c r="G10" s="10" t="s">
        <v>1115</v>
      </c>
    </row>
    <row r="11" spans="1:7">
      <c r="A11" s="10" t="s">
        <v>1126</v>
      </c>
      <c r="B11" s="10" t="s">
        <v>45</v>
      </c>
      <c r="C11" s="10" t="s">
        <v>125</v>
      </c>
      <c r="D11" s="140">
        <v>0.05</v>
      </c>
      <c r="E11" s="10"/>
      <c r="F11" s="10">
        <v>5</v>
      </c>
      <c r="G11" s="10" t="s">
        <v>1115</v>
      </c>
    </row>
    <row r="12" spans="1:7">
      <c r="A12" s="10" t="s">
        <v>1127</v>
      </c>
      <c r="B12" s="10" t="s">
        <v>45</v>
      </c>
      <c r="C12" s="10" t="s">
        <v>125</v>
      </c>
      <c r="D12" s="140">
        <v>0.05</v>
      </c>
      <c r="E12" s="10"/>
      <c r="F12" s="10">
        <v>5</v>
      </c>
      <c r="G12" s="10" t="s">
        <v>1115</v>
      </c>
    </row>
    <row r="13" spans="1:7">
      <c r="A13" s="10" t="s">
        <v>1128</v>
      </c>
      <c r="B13" s="10" t="s">
        <v>45</v>
      </c>
      <c r="C13" s="10" t="s">
        <v>125</v>
      </c>
      <c r="D13" s="140">
        <v>7.0000000000000007E-2</v>
      </c>
      <c r="E13" s="10"/>
      <c r="F13" s="10">
        <v>10</v>
      </c>
      <c r="G13" s="10" t="s">
        <v>1115</v>
      </c>
    </row>
    <row r="14" spans="1:7">
      <c r="A14" s="10" t="s">
        <v>1129</v>
      </c>
      <c r="B14" s="10" t="s">
        <v>45</v>
      </c>
      <c r="C14" s="10" t="s">
        <v>125</v>
      </c>
      <c r="D14" s="140">
        <v>0.53</v>
      </c>
      <c r="E14" s="10"/>
      <c r="F14" s="10">
        <v>10</v>
      </c>
      <c r="G14" s="10" t="s">
        <v>1115</v>
      </c>
    </row>
    <row r="15" spans="1:7">
      <c r="A15" s="10" t="s">
        <v>1130</v>
      </c>
      <c r="B15" s="10" t="s">
        <v>45</v>
      </c>
      <c r="C15" s="10" t="s">
        <v>125</v>
      </c>
      <c r="D15" s="140">
        <v>0.05</v>
      </c>
      <c r="E15" s="10"/>
      <c r="F15" s="10">
        <v>5</v>
      </c>
      <c r="G15" s="10" t="s">
        <v>1115</v>
      </c>
    </row>
    <row r="16" spans="1:7">
      <c r="A16" s="10" t="s">
        <v>1131</v>
      </c>
      <c r="B16" s="10" t="s">
        <v>45</v>
      </c>
      <c r="C16" s="10" t="s">
        <v>125</v>
      </c>
      <c r="D16" s="140">
        <v>0.46</v>
      </c>
      <c r="E16" s="10" t="s">
        <v>1132</v>
      </c>
      <c r="F16">
        <v>10</v>
      </c>
      <c r="G16" s="10" t="s">
        <v>1115</v>
      </c>
    </row>
    <row r="17" spans="1:7">
      <c r="A17" s="10" t="s">
        <v>1133</v>
      </c>
      <c r="B17" s="10" t="s">
        <v>45</v>
      </c>
      <c r="C17" s="10" t="s">
        <v>125</v>
      </c>
      <c r="D17" s="140">
        <v>0</v>
      </c>
      <c r="E17" s="10"/>
      <c r="F17">
        <v>10</v>
      </c>
      <c r="G17" s="10" t="s">
        <v>1115</v>
      </c>
    </row>
    <row r="18" spans="1:7">
      <c r="A18" s="10" t="s">
        <v>1134</v>
      </c>
      <c r="B18" s="10" t="s">
        <v>45</v>
      </c>
      <c r="C18" s="10" t="s">
        <v>125</v>
      </c>
      <c r="D18" s="140">
        <v>0</v>
      </c>
      <c r="E18" s="10"/>
      <c r="F18">
        <v>10</v>
      </c>
      <c r="G18" s="10" t="s">
        <v>1115</v>
      </c>
    </row>
    <row r="19" spans="1:7">
      <c r="A19" s="10" t="s">
        <v>1135</v>
      </c>
      <c r="B19" s="10" t="s">
        <v>45</v>
      </c>
      <c r="C19" s="10" t="s">
        <v>162</v>
      </c>
      <c r="D19" s="140">
        <v>1</v>
      </c>
      <c r="E19" s="10"/>
      <c r="F19">
        <v>10</v>
      </c>
      <c r="G19" s="10" t="s">
        <v>1115</v>
      </c>
    </row>
    <row r="20" spans="1:7">
      <c r="A20" s="10" t="s">
        <v>1136</v>
      </c>
      <c r="B20" s="10" t="s">
        <v>45</v>
      </c>
      <c r="C20" s="10" t="s">
        <v>125</v>
      </c>
      <c r="D20" s="140">
        <v>1</v>
      </c>
      <c r="E20" s="10"/>
      <c r="F20">
        <v>0</v>
      </c>
      <c r="G20" s="10" t="s">
        <v>1137</v>
      </c>
    </row>
    <row r="21" spans="1:7">
      <c r="A21" s="10" t="s">
        <v>1138</v>
      </c>
      <c r="B21" s="10" t="s">
        <v>45</v>
      </c>
      <c r="C21" s="10" t="s">
        <v>1119</v>
      </c>
      <c r="D21" s="140">
        <v>0.04</v>
      </c>
      <c r="E21" s="10"/>
      <c r="F21">
        <v>0</v>
      </c>
      <c r="G21" s="10" t="s">
        <v>1139</v>
      </c>
    </row>
    <row r="22" spans="1:7">
      <c r="A22" s="10" t="s">
        <v>1140</v>
      </c>
      <c r="B22" s="10" t="s">
        <v>45</v>
      </c>
      <c r="C22" s="10" t="s">
        <v>125</v>
      </c>
      <c r="D22" s="140">
        <v>0.2</v>
      </c>
      <c r="E22" s="10"/>
      <c r="F22">
        <v>0</v>
      </c>
      <c r="G22" s="10" t="s">
        <v>1115</v>
      </c>
    </row>
    <row r="23" spans="1:7">
      <c r="A23" s="10" t="s">
        <v>1141</v>
      </c>
      <c r="B23" s="10" t="s">
        <v>45</v>
      </c>
      <c r="C23" s="10" t="s">
        <v>1119</v>
      </c>
      <c r="D23" s="140">
        <v>0.14000000000000001</v>
      </c>
      <c r="E23" s="10"/>
      <c r="F23">
        <v>0</v>
      </c>
      <c r="G23" t="s">
        <v>1139</v>
      </c>
    </row>
    <row r="24" spans="1:7">
      <c r="A24" s="10" t="s">
        <v>1142</v>
      </c>
      <c r="B24" s="10" t="s">
        <v>45</v>
      </c>
      <c r="C24" s="10" t="s">
        <v>125</v>
      </c>
      <c r="D24" s="140">
        <v>0.7</v>
      </c>
      <c r="E24" s="10"/>
      <c r="F24">
        <v>10</v>
      </c>
      <c r="G24" s="10" t="s">
        <v>1115</v>
      </c>
    </row>
    <row r="25" spans="1:7">
      <c r="A25" s="10" t="s">
        <v>1143</v>
      </c>
      <c r="B25" s="10" t="s">
        <v>45</v>
      </c>
      <c r="C25" s="10" t="s">
        <v>125</v>
      </c>
      <c r="D25" s="140">
        <v>0.52</v>
      </c>
      <c r="E25" s="10"/>
      <c r="F25">
        <v>10</v>
      </c>
      <c r="G25" s="10" t="s">
        <v>1115</v>
      </c>
    </row>
    <row r="26" spans="1:7">
      <c r="A26" s="10" t="s">
        <v>1144</v>
      </c>
      <c r="B26" s="10" t="s">
        <v>45</v>
      </c>
      <c r="C26" s="10" t="s">
        <v>125</v>
      </c>
      <c r="D26" s="140">
        <v>0.71</v>
      </c>
      <c r="E26" s="10"/>
      <c r="F26">
        <v>10</v>
      </c>
      <c r="G26" s="10" t="s">
        <v>1115</v>
      </c>
    </row>
    <row r="27" spans="1:7">
      <c r="A27" s="10" t="s">
        <v>1145</v>
      </c>
      <c r="B27" s="10" t="s">
        <v>45</v>
      </c>
      <c r="C27" s="10" t="s">
        <v>1119</v>
      </c>
      <c r="D27" s="140">
        <v>0.33</v>
      </c>
      <c r="E27" s="10"/>
      <c r="F27">
        <v>0</v>
      </c>
      <c r="G27" s="10" t="s">
        <v>1146</v>
      </c>
    </row>
    <row r="28" spans="1:7">
      <c r="A28" s="10" t="s">
        <v>1147</v>
      </c>
      <c r="B28" s="10" t="s">
        <v>45</v>
      </c>
      <c r="C28" s="10" t="s">
        <v>1119</v>
      </c>
      <c r="D28" s="140">
        <v>0.09</v>
      </c>
      <c r="E28" s="10"/>
      <c r="F28">
        <v>0</v>
      </c>
      <c r="G28" s="10" t="s">
        <v>1146</v>
      </c>
    </row>
    <row r="29" spans="1:7">
      <c r="A29" s="10" t="s">
        <v>1148</v>
      </c>
      <c r="B29" s="10" t="s">
        <v>45</v>
      </c>
      <c r="C29" s="10" t="s">
        <v>125</v>
      </c>
      <c r="D29" s="140">
        <v>0.61</v>
      </c>
      <c r="E29" s="10"/>
      <c r="F29">
        <v>5</v>
      </c>
      <c r="G29" s="10" t="s">
        <v>1115</v>
      </c>
    </row>
    <row r="30" spans="1:7">
      <c r="A30" t="s">
        <v>108</v>
      </c>
      <c r="B30" s="10" t="s">
        <v>53</v>
      </c>
      <c r="C30" s="10" t="s">
        <v>125</v>
      </c>
      <c r="F30">
        <v>5</v>
      </c>
      <c r="G30" s="10" t="s">
        <v>1115</v>
      </c>
    </row>
    <row r="31" spans="1:7">
      <c r="A31" t="s">
        <v>102</v>
      </c>
      <c r="B31" s="10" t="s">
        <v>53</v>
      </c>
      <c r="C31" s="10" t="s">
        <v>125</v>
      </c>
      <c r="F31">
        <v>5</v>
      </c>
      <c r="G31" s="10" t="s">
        <v>1115</v>
      </c>
    </row>
    <row r="32" spans="1:7">
      <c r="A32" t="s">
        <v>1149</v>
      </c>
      <c r="B32" s="10" t="s">
        <v>53</v>
      </c>
      <c r="C32" s="10" t="s">
        <v>125</v>
      </c>
      <c r="F32">
        <v>5</v>
      </c>
      <c r="G32" s="10" t="s">
        <v>1115</v>
      </c>
    </row>
    <row r="33" spans="1:7">
      <c r="A33" s="10" t="s">
        <v>1150</v>
      </c>
      <c r="B33" s="10" t="s">
        <v>53</v>
      </c>
      <c r="C33" s="10" t="s">
        <v>125</v>
      </c>
      <c r="F33">
        <v>5</v>
      </c>
      <c r="G33" s="10" t="s">
        <v>1115</v>
      </c>
    </row>
    <row r="34" spans="1:7">
      <c r="A34" s="10" t="s">
        <v>1151</v>
      </c>
      <c r="B34" s="10" t="s">
        <v>1152</v>
      </c>
      <c r="C34" s="10" t="s">
        <v>125</v>
      </c>
      <c r="D34" s="11">
        <v>0.02</v>
      </c>
      <c r="F34">
        <v>15</v>
      </c>
      <c r="G34" s="10" t="s">
        <v>1115</v>
      </c>
    </row>
    <row r="35" spans="1:7">
      <c r="A35" s="10" t="s">
        <v>1153</v>
      </c>
      <c r="B35" s="10" t="s">
        <v>1152</v>
      </c>
      <c r="C35" s="10" t="s">
        <v>162</v>
      </c>
      <c r="D35" s="11">
        <v>1</v>
      </c>
      <c r="F35">
        <v>15</v>
      </c>
      <c r="G35" s="10" t="s">
        <v>1115</v>
      </c>
    </row>
    <row r="36" spans="1:7">
      <c r="A36" s="10" t="s">
        <v>1154</v>
      </c>
      <c r="B36" s="10" t="s">
        <v>1152</v>
      </c>
      <c r="C36" s="10" t="s">
        <v>125</v>
      </c>
      <c r="D36" s="11">
        <v>0.04</v>
      </c>
      <c r="F36">
        <v>30</v>
      </c>
      <c r="G36" s="10" t="s">
        <v>1115</v>
      </c>
    </row>
    <row r="38" spans="1:7">
      <c r="A38" s="140" t="s">
        <v>693</v>
      </c>
    </row>
    <row r="39" spans="1:7">
      <c r="A39" s="47">
        <f>AVERAGE(D:D)</f>
        <v>0.34451612903225798</v>
      </c>
      <c r="F39">
        <f>SUM(F2:F38)</f>
        <v>225</v>
      </c>
      <c r="G39" s="49">
        <f>COUNTIF(G2:G33,"Me")</f>
        <v>26</v>
      </c>
    </row>
  </sheetData>
  <conditionalFormatting sqref="D1:D1048576">
    <cfRule type="dataBar" priority="1">
      <dataBar>
        <cfvo type="min"/>
        <cfvo type="max"/>
        <color rgb="FF33CC33"/>
      </dataBar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49"/>
  </sheetPr>
  <dimension ref="A1:G134"/>
  <sheetViews>
    <sheetView workbookViewId="0" xr3:uid="{2C1BA805-FFAE-53D9-94C0-3D95D45B0C9C}">
      <selection activeCell="F13" sqref="F13"/>
    </sheetView>
  </sheetViews>
  <sheetFormatPr defaultColWidth="11.42578125" defaultRowHeight="12.75"/>
  <cols>
    <col min="2" max="2" width="31.42578125" customWidth="1"/>
    <col min="4" max="4" width="19.5703125" bestFit="1" customWidth="1"/>
    <col min="5" max="5" width="11.42578125" style="16"/>
    <col min="6" max="6" width="20.28515625" customWidth="1"/>
  </cols>
  <sheetData>
    <row r="1" spans="1:7">
      <c r="A1" t="s">
        <v>1155</v>
      </c>
      <c r="B1" t="s">
        <v>1156</v>
      </c>
      <c r="C1" t="s">
        <v>1157</v>
      </c>
      <c r="D1" t="s">
        <v>1158</v>
      </c>
      <c r="E1" s="16" t="s">
        <v>1159</v>
      </c>
      <c r="F1" s="10" t="s">
        <v>1160</v>
      </c>
      <c r="G1" s="10" t="s">
        <v>1161</v>
      </c>
    </row>
    <row r="2" spans="1:7">
      <c r="A2" t="s">
        <v>1162</v>
      </c>
      <c r="B2" t="s">
        <v>1163</v>
      </c>
      <c r="C2" t="s">
        <v>1164</v>
      </c>
      <c r="D2" t="s">
        <v>1165</v>
      </c>
      <c r="E2" s="16">
        <v>11</v>
      </c>
      <c r="F2">
        <v>30</v>
      </c>
      <c r="G2">
        <f t="shared" ref="G2:G14" si="0">SUM(E2,-F2)</f>
        <v>-19</v>
      </c>
    </row>
    <row r="3" spans="1:7">
      <c r="A3" t="s">
        <v>1162</v>
      </c>
      <c r="B3" t="s">
        <v>1166</v>
      </c>
      <c r="C3" t="s">
        <v>1164</v>
      </c>
      <c r="D3" t="s">
        <v>1165</v>
      </c>
      <c r="E3" s="16">
        <v>10.5</v>
      </c>
      <c r="F3">
        <v>30</v>
      </c>
      <c r="G3">
        <f t="shared" si="0"/>
        <v>-19.5</v>
      </c>
    </row>
    <row r="4" spans="1:7">
      <c r="A4" t="s">
        <v>1162</v>
      </c>
      <c r="B4" t="s">
        <v>1167</v>
      </c>
      <c r="C4" t="s">
        <v>1164</v>
      </c>
      <c r="D4" t="s">
        <v>1165</v>
      </c>
      <c r="E4" s="16">
        <v>9</v>
      </c>
      <c r="F4">
        <v>30</v>
      </c>
      <c r="G4">
        <f t="shared" si="0"/>
        <v>-21</v>
      </c>
    </row>
    <row r="5" spans="1:7">
      <c r="A5" t="s">
        <v>1162</v>
      </c>
      <c r="B5" t="s">
        <v>1168</v>
      </c>
      <c r="C5" t="s">
        <v>1164</v>
      </c>
      <c r="D5" t="s">
        <v>1165</v>
      </c>
      <c r="E5" s="16">
        <v>7.75</v>
      </c>
      <c r="F5">
        <v>30</v>
      </c>
      <c r="G5">
        <f t="shared" si="0"/>
        <v>-22.25</v>
      </c>
    </row>
    <row r="6" spans="1:7">
      <c r="A6" t="s">
        <v>1162</v>
      </c>
      <c r="B6" t="s">
        <v>1169</v>
      </c>
      <c r="C6" t="s">
        <v>1164</v>
      </c>
      <c r="D6" t="s">
        <v>1165</v>
      </c>
      <c r="E6" s="16">
        <v>12.5</v>
      </c>
      <c r="F6">
        <v>1</v>
      </c>
      <c r="G6">
        <f t="shared" si="0"/>
        <v>11.5</v>
      </c>
    </row>
    <row r="7" spans="1:7">
      <c r="A7" t="s">
        <v>1162</v>
      </c>
      <c r="B7" t="s">
        <v>1170</v>
      </c>
      <c r="C7" t="s">
        <v>1164</v>
      </c>
      <c r="D7" t="s">
        <v>1165</v>
      </c>
      <c r="E7" s="16">
        <v>4</v>
      </c>
      <c r="F7">
        <v>30</v>
      </c>
      <c r="G7">
        <f t="shared" si="0"/>
        <v>-26</v>
      </c>
    </row>
    <row r="8" spans="1:7">
      <c r="A8" t="s">
        <v>1162</v>
      </c>
      <c r="B8" t="s">
        <v>1171</v>
      </c>
      <c r="C8" t="s">
        <v>1164</v>
      </c>
      <c r="D8" t="s">
        <v>1165</v>
      </c>
      <c r="E8" s="16">
        <v>26</v>
      </c>
      <c r="F8">
        <v>1</v>
      </c>
      <c r="G8">
        <f t="shared" si="0"/>
        <v>25</v>
      </c>
    </row>
    <row r="9" spans="1:7">
      <c r="A9" t="s">
        <v>1162</v>
      </c>
      <c r="B9" t="s">
        <v>1172</v>
      </c>
      <c r="C9" t="s">
        <v>1164</v>
      </c>
      <c r="D9" t="s">
        <v>1165</v>
      </c>
      <c r="E9" s="16">
        <v>16.5</v>
      </c>
      <c r="F9">
        <v>20</v>
      </c>
      <c r="G9">
        <f t="shared" si="0"/>
        <v>-3.5</v>
      </c>
    </row>
    <row r="10" spans="1:7">
      <c r="A10" t="s">
        <v>1162</v>
      </c>
      <c r="B10" t="s">
        <v>1173</v>
      </c>
      <c r="C10" t="s">
        <v>1164</v>
      </c>
      <c r="D10" t="s">
        <v>1165</v>
      </c>
      <c r="E10" s="16">
        <v>9.5</v>
      </c>
      <c r="F10">
        <v>20</v>
      </c>
      <c r="G10">
        <f t="shared" si="0"/>
        <v>-10.5</v>
      </c>
    </row>
    <row r="11" spans="1:7">
      <c r="A11" t="s">
        <v>1162</v>
      </c>
      <c r="B11" t="s">
        <v>1174</v>
      </c>
      <c r="C11" t="s">
        <v>1164</v>
      </c>
      <c r="D11" t="s">
        <v>1165</v>
      </c>
      <c r="E11" s="16">
        <v>7</v>
      </c>
      <c r="F11">
        <v>30</v>
      </c>
      <c r="G11">
        <f t="shared" si="0"/>
        <v>-23</v>
      </c>
    </row>
    <row r="12" spans="1:7">
      <c r="A12" t="s">
        <v>1162</v>
      </c>
      <c r="B12" t="s">
        <v>1175</v>
      </c>
      <c r="C12" t="s">
        <v>1164</v>
      </c>
      <c r="D12" t="s">
        <v>1165</v>
      </c>
      <c r="E12" s="16">
        <v>26</v>
      </c>
      <c r="F12">
        <v>35</v>
      </c>
      <c r="G12">
        <f t="shared" si="0"/>
        <v>-9</v>
      </c>
    </row>
    <row r="13" spans="1:7">
      <c r="A13" t="s">
        <v>1162</v>
      </c>
      <c r="B13" t="s">
        <v>1176</v>
      </c>
      <c r="C13" t="s">
        <v>1164</v>
      </c>
      <c r="D13" t="s">
        <v>1165</v>
      </c>
      <c r="E13" s="16">
        <v>21</v>
      </c>
      <c r="F13">
        <v>27</v>
      </c>
      <c r="G13">
        <f t="shared" si="0"/>
        <v>-6</v>
      </c>
    </row>
    <row r="14" spans="1:7">
      <c r="A14" t="s">
        <v>1162</v>
      </c>
      <c r="B14" t="s">
        <v>1177</v>
      </c>
      <c r="C14" t="s">
        <v>1164</v>
      </c>
      <c r="D14" t="s">
        <v>1165</v>
      </c>
      <c r="E14" s="16">
        <v>7</v>
      </c>
      <c r="F14">
        <v>10</v>
      </c>
      <c r="G14">
        <f t="shared" si="0"/>
        <v>-3</v>
      </c>
    </row>
    <row r="15" spans="1:7">
      <c r="A15" t="s">
        <v>1162</v>
      </c>
      <c r="B15" t="s">
        <v>1177</v>
      </c>
      <c r="C15" t="s">
        <v>1164</v>
      </c>
      <c r="D15" t="s">
        <v>1165</v>
      </c>
      <c r="E15" s="16">
        <v>3</v>
      </c>
      <c r="F15">
        <v>10</v>
      </c>
      <c r="G15">
        <f t="shared" ref="G15" si="1">SUM(E15,-F15)</f>
        <v>-7</v>
      </c>
    </row>
    <row r="16" spans="1:7">
      <c r="A16" t="s">
        <v>1162</v>
      </c>
      <c r="B16" t="s">
        <v>1177</v>
      </c>
      <c r="C16" t="s">
        <v>1164</v>
      </c>
      <c r="D16" t="s">
        <v>1165</v>
      </c>
      <c r="E16" s="16">
        <v>3</v>
      </c>
      <c r="F16">
        <v>10</v>
      </c>
      <c r="G16">
        <f t="shared" ref="G16:G27" si="2">SUM(E16,-F16)</f>
        <v>-7</v>
      </c>
    </row>
    <row r="17" spans="1:7">
      <c r="A17" s="10" t="s">
        <v>1162</v>
      </c>
      <c r="B17" s="10" t="s">
        <v>1178</v>
      </c>
      <c r="C17" s="10" t="s">
        <v>1164</v>
      </c>
      <c r="D17" s="10" t="s">
        <v>1165</v>
      </c>
      <c r="E17" s="141">
        <v>4.5</v>
      </c>
      <c r="F17">
        <v>20</v>
      </c>
      <c r="G17">
        <f t="shared" si="2"/>
        <v>-15.5</v>
      </c>
    </row>
    <row r="18" spans="1:7">
      <c r="A18" s="10" t="s">
        <v>1162</v>
      </c>
      <c r="B18" s="10" t="s">
        <v>1179</v>
      </c>
      <c r="C18" s="10" t="s">
        <v>1164</v>
      </c>
      <c r="D18" s="10" t="s">
        <v>1165</v>
      </c>
      <c r="E18" s="141">
        <v>20</v>
      </c>
      <c r="F18">
        <v>1</v>
      </c>
      <c r="G18">
        <f t="shared" si="2"/>
        <v>19</v>
      </c>
    </row>
    <row r="19" spans="1:7">
      <c r="A19" s="10" t="s">
        <v>1162</v>
      </c>
      <c r="B19" s="10" t="s">
        <v>1180</v>
      </c>
      <c r="C19" s="10" t="s">
        <v>1164</v>
      </c>
      <c r="D19" s="10" t="s">
        <v>1165</v>
      </c>
      <c r="E19" s="141">
        <v>14</v>
      </c>
      <c r="F19">
        <v>1</v>
      </c>
      <c r="G19">
        <f t="shared" si="2"/>
        <v>13</v>
      </c>
    </row>
    <row r="20" spans="1:7">
      <c r="A20" s="10" t="s">
        <v>1162</v>
      </c>
      <c r="B20" s="10" t="s">
        <v>1181</v>
      </c>
      <c r="C20" s="10" t="s">
        <v>1164</v>
      </c>
      <c r="D20" s="10" t="s">
        <v>1165</v>
      </c>
      <c r="E20" s="141">
        <v>14</v>
      </c>
      <c r="F20">
        <v>1</v>
      </c>
      <c r="G20">
        <f t="shared" si="2"/>
        <v>13</v>
      </c>
    </row>
    <row r="21" spans="1:7">
      <c r="A21" s="10" t="s">
        <v>1162</v>
      </c>
      <c r="B21" s="10" t="s">
        <v>1182</v>
      </c>
      <c r="C21" s="10" t="s">
        <v>1164</v>
      </c>
      <c r="D21" s="10" t="s">
        <v>1165</v>
      </c>
      <c r="E21" s="141">
        <v>19</v>
      </c>
      <c r="F21">
        <v>1</v>
      </c>
      <c r="G21">
        <f t="shared" si="2"/>
        <v>18</v>
      </c>
    </row>
    <row r="22" spans="1:7">
      <c r="A22" s="10" t="s">
        <v>1162</v>
      </c>
      <c r="B22" s="10" t="s">
        <v>1183</v>
      </c>
      <c r="C22" s="10" t="s">
        <v>1164</v>
      </c>
      <c r="D22" s="10" t="s">
        <v>1165</v>
      </c>
      <c r="E22" s="141">
        <v>6</v>
      </c>
      <c r="F22">
        <v>1</v>
      </c>
      <c r="G22">
        <f t="shared" si="2"/>
        <v>5</v>
      </c>
    </row>
    <row r="23" spans="1:7">
      <c r="A23" s="10" t="s">
        <v>1162</v>
      </c>
      <c r="B23" s="10" t="s">
        <v>1184</v>
      </c>
      <c r="C23" s="10" t="s">
        <v>1164</v>
      </c>
      <c r="D23" s="10" t="s">
        <v>1165</v>
      </c>
      <c r="E23" s="141">
        <v>14</v>
      </c>
      <c r="F23">
        <v>1</v>
      </c>
      <c r="G23">
        <f t="shared" si="2"/>
        <v>13</v>
      </c>
    </row>
    <row r="24" spans="1:7">
      <c r="A24" s="10" t="s">
        <v>1162</v>
      </c>
      <c r="B24" s="10" t="s">
        <v>1185</v>
      </c>
      <c r="C24" s="10" t="s">
        <v>1164</v>
      </c>
      <c r="D24" s="10" t="s">
        <v>1165</v>
      </c>
      <c r="E24" s="141">
        <v>4</v>
      </c>
      <c r="F24">
        <v>1</v>
      </c>
      <c r="G24">
        <f t="shared" si="2"/>
        <v>3</v>
      </c>
    </row>
    <row r="25" spans="1:7">
      <c r="A25" s="10" t="s">
        <v>1162</v>
      </c>
      <c r="B25" s="10" t="s">
        <v>1186</v>
      </c>
      <c r="C25" s="10" t="s">
        <v>1164</v>
      </c>
      <c r="D25" s="10" t="s">
        <v>1165</v>
      </c>
      <c r="E25" s="141">
        <v>26</v>
      </c>
      <c r="F25">
        <v>1</v>
      </c>
      <c r="G25">
        <f t="shared" si="2"/>
        <v>25</v>
      </c>
    </row>
    <row r="26" spans="1:7">
      <c r="A26" s="10" t="s">
        <v>1162</v>
      </c>
      <c r="B26" s="10" t="s">
        <v>1168</v>
      </c>
      <c r="C26" s="10" t="s">
        <v>1164</v>
      </c>
      <c r="D26" s="10" t="s">
        <v>1165</v>
      </c>
      <c r="E26" s="141">
        <v>18</v>
      </c>
      <c r="F26">
        <v>1</v>
      </c>
      <c r="G26">
        <f t="shared" si="2"/>
        <v>17</v>
      </c>
    </row>
    <row r="27" spans="1:7">
      <c r="A27" s="10" t="s">
        <v>1162</v>
      </c>
      <c r="B27" s="10" t="s">
        <v>1187</v>
      </c>
      <c r="C27" s="10"/>
      <c r="D27" s="10"/>
      <c r="E27" s="141">
        <v>19</v>
      </c>
      <c r="F27">
        <v>1</v>
      </c>
      <c r="G27">
        <f t="shared" si="2"/>
        <v>18</v>
      </c>
    </row>
    <row r="29" spans="1:7">
      <c r="A29" t="s">
        <v>31</v>
      </c>
      <c r="B29" t="s">
        <v>1188</v>
      </c>
      <c r="C29" t="s">
        <v>1164</v>
      </c>
      <c r="D29" t="s">
        <v>1165</v>
      </c>
      <c r="E29" s="16">
        <v>3.5</v>
      </c>
      <c r="F29">
        <v>0</v>
      </c>
      <c r="G29">
        <f>SUM(E29,-F29)</f>
        <v>3.5</v>
      </c>
    </row>
    <row r="30" spans="1:7">
      <c r="A30" t="s">
        <v>31</v>
      </c>
      <c r="B30" t="s">
        <v>1189</v>
      </c>
      <c r="C30" t="s">
        <v>1164</v>
      </c>
      <c r="D30" t="s">
        <v>1165</v>
      </c>
      <c r="E30" s="16">
        <v>9.8000000000000007</v>
      </c>
      <c r="F30">
        <v>20</v>
      </c>
      <c r="G30">
        <f>SUM(E30,-F30)</f>
        <v>-10.199999999999999</v>
      </c>
    </row>
    <row r="32" spans="1:7">
      <c r="A32" s="10" t="s">
        <v>35</v>
      </c>
      <c r="B32" s="10" t="s">
        <v>1190</v>
      </c>
      <c r="C32" s="10" t="s">
        <v>1164</v>
      </c>
      <c r="D32" s="10" t="s">
        <v>1165</v>
      </c>
      <c r="E32" s="16">
        <v>31</v>
      </c>
      <c r="F32">
        <v>10</v>
      </c>
      <c r="G32">
        <f>SUM(E32,-F32)</f>
        <v>21</v>
      </c>
    </row>
    <row r="34" spans="1:7">
      <c r="A34" t="s">
        <v>36</v>
      </c>
      <c r="B34" t="s">
        <v>1191</v>
      </c>
      <c r="C34" t="s">
        <v>1164</v>
      </c>
      <c r="D34" t="s">
        <v>1165</v>
      </c>
      <c r="E34" s="16">
        <v>45</v>
      </c>
      <c r="F34">
        <v>50</v>
      </c>
      <c r="G34">
        <f t="shared" ref="G34:G44" si="3">SUM(E34,-F34)</f>
        <v>-5</v>
      </c>
    </row>
    <row r="35" spans="1:7">
      <c r="A35" t="s">
        <v>36</v>
      </c>
      <c r="B35" t="s">
        <v>1192</v>
      </c>
      <c r="C35" t="s">
        <v>1164</v>
      </c>
      <c r="D35" t="s">
        <v>1165</v>
      </c>
      <c r="E35" s="16">
        <v>7</v>
      </c>
      <c r="F35">
        <v>50</v>
      </c>
      <c r="G35">
        <f t="shared" si="3"/>
        <v>-43</v>
      </c>
    </row>
    <row r="36" spans="1:7">
      <c r="A36" t="s">
        <v>36</v>
      </c>
      <c r="B36" t="s">
        <v>1193</v>
      </c>
      <c r="C36" t="s">
        <v>1164</v>
      </c>
      <c r="D36" t="s">
        <v>1165</v>
      </c>
      <c r="E36" s="16">
        <v>6.75</v>
      </c>
      <c r="F36">
        <v>25</v>
      </c>
      <c r="G36">
        <f t="shared" si="3"/>
        <v>-18.25</v>
      </c>
    </row>
    <row r="37" spans="1:7">
      <c r="A37" s="10" t="s">
        <v>36</v>
      </c>
      <c r="B37" s="10" t="s">
        <v>1194</v>
      </c>
      <c r="C37" s="10" t="s">
        <v>1164</v>
      </c>
      <c r="D37" s="10" t="s">
        <v>1165</v>
      </c>
      <c r="E37" s="16">
        <v>25</v>
      </c>
      <c r="F37">
        <v>20</v>
      </c>
      <c r="G37">
        <f t="shared" si="3"/>
        <v>5</v>
      </c>
    </row>
    <row r="38" spans="1:7">
      <c r="A38" s="10" t="s">
        <v>36</v>
      </c>
      <c r="B38" s="10" t="s">
        <v>1195</v>
      </c>
      <c r="C38" s="10" t="s">
        <v>1164</v>
      </c>
      <c r="D38" s="10" t="s">
        <v>1165</v>
      </c>
      <c r="E38" s="16">
        <v>64</v>
      </c>
      <c r="F38">
        <v>25</v>
      </c>
      <c r="G38">
        <f t="shared" si="3"/>
        <v>39</v>
      </c>
    </row>
    <row r="39" spans="1:7">
      <c r="A39" s="10" t="s">
        <v>36</v>
      </c>
      <c r="B39" s="10" t="s">
        <v>1196</v>
      </c>
      <c r="C39" s="10" t="s">
        <v>1164</v>
      </c>
      <c r="D39" s="10" t="s">
        <v>1165</v>
      </c>
      <c r="E39" s="16">
        <v>7</v>
      </c>
      <c r="F39">
        <v>20</v>
      </c>
      <c r="G39">
        <f t="shared" si="3"/>
        <v>-13</v>
      </c>
    </row>
    <row r="40" spans="1:7">
      <c r="A40" s="10" t="s">
        <v>36</v>
      </c>
      <c r="B40" s="10" t="s">
        <v>1197</v>
      </c>
      <c r="C40" s="10" t="s">
        <v>1164</v>
      </c>
      <c r="D40" s="10" t="s">
        <v>1165</v>
      </c>
      <c r="E40" s="16">
        <v>6.5</v>
      </c>
      <c r="F40">
        <v>20</v>
      </c>
      <c r="G40">
        <f t="shared" si="3"/>
        <v>-13.5</v>
      </c>
    </row>
    <row r="41" spans="1:7">
      <c r="A41" s="10" t="s">
        <v>36</v>
      </c>
      <c r="B41" s="10" t="s">
        <v>1198</v>
      </c>
      <c r="C41" s="10" t="s">
        <v>1164</v>
      </c>
      <c r="D41" s="10" t="s">
        <v>1165</v>
      </c>
      <c r="E41" s="16">
        <v>14</v>
      </c>
      <c r="F41">
        <v>40</v>
      </c>
      <c r="G41">
        <f t="shared" si="3"/>
        <v>-26</v>
      </c>
    </row>
    <row r="42" spans="1:7">
      <c r="A42" s="10" t="s">
        <v>36</v>
      </c>
      <c r="B42" s="10" t="s">
        <v>1199</v>
      </c>
      <c r="C42" s="10" t="s">
        <v>1164</v>
      </c>
      <c r="D42" s="10" t="s">
        <v>1165</v>
      </c>
      <c r="E42" s="16">
        <v>61.5</v>
      </c>
      <c r="F42">
        <v>40</v>
      </c>
      <c r="G42">
        <f t="shared" si="3"/>
        <v>21.5</v>
      </c>
    </row>
    <row r="43" spans="1:7">
      <c r="A43" s="10" t="s">
        <v>36</v>
      </c>
      <c r="B43" s="10" t="s">
        <v>1200</v>
      </c>
      <c r="C43" s="10" t="s">
        <v>1164</v>
      </c>
      <c r="D43" s="10" t="s">
        <v>1165</v>
      </c>
      <c r="E43" s="16">
        <v>5</v>
      </c>
      <c r="F43">
        <v>45</v>
      </c>
      <c r="G43">
        <f t="shared" si="3"/>
        <v>-40</v>
      </c>
    </row>
    <row r="44" spans="1:7">
      <c r="A44" s="10" t="s">
        <v>36</v>
      </c>
      <c r="B44" s="10" t="s">
        <v>1201</v>
      </c>
      <c r="C44" s="10" t="s">
        <v>1164</v>
      </c>
      <c r="D44" s="10" t="s">
        <v>1165</v>
      </c>
      <c r="E44" s="16">
        <v>5</v>
      </c>
      <c r="F44">
        <v>20</v>
      </c>
      <c r="G44">
        <f t="shared" si="3"/>
        <v>-15</v>
      </c>
    </row>
    <row r="45" spans="1:7">
      <c r="A45" s="10"/>
      <c r="B45" s="10"/>
      <c r="C45" s="10"/>
      <c r="D45" s="10"/>
    </row>
    <row r="46" spans="1:7">
      <c r="A46" s="10" t="s">
        <v>20</v>
      </c>
      <c r="B46" s="10" t="s">
        <v>1202</v>
      </c>
      <c r="C46" s="10" t="s">
        <v>1164</v>
      </c>
      <c r="D46" s="10" t="s">
        <v>1165</v>
      </c>
      <c r="E46" s="16">
        <f>SUM('PS2'!A214)</f>
        <v>918.3</v>
      </c>
      <c r="G46">
        <f>SUM('PS2'!A226)</f>
        <v>-386.70000000000005</v>
      </c>
    </row>
    <row r="47" spans="1:7" ht="12" customHeight="1"/>
    <row r="48" spans="1:7">
      <c r="A48" t="s">
        <v>23</v>
      </c>
      <c r="B48" t="s">
        <v>1203</v>
      </c>
      <c r="C48" t="s">
        <v>1164</v>
      </c>
      <c r="D48" t="s">
        <v>1165</v>
      </c>
      <c r="E48" s="16">
        <v>9</v>
      </c>
      <c r="F48">
        <v>20</v>
      </c>
      <c r="G48">
        <f t="shared" ref="G48:G63" si="4">SUM(E48,-F48)</f>
        <v>-11</v>
      </c>
    </row>
    <row r="49" spans="1:7">
      <c r="A49" t="s">
        <v>23</v>
      </c>
      <c r="B49" t="s">
        <v>1204</v>
      </c>
      <c r="C49" t="s">
        <v>1164</v>
      </c>
      <c r="D49" t="s">
        <v>1165</v>
      </c>
      <c r="E49" s="16">
        <v>12.75</v>
      </c>
      <c r="F49">
        <v>20</v>
      </c>
      <c r="G49">
        <f t="shared" si="4"/>
        <v>-7.25</v>
      </c>
    </row>
    <row r="50" spans="1:7">
      <c r="A50" t="s">
        <v>23</v>
      </c>
      <c r="B50" t="s">
        <v>1205</v>
      </c>
      <c r="C50" t="s">
        <v>1164</v>
      </c>
      <c r="D50" t="s">
        <v>1165</v>
      </c>
      <c r="E50" s="16">
        <v>69</v>
      </c>
      <c r="F50">
        <v>70</v>
      </c>
      <c r="G50">
        <f t="shared" si="4"/>
        <v>-1</v>
      </c>
    </row>
    <row r="51" spans="1:7">
      <c r="A51" s="10" t="s">
        <v>23</v>
      </c>
      <c r="B51" s="10" t="s">
        <v>1206</v>
      </c>
      <c r="C51" s="10" t="s">
        <v>1164</v>
      </c>
      <c r="D51" s="10" t="s">
        <v>1146</v>
      </c>
      <c r="E51" s="16">
        <v>10</v>
      </c>
      <c r="F51">
        <v>20</v>
      </c>
      <c r="G51">
        <f t="shared" si="4"/>
        <v>-10</v>
      </c>
    </row>
    <row r="52" spans="1:7">
      <c r="A52" s="10" t="s">
        <v>23</v>
      </c>
      <c r="B52" s="10" t="s">
        <v>1207</v>
      </c>
      <c r="C52" s="10" t="s">
        <v>1164</v>
      </c>
      <c r="D52" s="10"/>
      <c r="F52">
        <v>50</v>
      </c>
    </row>
    <row r="53" spans="1:7">
      <c r="A53" s="10" t="s">
        <v>23</v>
      </c>
      <c r="B53" s="10" t="s">
        <v>1208</v>
      </c>
      <c r="C53" s="10" t="s">
        <v>1164</v>
      </c>
      <c r="D53" s="10" t="s">
        <v>1165</v>
      </c>
      <c r="E53" s="16">
        <v>21</v>
      </c>
      <c r="F53">
        <v>35</v>
      </c>
      <c r="G53">
        <f t="shared" si="4"/>
        <v>-14</v>
      </c>
    </row>
    <row r="54" spans="1:7">
      <c r="A54" s="10" t="s">
        <v>23</v>
      </c>
      <c r="B54" s="10" t="s">
        <v>315</v>
      </c>
      <c r="C54" s="10" t="s">
        <v>1164</v>
      </c>
      <c r="D54" s="10" t="s">
        <v>1165</v>
      </c>
      <c r="E54" s="16">
        <v>18</v>
      </c>
      <c r="F54">
        <v>20</v>
      </c>
      <c r="G54">
        <f t="shared" si="4"/>
        <v>-2</v>
      </c>
    </row>
    <row r="55" spans="1:7">
      <c r="A55" s="10" t="s">
        <v>23</v>
      </c>
      <c r="B55" s="10" t="s">
        <v>1209</v>
      </c>
      <c r="C55" s="10" t="s">
        <v>1164</v>
      </c>
      <c r="D55" s="10" t="s">
        <v>1165</v>
      </c>
      <c r="E55" s="16">
        <v>30</v>
      </c>
      <c r="F55">
        <v>19</v>
      </c>
      <c r="G55">
        <f t="shared" si="4"/>
        <v>11</v>
      </c>
    </row>
    <row r="56" spans="1:7">
      <c r="A56" s="10" t="s">
        <v>23</v>
      </c>
      <c r="B56" s="10" t="s">
        <v>1210</v>
      </c>
      <c r="C56" s="10" t="s">
        <v>1164</v>
      </c>
      <c r="D56" s="10" t="s">
        <v>1165</v>
      </c>
      <c r="E56" s="16">
        <v>12</v>
      </c>
      <c r="F56">
        <v>0</v>
      </c>
      <c r="G56">
        <f t="shared" si="4"/>
        <v>12</v>
      </c>
    </row>
    <row r="57" spans="1:7">
      <c r="A57" s="10" t="s">
        <v>23</v>
      </c>
      <c r="B57" s="10" t="s">
        <v>1211</v>
      </c>
      <c r="C57" s="10" t="s">
        <v>1164</v>
      </c>
      <c r="D57" s="10" t="s">
        <v>1165</v>
      </c>
      <c r="E57" s="16">
        <v>14</v>
      </c>
      <c r="F57">
        <v>5</v>
      </c>
      <c r="G57">
        <f t="shared" si="4"/>
        <v>9</v>
      </c>
    </row>
    <row r="58" spans="1:7">
      <c r="A58" s="10" t="s">
        <v>23</v>
      </c>
      <c r="B58" s="10" t="s">
        <v>1212</v>
      </c>
      <c r="C58" s="10" t="s">
        <v>1164</v>
      </c>
      <c r="D58" s="10" t="s">
        <v>1165</v>
      </c>
      <c r="E58" s="16">
        <v>8</v>
      </c>
      <c r="F58">
        <v>3</v>
      </c>
      <c r="G58">
        <f t="shared" si="4"/>
        <v>5</v>
      </c>
    </row>
    <row r="59" spans="1:7">
      <c r="A59" s="10" t="s">
        <v>23</v>
      </c>
      <c r="B59" s="10" t="s">
        <v>1213</v>
      </c>
      <c r="C59" s="10" t="s">
        <v>1164</v>
      </c>
      <c r="D59" s="10" t="s">
        <v>1165</v>
      </c>
      <c r="E59" s="16">
        <v>19</v>
      </c>
      <c r="F59">
        <v>20</v>
      </c>
      <c r="G59">
        <f t="shared" si="4"/>
        <v>-1</v>
      </c>
    </row>
    <row r="60" spans="1:7">
      <c r="A60" s="10" t="s">
        <v>23</v>
      </c>
      <c r="B60" s="10" t="s">
        <v>1214</v>
      </c>
      <c r="C60" s="10" t="s">
        <v>1164</v>
      </c>
      <c r="D60" s="10" t="s">
        <v>1165</v>
      </c>
      <c r="E60" s="16">
        <v>10</v>
      </c>
      <c r="F60">
        <v>40</v>
      </c>
      <c r="G60">
        <f t="shared" si="4"/>
        <v>-30</v>
      </c>
    </row>
    <row r="61" spans="1:7">
      <c r="A61" s="10" t="s">
        <v>23</v>
      </c>
      <c r="B61" s="10" t="s">
        <v>1215</v>
      </c>
      <c r="C61" s="10" t="s">
        <v>1164</v>
      </c>
      <c r="D61" s="10" t="s">
        <v>1165</v>
      </c>
      <c r="E61" s="16">
        <v>120</v>
      </c>
      <c r="F61">
        <v>70</v>
      </c>
      <c r="G61">
        <f t="shared" si="4"/>
        <v>50</v>
      </c>
    </row>
    <row r="62" spans="1:7">
      <c r="A62" s="10" t="s">
        <v>23</v>
      </c>
      <c r="B62" s="10" t="s">
        <v>568</v>
      </c>
      <c r="C62" s="10" t="s">
        <v>1164</v>
      </c>
      <c r="D62" s="10" t="s">
        <v>1165</v>
      </c>
      <c r="E62" s="16">
        <v>19</v>
      </c>
      <c r="F62">
        <v>1</v>
      </c>
      <c r="G62">
        <f t="shared" si="4"/>
        <v>18</v>
      </c>
    </row>
    <row r="63" spans="1:7">
      <c r="A63" s="10" t="s">
        <v>23</v>
      </c>
      <c r="B63" s="10" t="s">
        <v>1216</v>
      </c>
      <c r="C63" s="10" t="s">
        <v>1164</v>
      </c>
      <c r="D63" s="10" t="s">
        <v>1165</v>
      </c>
      <c r="E63" s="16">
        <v>8</v>
      </c>
      <c r="F63">
        <v>1</v>
      </c>
      <c r="G63">
        <f t="shared" si="4"/>
        <v>7</v>
      </c>
    </row>
    <row r="65" spans="1:7">
      <c r="A65" t="s">
        <v>1217</v>
      </c>
      <c r="B65" t="s">
        <v>1218</v>
      </c>
      <c r="C65" t="s">
        <v>1164</v>
      </c>
      <c r="D65" t="s">
        <v>1165</v>
      </c>
      <c r="E65" s="16">
        <v>8</v>
      </c>
      <c r="F65">
        <v>1</v>
      </c>
      <c r="G65">
        <f t="shared" ref="G65:G74" si="5">SUM(E65,-F65)</f>
        <v>7</v>
      </c>
    </row>
    <row r="66" spans="1:7">
      <c r="A66" t="s">
        <v>1217</v>
      </c>
      <c r="B66" t="s">
        <v>1219</v>
      </c>
      <c r="C66" t="s">
        <v>1164</v>
      </c>
      <c r="D66" t="s">
        <v>1165</v>
      </c>
      <c r="E66" s="16">
        <v>8</v>
      </c>
      <c r="F66">
        <v>1</v>
      </c>
      <c r="G66">
        <f t="shared" si="5"/>
        <v>7</v>
      </c>
    </row>
    <row r="67" spans="1:7">
      <c r="A67" t="s">
        <v>1217</v>
      </c>
      <c r="B67" t="s">
        <v>1220</v>
      </c>
      <c r="C67" t="s">
        <v>1164</v>
      </c>
      <c r="D67" t="s">
        <v>1165</v>
      </c>
      <c r="E67" s="16">
        <v>28</v>
      </c>
      <c r="F67">
        <v>1</v>
      </c>
      <c r="G67">
        <f t="shared" si="5"/>
        <v>27</v>
      </c>
    </row>
    <row r="68" spans="1:7">
      <c r="A68" t="s">
        <v>1217</v>
      </c>
      <c r="B68" t="s">
        <v>1221</v>
      </c>
      <c r="C68" t="s">
        <v>1164</v>
      </c>
      <c r="D68" t="s">
        <v>1165</v>
      </c>
      <c r="E68" s="16">
        <v>11.5</v>
      </c>
      <c r="F68">
        <v>1</v>
      </c>
      <c r="G68">
        <f t="shared" si="5"/>
        <v>10.5</v>
      </c>
    </row>
    <row r="69" spans="1:7">
      <c r="A69" t="s">
        <v>1217</v>
      </c>
      <c r="B69" t="s">
        <v>1221</v>
      </c>
      <c r="C69" t="s">
        <v>1164</v>
      </c>
      <c r="D69" t="s">
        <v>1165</v>
      </c>
      <c r="E69" s="16">
        <v>4</v>
      </c>
      <c r="F69">
        <v>1</v>
      </c>
      <c r="G69">
        <f t="shared" si="5"/>
        <v>3</v>
      </c>
    </row>
    <row r="70" spans="1:7">
      <c r="A70" t="s">
        <v>1217</v>
      </c>
      <c r="B70" t="s">
        <v>1222</v>
      </c>
      <c r="C70" t="s">
        <v>1164</v>
      </c>
      <c r="D70" t="s">
        <v>1165</v>
      </c>
      <c r="E70" s="16">
        <v>10</v>
      </c>
      <c r="F70">
        <v>1</v>
      </c>
      <c r="G70">
        <f t="shared" si="5"/>
        <v>9</v>
      </c>
    </row>
    <row r="71" spans="1:7" ht="12.75" customHeight="1">
      <c r="A71" t="s">
        <v>1217</v>
      </c>
      <c r="B71" t="s">
        <v>1222</v>
      </c>
      <c r="C71" t="s">
        <v>1164</v>
      </c>
      <c r="D71" t="s">
        <v>1165</v>
      </c>
      <c r="E71" s="16">
        <v>10</v>
      </c>
      <c r="F71">
        <v>1</v>
      </c>
      <c r="G71">
        <f t="shared" si="5"/>
        <v>9</v>
      </c>
    </row>
    <row r="72" spans="1:7">
      <c r="A72" t="s">
        <v>1217</v>
      </c>
      <c r="B72" t="s">
        <v>1222</v>
      </c>
      <c r="C72" t="s">
        <v>1164</v>
      </c>
      <c r="D72" t="s">
        <v>1165</v>
      </c>
      <c r="E72" s="16">
        <v>10</v>
      </c>
      <c r="F72">
        <v>1</v>
      </c>
      <c r="G72">
        <f t="shared" si="5"/>
        <v>9</v>
      </c>
    </row>
    <row r="73" spans="1:7" ht="12.75" customHeight="1">
      <c r="A73" t="s">
        <v>1217</v>
      </c>
      <c r="B73" t="s">
        <v>1222</v>
      </c>
      <c r="C73" t="s">
        <v>1164</v>
      </c>
      <c r="D73" t="s">
        <v>1165</v>
      </c>
      <c r="E73" s="16">
        <v>10</v>
      </c>
      <c r="F73">
        <v>1</v>
      </c>
      <c r="G73">
        <f t="shared" si="5"/>
        <v>9</v>
      </c>
    </row>
    <row r="74" spans="1:7" ht="12.75" customHeight="1">
      <c r="A74" s="10" t="s">
        <v>1217</v>
      </c>
      <c r="B74" s="10" t="s">
        <v>615</v>
      </c>
      <c r="C74" s="10" t="s">
        <v>1164</v>
      </c>
      <c r="D74" s="10" t="s">
        <v>1165</v>
      </c>
      <c r="E74" s="16">
        <v>18</v>
      </c>
      <c r="F74">
        <v>1</v>
      </c>
      <c r="G74">
        <f t="shared" si="5"/>
        <v>17</v>
      </c>
    </row>
    <row r="76" spans="1:7">
      <c r="A76" t="s">
        <v>41</v>
      </c>
      <c r="B76" t="s">
        <v>1223</v>
      </c>
      <c r="C76" t="s">
        <v>1164</v>
      </c>
      <c r="D76" t="s">
        <v>1165</v>
      </c>
      <c r="E76" s="16">
        <v>3.2</v>
      </c>
      <c r="F76">
        <v>15</v>
      </c>
      <c r="G76">
        <f t="shared" ref="G76:G105" si="6">SUM(E76,-F76)</f>
        <v>-11.8</v>
      </c>
    </row>
    <row r="77" spans="1:7">
      <c r="A77" t="s">
        <v>41</v>
      </c>
      <c r="B77" t="s">
        <v>1224</v>
      </c>
      <c r="C77" t="s">
        <v>1164</v>
      </c>
      <c r="D77" t="s">
        <v>1165</v>
      </c>
      <c r="E77" s="16">
        <v>9</v>
      </c>
      <c r="F77">
        <v>20</v>
      </c>
      <c r="G77">
        <f t="shared" si="6"/>
        <v>-11</v>
      </c>
    </row>
    <row r="78" spans="1:7">
      <c r="A78" t="s">
        <v>41</v>
      </c>
      <c r="B78" t="s">
        <v>1225</v>
      </c>
      <c r="C78" t="s">
        <v>1164</v>
      </c>
      <c r="D78" t="s">
        <v>1165</v>
      </c>
      <c r="E78" s="16">
        <v>4</v>
      </c>
      <c r="F78">
        <v>15</v>
      </c>
      <c r="G78">
        <f t="shared" si="6"/>
        <v>-11</v>
      </c>
    </row>
    <row r="79" spans="1:7">
      <c r="A79" t="s">
        <v>41</v>
      </c>
      <c r="B79" t="s">
        <v>1226</v>
      </c>
      <c r="C79" t="s">
        <v>1164</v>
      </c>
      <c r="D79" t="s">
        <v>1165</v>
      </c>
      <c r="E79" s="16">
        <v>5</v>
      </c>
      <c r="F79">
        <v>10</v>
      </c>
      <c r="G79">
        <f t="shared" si="6"/>
        <v>-5</v>
      </c>
    </row>
    <row r="80" spans="1:7">
      <c r="A80" t="s">
        <v>41</v>
      </c>
      <c r="B80" t="s">
        <v>1227</v>
      </c>
      <c r="C80" t="s">
        <v>1164</v>
      </c>
      <c r="D80" t="s">
        <v>1165</v>
      </c>
      <c r="E80" s="16">
        <v>2.5</v>
      </c>
      <c r="F80">
        <v>12</v>
      </c>
      <c r="G80">
        <f t="shared" si="6"/>
        <v>-9.5</v>
      </c>
    </row>
    <row r="81" spans="1:7">
      <c r="A81" t="s">
        <v>41</v>
      </c>
      <c r="B81" t="s">
        <v>1228</v>
      </c>
      <c r="C81" t="s">
        <v>1164</v>
      </c>
      <c r="D81" t="s">
        <v>1165</v>
      </c>
      <c r="E81" s="16">
        <v>4</v>
      </c>
      <c r="F81">
        <v>10</v>
      </c>
      <c r="G81">
        <f t="shared" si="6"/>
        <v>-6</v>
      </c>
    </row>
    <row r="82" spans="1:7">
      <c r="A82" t="s">
        <v>41</v>
      </c>
      <c r="B82" t="s">
        <v>1229</v>
      </c>
      <c r="C82" t="s">
        <v>1164</v>
      </c>
      <c r="D82" t="s">
        <v>1165</v>
      </c>
      <c r="E82" s="16">
        <v>1</v>
      </c>
      <c r="F82">
        <v>10</v>
      </c>
      <c r="G82">
        <f t="shared" si="6"/>
        <v>-9</v>
      </c>
    </row>
    <row r="83" spans="1:7">
      <c r="A83" t="s">
        <v>41</v>
      </c>
      <c r="B83" t="s">
        <v>1230</v>
      </c>
      <c r="C83" t="s">
        <v>1164</v>
      </c>
      <c r="D83" t="s">
        <v>1165</v>
      </c>
      <c r="E83" s="16">
        <v>3</v>
      </c>
      <c r="F83">
        <v>15</v>
      </c>
      <c r="G83">
        <f t="shared" si="6"/>
        <v>-12</v>
      </c>
    </row>
    <row r="84" spans="1:7">
      <c r="A84" t="s">
        <v>41</v>
      </c>
      <c r="B84" t="s">
        <v>1231</v>
      </c>
      <c r="C84" t="s">
        <v>1164</v>
      </c>
      <c r="D84" t="s">
        <v>1165</v>
      </c>
      <c r="E84" s="16">
        <v>3</v>
      </c>
      <c r="F84">
        <v>10</v>
      </c>
      <c r="G84">
        <f t="shared" si="6"/>
        <v>-7</v>
      </c>
    </row>
    <row r="85" spans="1:7">
      <c r="A85" t="s">
        <v>41</v>
      </c>
      <c r="B85" t="s">
        <v>1232</v>
      </c>
      <c r="C85" t="s">
        <v>1164</v>
      </c>
      <c r="D85" t="s">
        <v>1165</v>
      </c>
      <c r="E85" s="16">
        <v>4.5999999999999996</v>
      </c>
      <c r="F85">
        <v>10</v>
      </c>
      <c r="G85">
        <f t="shared" si="6"/>
        <v>-5.4</v>
      </c>
    </row>
    <row r="86" spans="1:7">
      <c r="A86" t="s">
        <v>41</v>
      </c>
      <c r="B86" t="s">
        <v>1233</v>
      </c>
      <c r="C86" t="s">
        <v>1164</v>
      </c>
      <c r="D86" t="s">
        <v>1165</v>
      </c>
      <c r="E86" s="16">
        <v>6.15</v>
      </c>
      <c r="F86">
        <v>15</v>
      </c>
      <c r="G86">
        <f t="shared" si="6"/>
        <v>-8.85</v>
      </c>
    </row>
    <row r="87" spans="1:7">
      <c r="A87" t="s">
        <v>41</v>
      </c>
      <c r="B87" t="s">
        <v>1234</v>
      </c>
      <c r="C87" t="s">
        <v>1164</v>
      </c>
      <c r="D87" t="s">
        <v>1165</v>
      </c>
      <c r="E87" s="16">
        <v>2</v>
      </c>
      <c r="F87">
        <v>13</v>
      </c>
      <c r="G87">
        <f t="shared" si="6"/>
        <v>-11</v>
      </c>
    </row>
    <row r="88" spans="1:7">
      <c r="A88" t="s">
        <v>41</v>
      </c>
      <c r="B88" t="s">
        <v>1235</v>
      </c>
      <c r="C88" t="s">
        <v>1164</v>
      </c>
      <c r="D88" t="s">
        <v>1165</v>
      </c>
      <c r="E88" s="16">
        <v>4</v>
      </c>
      <c r="F88">
        <v>10</v>
      </c>
      <c r="G88">
        <f t="shared" si="6"/>
        <v>-6</v>
      </c>
    </row>
    <row r="89" spans="1:7">
      <c r="A89" t="s">
        <v>41</v>
      </c>
      <c r="B89" t="s">
        <v>1236</v>
      </c>
      <c r="C89" t="s">
        <v>1164</v>
      </c>
      <c r="D89" t="s">
        <v>1165</v>
      </c>
      <c r="E89" s="16">
        <v>3.75</v>
      </c>
      <c r="F89">
        <v>15</v>
      </c>
      <c r="G89">
        <f t="shared" si="6"/>
        <v>-11.25</v>
      </c>
    </row>
    <row r="90" spans="1:7">
      <c r="A90" t="s">
        <v>41</v>
      </c>
      <c r="B90" t="s">
        <v>1237</v>
      </c>
      <c r="C90" t="s">
        <v>1164</v>
      </c>
      <c r="D90" t="s">
        <v>1165</v>
      </c>
      <c r="E90" s="16">
        <v>5</v>
      </c>
      <c r="F90">
        <v>18</v>
      </c>
      <c r="G90">
        <f t="shared" si="6"/>
        <v>-13</v>
      </c>
    </row>
    <row r="91" spans="1:7">
      <c r="A91" t="s">
        <v>41</v>
      </c>
      <c r="B91" t="s">
        <v>1238</v>
      </c>
      <c r="C91" t="s">
        <v>1164</v>
      </c>
      <c r="D91" t="s">
        <v>1165</v>
      </c>
      <c r="E91" s="16">
        <v>3.75</v>
      </c>
      <c r="F91">
        <v>15</v>
      </c>
      <c r="G91">
        <f t="shared" si="6"/>
        <v>-11.25</v>
      </c>
    </row>
    <row r="92" spans="1:7">
      <c r="A92" t="s">
        <v>41</v>
      </c>
      <c r="B92" t="s">
        <v>1239</v>
      </c>
      <c r="C92" t="s">
        <v>1164</v>
      </c>
      <c r="D92" t="s">
        <v>1165</v>
      </c>
      <c r="E92" s="16">
        <v>2.5</v>
      </c>
      <c r="F92">
        <v>15</v>
      </c>
      <c r="G92">
        <f t="shared" si="6"/>
        <v>-12.5</v>
      </c>
    </row>
    <row r="93" spans="1:7">
      <c r="A93" t="s">
        <v>41</v>
      </c>
      <c r="B93" t="s">
        <v>1240</v>
      </c>
      <c r="C93" t="s">
        <v>1164</v>
      </c>
      <c r="D93" t="s">
        <v>1165</v>
      </c>
      <c r="E93" s="16">
        <v>4.5</v>
      </c>
      <c r="F93">
        <v>15</v>
      </c>
      <c r="G93">
        <f t="shared" si="6"/>
        <v>-10.5</v>
      </c>
    </row>
    <row r="94" spans="1:7">
      <c r="A94" t="s">
        <v>41</v>
      </c>
      <c r="B94" t="s">
        <v>1241</v>
      </c>
      <c r="C94" t="s">
        <v>1164</v>
      </c>
      <c r="D94" t="s">
        <v>1165</v>
      </c>
      <c r="E94" s="16">
        <v>7.35</v>
      </c>
      <c r="F94">
        <v>15</v>
      </c>
      <c r="G94">
        <f t="shared" si="6"/>
        <v>-7.65</v>
      </c>
    </row>
    <row r="95" spans="1:7">
      <c r="A95" t="s">
        <v>41</v>
      </c>
      <c r="B95" t="s">
        <v>1242</v>
      </c>
      <c r="C95" t="s">
        <v>1164</v>
      </c>
      <c r="D95" t="s">
        <v>1165</v>
      </c>
      <c r="E95" s="16">
        <v>5.25</v>
      </c>
      <c r="F95">
        <v>0.5</v>
      </c>
      <c r="G95">
        <f t="shared" si="6"/>
        <v>4.75</v>
      </c>
    </row>
    <row r="96" spans="1:7">
      <c r="A96" t="s">
        <v>41</v>
      </c>
      <c r="B96" t="s">
        <v>1243</v>
      </c>
      <c r="C96" t="s">
        <v>1164</v>
      </c>
      <c r="D96" t="s">
        <v>1165</v>
      </c>
      <c r="E96" s="16">
        <v>6</v>
      </c>
      <c r="F96">
        <v>0.5</v>
      </c>
      <c r="G96">
        <f t="shared" si="6"/>
        <v>5.5</v>
      </c>
    </row>
    <row r="97" spans="1:7">
      <c r="A97" t="s">
        <v>41</v>
      </c>
      <c r="B97" t="s">
        <v>1244</v>
      </c>
      <c r="C97" t="s">
        <v>1164</v>
      </c>
      <c r="D97" t="s">
        <v>1165</v>
      </c>
      <c r="E97" s="16">
        <v>1.85</v>
      </c>
      <c r="F97">
        <v>10</v>
      </c>
      <c r="G97">
        <f t="shared" si="6"/>
        <v>-8.15</v>
      </c>
    </row>
    <row r="98" spans="1:7">
      <c r="A98" t="s">
        <v>41</v>
      </c>
      <c r="B98" t="s">
        <v>1245</v>
      </c>
      <c r="C98" t="s">
        <v>1164</v>
      </c>
      <c r="D98" t="s">
        <v>1165</v>
      </c>
      <c r="E98" s="16">
        <v>6.15</v>
      </c>
      <c r="F98">
        <v>10</v>
      </c>
      <c r="G98">
        <f t="shared" si="6"/>
        <v>-3.8499999999999996</v>
      </c>
    </row>
    <row r="99" spans="1:7">
      <c r="A99" t="s">
        <v>41</v>
      </c>
      <c r="B99" t="s">
        <v>1246</v>
      </c>
      <c r="C99" t="s">
        <v>1164</v>
      </c>
      <c r="D99" t="s">
        <v>1165</v>
      </c>
      <c r="E99" s="16">
        <v>4.9000000000000004</v>
      </c>
      <c r="F99">
        <v>15</v>
      </c>
      <c r="G99">
        <f t="shared" si="6"/>
        <v>-10.1</v>
      </c>
    </row>
    <row r="100" spans="1:7">
      <c r="A100" t="s">
        <v>41</v>
      </c>
      <c r="B100" t="s">
        <v>1247</v>
      </c>
      <c r="C100" t="s">
        <v>1164</v>
      </c>
      <c r="D100" t="s">
        <v>1165</v>
      </c>
      <c r="E100" s="16">
        <v>6.15</v>
      </c>
      <c r="F100">
        <v>15</v>
      </c>
      <c r="G100">
        <f t="shared" si="6"/>
        <v>-8.85</v>
      </c>
    </row>
    <row r="101" spans="1:7">
      <c r="A101" s="10" t="s">
        <v>41</v>
      </c>
      <c r="B101" s="10" t="s">
        <v>1248</v>
      </c>
      <c r="C101" s="10" t="s">
        <v>1164</v>
      </c>
      <c r="D101" s="10" t="s">
        <v>1165</v>
      </c>
      <c r="E101" s="16">
        <v>2</v>
      </c>
      <c r="F101">
        <v>15</v>
      </c>
      <c r="G101">
        <f t="shared" si="6"/>
        <v>-13</v>
      </c>
    </row>
    <row r="102" spans="1:7">
      <c r="A102" s="10" t="s">
        <v>41</v>
      </c>
      <c r="B102" t="s">
        <v>1249</v>
      </c>
      <c r="C102" s="10" t="s">
        <v>1164</v>
      </c>
      <c r="D102" s="10" t="s">
        <v>1165</v>
      </c>
      <c r="E102" s="16">
        <v>4</v>
      </c>
      <c r="F102">
        <v>10</v>
      </c>
      <c r="G102">
        <f t="shared" si="6"/>
        <v>-6</v>
      </c>
    </row>
    <row r="103" spans="1:7">
      <c r="A103" s="10" t="s">
        <v>41</v>
      </c>
      <c r="B103" s="10" t="s">
        <v>1250</v>
      </c>
      <c r="C103" s="10" t="s">
        <v>1164</v>
      </c>
      <c r="D103" s="10" t="s">
        <v>1165</v>
      </c>
      <c r="E103" s="16">
        <v>3.5</v>
      </c>
      <c r="F103">
        <v>8</v>
      </c>
      <c r="G103">
        <f t="shared" si="6"/>
        <v>-4.5</v>
      </c>
    </row>
    <row r="104" spans="1:7">
      <c r="A104" s="10" t="s">
        <v>41</v>
      </c>
      <c r="B104" s="10" t="s">
        <v>1251</v>
      </c>
      <c r="C104" s="10" t="s">
        <v>1164</v>
      </c>
      <c r="D104" s="10" t="s">
        <v>1165</v>
      </c>
      <c r="E104" s="16">
        <v>5</v>
      </c>
      <c r="F104">
        <v>0.5</v>
      </c>
      <c r="G104">
        <f t="shared" si="6"/>
        <v>4.5</v>
      </c>
    </row>
    <row r="105" spans="1:7">
      <c r="A105" s="10" t="s">
        <v>41</v>
      </c>
      <c r="B105" s="10" t="s">
        <v>1252</v>
      </c>
      <c r="C105" s="10" t="s">
        <v>1164</v>
      </c>
      <c r="D105" s="10" t="s">
        <v>1165</v>
      </c>
      <c r="E105" s="16">
        <v>6</v>
      </c>
      <c r="F105">
        <v>0.5</v>
      </c>
      <c r="G105">
        <f t="shared" si="6"/>
        <v>5.5</v>
      </c>
    </row>
    <row r="107" spans="1:7">
      <c r="A107" t="s">
        <v>43</v>
      </c>
      <c r="B107" t="s">
        <v>1253</v>
      </c>
      <c r="C107" t="s">
        <v>1164</v>
      </c>
      <c r="D107" t="s">
        <v>1254</v>
      </c>
      <c r="E107" s="16">
        <v>2</v>
      </c>
      <c r="F107">
        <v>10</v>
      </c>
      <c r="G107">
        <f t="shared" ref="G107:G119" si="7">SUM(E107,-F107)</f>
        <v>-8</v>
      </c>
    </row>
    <row r="108" spans="1:7">
      <c r="A108" t="s">
        <v>43</v>
      </c>
      <c r="B108" t="s">
        <v>1255</v>
      </c>
      <c r="C108" t="s">
        <v>1164</v>
      </c>
      <c r="D108" t="s">
        <v>1254</v>
      </c>
      <c r="E108" s="16">
        <v>2</v>
      </c>
      <c r="F108">
        <v>10</v>
      </c>
      <c r="G108">
        <f t="shared" si="7"/>
        <v>-8</v>
      </c>
    </row>
    <row r="109" spans="1:7">
      <c r="A109" t="s">
        <v>43</v>
      </c>
      <c r="B109" t="s">
        <v>1256</v>
      </c>
      <c r="C109" t="s">
        <v>1164</v>
      </c>
      <c r="D109" t="s">
        <v>1254</v>
      </c>
      <c r="E109" s="16">
        <v>2</v>
      </c>
      <c r="F109">
        <v>10</v>
      </c>
      <c r="G109">
        <f t="shared" si="7"/>
        <v>-8</v>
      </c>
    </row>
    <row r="110" spans="1:7">
      <c r="A110" t="s">
        <v>43</v>
      </c>
      <c r="B110" t="s">
        <v>1257</v>
      </c>
      <c r="C110" t="s">
        <v>1164</v>
      </c>
      <c r="D110" t="s">
        <v>1254</v>
      </c>
      <c r="E110" s="16">
        <v>2</v>
      </c>
      <c r="F110">
        <v>15</v>
      </c>
      <c r="G110">
        <f t="shared" si="7"/>
        <v>-13</v>
      </c>
    </row>
    <row r="111" spans="1:7">
      <c r="A111" t="s">
        <v>43</v>
      </c>
      <c r="B111" t="s">
        <v>1258</v>
      </c>
      <c r="C111" t="s">
        <v>1164</v>
      </c>
      <c r="D111" t="s">
        <v>1254</v>
      </c>
      <c r="E111" s="16">
        <v>2</v>
      </c>
      <c r="F111">
        <v>15</v>
      </c>
      <c r="G111">
        <f t="shared" si="7"/>
        <v>-13</v>
      </c>
    </row>
    <row r="112" spans="1:7">
      <c r="A112" t="s">
        <v>43</v>
      </c>
      <c r="B112" t="s">
        <v>1259</v>
      </c>
      <c r="C112" t="s">
        <v>1164</v>
      </c>
      <c r="D112" t="s">
        <v>1254</v>
      </c>
      <c r="E112" s="16">
        <v>2</v>
      </c>
      <c r="F112">
        <v>20</v>
      </c>
      <c r="G112">
        <f t="shared" si="7"/>
        <v>-18</v>
      </c>
    </row>
    <row r="113" spans="1:7">
      <c r="A113" t="s">
        <v>43</v>
      </c>
      <c r="B113" t="s">
        <v>1260</v>
      </c>
      <c r="C113" t="s">
        <v>1164</v>
      </c>
      <c r="D113" t="s">
        <v>1254</v>
      </c>
      <c r="E113" s="16">
        <v>2</v>
      </c>
      <c r="F113">
        <v>28</v>
      </c>
      <c r="G113">
        <f t="shared" si="7"/>
        <v>-26</v>
      </c>
    </row>
    <row r="114" spans="1:7">
      <c r="A114" t="s">
        <v>43</v>
      </c>
      <c r="B114" t="s">
        <v>1261</v>
      </c>
      <c r="C114" t="s">
        <v>1164</v>
      </c>
      <c r="D114" t="s">
        <v>1254</v>
      </c>
      <c r="E114" s="16">
        <v>2</v>
      </c>
      <c r="F114">
        <v>8</v>
      </c>
      <c r="G114">
        <f t="shared" si="7"/>
        <v>-6</v>
      </c>
    </row>
    <row r="115" spans="1:7">
      <c r="A115" t="s">
        <v>43</v>
      </c>
      <c r="B115" t="s">
        <v>1262</v>
      </c>
      <c r="C115" t="s">
        <v>1164</v>
      </c>
      <c r="D115" t="s">
        <v>171</v>
      </c>
      <c r="E115" s="16">
        <v>26.5</v>
      </c>
      <c r="F115">
        <v>28</v>
      </c>
      <c r="G115">
        <f t="shared" si="7"/>
        <v>-1.5</v>
      </c>
    </row>
    <row r="116" spans="1:7">
      <c r="A116" s="10" t="s">
        <v>43</v>
      </c>
      <c r="B116" t="s">
        <v>1051</v>
      </c>
      <c r="C116" s="10" t="s">
        <v>1164</v>
      </c>
      <c r="D116" s="10" t="s">
        <v>171</v>
      </c>
      <c r="E116" s="16">
        <v>4</v>
      </c>
      <c r="F116">
        <v>15</v>
      </c>
      <c r="G116">
        <f t="shared" si="7"/>
        <v>-11</v>
      </c>
    </row>
    <row r="117" spans="1:7">
      <c r="A117" s="10" t="s">
        <v>43</v>
      </c>
      <c r="B117" s="10" t="s">
        <v>1036</v>
      </c>
      <c r="C117" s="10" t="s">
        <v>1164</v>
      </c>
      <c r="D117" s="10" t="s">
        <v>171</v>
      </c>
      <c r="E117" s="16">
        <v>2</v>
      </c>
      <c r="F117">
        <v>20</v>
      </c>
      <c r="G117">
        <f t="shared" si="7"/>
        <v>-18</v>
      </c>
    </row>
    <row r="119" spans="1:7">
      <c r="A119" t="s">
        <v>1263</v>
      </c>
      <c r="B119" t="s">
        <v>1075</v>
      </c>
      <c r="C119" t="s">
        <v>1164</v>
      </c>
      <c r="D119" t="s">
        <v>171</v>
      </c>
      <c r="E119" s="16">
        <v>21</v>
      </c>
      <c r="F119">
        <v>16</v>
      </c>
      <c r="G119">
        <f t="shared" si="7"/>
        <v>5</v>
      </c>
    </row>
    <row r="120" spans="1:7">
      <c r="A120" t="s">
        <v>1263</v>
      </c>
      <c r="B120" t="s">
        <v>1075</v>
      </c>
      <c r="C120" t="s">
        <v>1164</v>
      </c>
      <c r="D120" t="s">
        <v>171</v>
      </c>
      <c r="E120" s="16">
        <v>21</v>
      </c>
      <c r="F120">
        <v>16</v>
      </c>
      <c r="G120">
        <f t="shared" ref="G120" si="8">SUM(E120,-F120)</f>
        <v>5</v>
      </c>
    </row>
    <row r="121" spans="1:7">
      <c r="A121" t="s">
        <v>1263</v>
      </c>
      <c r="B121" t="s">
        <v>1075</v>
      </c>
      <c r="C121" t="s">
        <v>1164</v>
      </c>
      <c r="D121" t="s">
        <v>171</v>
      </c>
      <c r="E121" s="16">
        <v>21</v>
      </c>
      <c r="F121">
        <v>16</v>
      </c>
      <c r="G121">
        <f t="shared" ref="G121:G122" si="9">SUM(E121,-F121)</f>
        <v>5</v>
      </c>
    </row>
    <row r="122" spans="1:7">
      <c r="A122" t="s">
        <v>1263</v>
      </c>
      <c r="B122" t="s">
        <v>1075</v>
      </c>
      <c r="C122" t="s">
        <v>1164</v>
      </c>
      <c r="D122" t="s">
        <v>171</v>
      </c>
      <c r="E122" s="16">
        <v>21</v>
      </c>
      <c r="F122">
        <v>16</v>
      </c>
      <c r="G122">
        <f t="shared" si="9"/>
        <v>5</v>
      </c>
    </row>
    <row r="123" spans="1:7">
      <c r="A123" t="s">
        <v>1263</v>
      </c>
      <c r="B123" t="s">
        <v>1075</v>
      </c>
      <c r="C123" t="s">
        <v>1164</v>
      </c>
      <c r="D123" t="s">
        <v>171</v>
      </c>
      <c r="E123" s="16">
        <v>18</v>
      </c>
      <c r="F123">
        <v>16</v>
      </c>
      <c r="G123">
        <f t="shared" ref="G123" si="10">SUM(E123,-F123)</f>
        <v>2</v>
      </c>
    </row>
    <row r="124" spans="1:7">
      <c r="A124" t="s">
        <v>1263</v>
      </c>
      <c r="B124" t="s">
        <v>1075</v>
      </c>
      <c r="C124" t="s">
        <v>1164</v>
      </c>
      <c r="D124" t="s">
        <v>171</v>
      </c>
      <c r="E124" s="16">
        <v>13</v>
      </c>
      <c r="F124">
        <v>16</v>
      </c>
      <c r="G124">
        <f t="shared" ref="G124" si="11">SUM(E124,-F124)</f>
        <v>-3</v>
      </c>
    </row>
    <row r="126" spans="1:7">
      <c r="A126" s="10" t="s">
        <v>38</v>
      </c>
      <c r="B126" s="10" t="s">
        <v>1264</v>
      </c>
      <c r="C126" s="10" t="s">
        <v>1164</v>
      </c>
      <c r="D126" s="10" t="s">
        <v>1165</v>
      </c>
      <c r="E126" s="16">
        <v>12</v>
      </c>
      <c r="F126">
        <v>20</v>
      </c>
      <c r="G126">
        <f t="shared" ref="G126" si="12">SUM(E126,-F126)</f>
        <v>-8</v>
      </c>
    </row>
    <row r="127" spans="1:7">
      <c r="A127" s="10" t="s">
        <v>38</v>
      </c>
      <c r="B127" s="10" t="s">
        <v>1264</v>
      </c>
      <c r="C127" s="10" t="s">
        <v>1164</v>
      </c>
      <c r="D127" s="10" t="s">
        <v>1165</v>
      </c>
      <c r="E127" s="16">
        <v>30</v>
      </c>
      <c r="F127">
        <v>20</v>
      </c>
      <c r="G127">
        <f t="shared" ref="G127:G128" si="13">SUM(E127,-F127)</f>
        <v>10</v>
      </c>
    </row>
    <row r="128" spans="1:7">
      <c r="A128" s="10" t="s">
        <v>38</v>
      </c>
      <c r="B128" s="10" t="s">
        <v>1265</v>
      </c>
      <c r="C128" s="10" t="s">
        <v>1164</v>
      </c>
      <c r="D128" s="10" t="s">
        <v>1165</v>
      </c>
      <c r="E128" s="16">
        <v>14</v>
      </c>
      <c r="F128">
        <v>1</v>
      </c>
      <c r="G128">
        <f t="shared" si="13"/>
        <v>13</v>
      </c>
    </row>
    <row r="129" spans="2:6">
      <c r="D129" s="10"/>
    </row>
    <row r="130" spans="2:6">
      <c r="D130" t="s">
        <v>1266</v>
      </c>
      <c r="E130" s="16">
        <f>SUM(E4:E128)</f>
        <v>2365.9500000000003</v>
      </c>
    </row>
    <row r="131" spans="2:6">
      <c r="D131" s="10" t="s">
        <v>1267</v>
      </c>
      <c r="E131">
        <f>SUM(G:G)</f>
        <v>-659.55000000000007</v>
      </c>
    </row>
    <row r="132" spans="2:6">
      <c r="D132" s="10" t="s">
        <v>1268</v>
      </c>
      <c r="E132" s="16" t="e">
        <f>SUM('PS2'!A216,GBA!A43,GC!A10,NDS!A35,'PS3'!A169,'PS1'!#REF!,GBA!A22,GBC!A9,CD!A48,DVD!A72,BluRay!A23,NES!A32,SNES!A55,PC!A17)</f>
        <v>#REF!</v>
      </c>
    </row>
    <row r="133" spans="2:6">
      <c r="B133" s="10" t="s">
        <v>1269</v>
      </c>
      <c r="C133" s="1">
        <f>SUM('PS1'!A50,'PS2'!A168,'PS3'!A167,GBA!A24,GC!A8,GBC!A11,NDS!A33,NES!A26,SNES!A50,PC!A21)</f>
        <v>452</v>
      </c>
      <c r="D133" s="10" t="s">
        <v>1270</v>
      </c>
      <c r="E133" s="16">
        <f>SUM('PS1'!A52,'PS2'!A216,'PS3'!A173,GC!A14,NDS!A39,NES!A32,SNES!A55,PC!A19)</f>
        <v>14689.7</v>
      </c>
      <c r="F133" s="10" t="s">
        <v>1271</v>
      </c>
    </row>
    <row r="134" spans="2:6" ht="44.25" customHeight="1"/>
  </sheetData>
  <phoneticPr fontId="2" type="noConversion"/>
  <pageMargins left="0.75" right="0.75" top="1" bottom="1" header="0.4921259845" footer="0.4921259845"/>
  <pageSetup orientation="portrait" horizontalDpi="4294967293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G67"/>
  <sheetViews>
    <sheetView topLeftCell="A55" workbookViewId="0" xr3:uid="{94BC7849-1D55-59FD-A4A3-F33B65D9F6CB}">
      <selection activeCell="A65" sqref="A65:XFD65"/>
    </sheetView>
  </sheetViews>
  <sheetFormatPr defaultRowHeight="12.75"/>
  <cols>
    <col min="1" max="1" width="42.42578125" bestFit="1" customWidth="1"/>
    <col min="2" max="2" width="10.28515625" bestFit="1" customWidth="1"/>
    <col min="3" max="3" width="9.140625" style="15"/>
    <col min="7" max="7" width="11.28515625" style="48" bestFit="1" customWidth="1"/>
  </cols>
  <sheetData>
    <row r="1" spans="1:7">
      <c r="C1" s="15" t="s">
        <v>1272</v>
      </c>
      <c r="E1" t="s">
        <v>1273</v>
      </c>
    </row>
    <row r="2" spans="1:7">
      <c r="A2" s="10" t="s">
        <v>1274</v>
      </c>
      <c r="B2" s="10" t="s">
        <v>1275</v>
      </c>
      <c r="C2" s="69" t="s">
        <v>1276</v>
      </c>
      <c r="D2" s="10" t="s">
        <v>1277</v>
      </c>
      <c r="E2" s="10" t="s">
        <v>1276</v>
      </c>
      <c r="F2" s="10" t="s">
        <v>1277</v>
      </c>
      <c r="G2" s="58" t="s">
        <v>695</v>
      </c>
    </row>
    <row r="3" spans="1:7">
      <c r="A3" t="s">
        <v>1278</v>
      </c>
    </row>
    <row r="4" spans="1:7">
      <c r="A4" t="s">
        <v>1279</v>
      </c>
    </row>
    <row r="7" spans="1:7">
      <c r="A7" t="s">
        <v>1280</v>
      </c>
      <c r="C7" s="15">
        <v>75</v>
      </c>
      <c r="D7">
        <v>40</v>
      </c>
      <c r="E7">
        <v>115</v>
      </c>
    </row>
    <row r="8" spans="1:7">
      <c r="A8" t="s">
        <v>1281</v>
      </c>
      <c r="C8" s="15">
        <v>125</v>
      </c>
      <c r="D8">
        <v>65</v>
      </c>
      <c r="E8">
        <v>85</v>
      </c>
    </row>
    <row r="9" spans="1:7">
      <c r="A9" t="s">
        <v>1282</v>
      </c>
      <c r="C9" s="15">
        <v>95</v>
      </c>
      <c r="E9">
        <v>99</v>
      </c>
      <c r="G9" s="48">
        <v>42030</v>
      </c>
    </row>
    <row r="10" spans="1:7">
      <c r="A10" t="s">
        <v>446</v>
      </c>
      <c r="C10" s="69" t="s">
        <v>89</v>
      </c>
      <c r="E10">
        <v>65</v>
      </c>
      <c r="G10" s="48">
        <v>42033</v>
      </c>
    </row>
    <row r="11" spans="1:7">
      <c r="A11" t="s">
        <v>1283</v>
      </c>
      <c r="C11" s="15">
        <v>68</v>
      </c>
      <c r="E11">
        <v>52</v>
      </c>
      <c r="G11" s="48">
        <v>42033</v>
      </c>
    </row>
    <row r="12" spans="1:7">
      <c r="A12" t="s">
        <v>1284</v>
      </c>
      <c r="C12" s="69" t="s">
        <v>89</v>
      </c>
      <c r="G12" s="48">
        <v>42033</v>
      </c>
    </row>
    <row r="13" spans="1:7">
      <c r="A13" t="s">
        <v>1285</v>
      </c>
      <c r="C13" s="69" t="s">
        <v>89</v>
      </c>
      <c r="E13">
        <v>105</v>
      </c>
      <c r="G13" s="48">
        <v>42033</v>
      </c>
    </row>
    <row r="14" spans="1:7">
      <c r="A14" t="s">
        <v>1286</v>
      </c>
      <c r="C14" s="69" t="s">
        <v>89</v>
      </c>
      <c r="G14" s="48">
        <v>42033</v>
      </c>
    </row>
    <row r="15" spans="1:7">
      <c r="A15" t="s">
        <v>1287</v>
      </c>
      <c r="E15">
        <v>106</v>
      </c>
    </row>
    <row r="16" spans="1:7">
      <c r="A16" t="s">
        <v>1288</v>
      </c>
      <c r="C16" s="69">
        <v>55</v>
      </c>
      <c r="D16">
        <v>55</v>
      </c>
      <c r="E16">
        <v>55</v>
      </c>
      <c r="F16">
        <v>55</v>
      </c>
      <c r="G16" s="48">
        <v>42428</v>
      </c>
    </row>
    <row r="17" spans="1:4">
      <c r="A17" t="s">
        <v>1289</v>
      </c>
    </row>
    <row r="18" spans="1:4">
      <c r="A18" s="10" t="s">
        <v>1290</v>
      </c>
    </row>
    <row r="19" spans="1:4">
      <c r="A19" t="s">
        <v>1291</v>
      </c>
    </row>
    <row r="20" spans="1:4">
      <c r="A20" t="s">
        <v>1292</v>
      </c>
    </row>
    <row r="21" spans="1:4">
      <c r="A21" t="s">
        <v>1293</v>
      </c>
    </row>
    <row r="22" spans="1:4">
      <c r="A22" t="s">
        <v>1294</v>
      </c>
    </row>
    <row r="23" spans="1:4">
      <c r="A23" s="10" t="s">
        <v>1295</v>
      </c>
    </row>
    <row r="24" spans="1:4">
      <c r="A24" s="10"/>
    </row>
    <row r="25" spans="1:4">
      <c r="A25" s="10"/>
    </row>
    <row r="26" spans="1:4">
      <c r="A26" s="10"/>
    </row>
    <row r="27" spans="1:4">
      <c r="A27" s="10"/>
    </row>
    <row r="29" spans="1:4">
      <c r="A29" t="s">
        <v>1296</v>
      </c>
      <c r="D29">
        <v>250</v>
      </c>
    </row>
    <row r="30" spans="1:4">
      <c r="A30" t="s">
        <v>1297</v>
      </c>
    </row>
    <row r="31" spans="1:4">
      <c r="A31" t="s">
        <v>1298</v>
      </c>
    </row>
    <row r="32" spans="1:4">
      <c r="A32" t="s">
        <v>1299</v>
      </c>
      <c r="D32">
        <v>250</v>
      </c>
    </row>
    <row r="33" spans="1:4">
      <c r="A33" t="s">
        <v>1300</v>
      </c>
    </row>
    <row r="34" spans="1:4">
      <c r="A34" t="s">
        <v>1301</v>
      </c>
    </row>
    <row r="35" spans="1:4">
      <c r="A35" t="s">
        <v>1302</v>
      </c>
    </row>
    <row r="36" spans="1:4">
      <c r="A36" t="s">
        <v>1303</v>
      </c>
    </row>
    <row r="37" spans="1:4">
      <c r="A37" s="82" t="s">
        <v>1304</v>
      </c>
    </row>
    <row r="38" spans="1:4">
      <c r="A38" t="s">
        <v>1305</v>
      </c>
    </row>
    <row r="39" spans="1:4">
      <c r="A39" t="s">
        <v>1306</v>
      </c>
    </row>
    <row r="40" spans="1:4">
      <c r="A40" t="s">
        <v>1307</v>
      </c>
    </row>
    <row r="41" spans="1:4">
      <c r="A41" t="s">
        <v>1308</v>
      </c>
    </row>
    <row r="42" spans="1:4">
      <c r="A42" t="s">
        <v>1309</v>
      </c>
    </row>
    <row r="43" spans="1:4">
      <c r="A43" t="s">
        <v>1310</v>
      </c>
    </row>
    <row r="44" spans="1:4">
      <c r="A44" t="s">
        <v>1311</v>
      </c>
    </row>
    <row r="45" spans="1:4">
      <c r="A45" t="s">
        <v>1312</v>
      </c>
    </row>
    <row r="46" spans="1:4">
      <c r="A46" t="s">
        <v>1313</v>
      </c>
    </row>
    <row r="47" spans="1:4">
      <c r="A47" t="s">
        <v>1314</v>
      </c>
    </row>
    <row r="48" spans="1:4">
      <c r="A48" t="s">
        <v>1315</v>
      </c>
      <c r="D48">
        <v>55</v>
      </c>
    </row>
    <row r="56" spans="1:2">
      <c r="A56" t="s">
        <v>1316</v>
      </c>
      <c r="B56">
        <v>75</v>
      </c>
    </row>
    <row r="57" spans="1:2">
      <c r="A57" s="10"/>
    </row>
    <row r="58" spans="1:2">
      <c r="A58" s="10"/>
    </row>
    <row r="59" spans="1:2">
      <c r="A59" s="10"/>
    </row>
    <row r="60" spans="1:2">
      <c r="A60" s="10" t="s">
        <v>1317</v>
      </c>
      <c r="B60">
        <v>140</v>
      </c>
    </row>
    <row r="61" spans="1:2">
      <c r="A61" s="10" t="s">
        <v>1318</v>
      </c>
      <c r="B61">
        <v>145</v>
      </c>
    </row>
    <row r="62" spans="1:2">
      <c r="A62" t="s">
        <v>1319</v>
      </c>
      <c r="B62">
        <v>145</v>
      </c>
    </row>
    <row r="63" spans="1:2">
      <c r="A63" t="s">
        <v>1320</v>
      </c>
      <c r="B63">
        <v>45</v>
      </c>
    </row>
    <row r="64" spans="1:2">
      <c r="A64" s="10" t="s">
        <v>1321</v>
      </c>
      <c r="B64">
        <v>38</v>
      </c>
    </row>
    <row r="65" spans="1:2">
      <c r="A65" s="10" t="s">
        <v>1322</v>
      </c>
      <c r="B65">
        <v>18</v>
      </c>
    </row>
    <row r="66" spans="1:2">
      <c r="A66" s="10" t="s">
        <v>1323</v>
      </c>
      <c r="B66">
        <v>25</v>
      </c>
    </row>
    <row r="67" spans="1:2">
      <c r="A67" s="10" t="s">
        <v>1324</v>
      </c>
      <c r="B67">
        <v>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M18"/>
  <sheetViews>
    <sheetView workbookViewId="0" xr3:uid="{F4A53677-9E12-59C4-BAB1-211CDE2C826E}">
      <selection activeCell="J16" sqref="J16"/>
    </sheetView>
  </sheetViews>
  <sheetFormatPr defaultRowHeight="12.75"/>
  <cols>
    <col min="1" max="1" width="9.85546875" customWidth="1"/>
    <col min="2" max="2" width="14.42578125" bestFit="1" customWidth="1"/>
    <col min="9" max="9" width="14.42578125" bestFit="1" customWidth="1"/>
  </cols>
  <sheetData>
    <row r="1" spans="1:13" ht="45" thickBot="1">
      <c r="A1" s="26" t="s">
        <v>1325</v>
      </c>
      <c r="B1" s="27"/>
      <c r="C1" s="27"/>
      <c r="D1" s="27"/>
      <c r="E1" s="27"/>
      <c r="F1" s="28"/>
      <c r="G1" s="29"/>
      <c r="H1" s="30"/>
    </row>
    <row r="2" spans="1:13" ht="13.5" thickBot="1">
      <c r="C2" s="10" t="s">
        <v>1326</v>
      </c>
      <c r="D2" s="10" t="s">
        <v>174</v>
      </c>
      <c r="E2" s="10" t="s">
        <v>1327</v>
      </c>
      <c r="F2" s="10" t="s">
        <v>1328</v>
      </c>
      <c r="G2" s="141" t="s">
        <v>1329</v>
      </c>
    </row>
    <row r="3" spans="1:13" ht="13.5" thickBot="1">
      <c r="A3" s="10" t="s">
        <v>1330</v>
      </c>
      <c r="B3" s="10" t="s">
        <v>1331</v>
      </c>
      <c r="C3" s="10">
        <v>0</v>
      </c>
      <c r="D3">
        <v>13.79</v>
      </c>
      <c r="E3">
        <f>SUM(D3*0.65)</f>
        <v>8.9634999999999998</v>
      </c>
      <c r="F3">
        <f>SUM(D3*0.15)</f>
        <v>2.0684999999999998</v>
      </c>
      <c r="G3">
        <f>SUM(D3*0.2)</f>
        <v>2.758</v>
      </c>
      <c r="L3" s="142" t="s">
        <v>1326</v>
      </c>
      <c r="M3" s="31">
        <f>SUM(C3:C6)</f>
        <v>0</v>
      </c>
    </row>
    <row r="4" spans="1:13">
      <c r="A4" s="10" t="s">
        <v>23</v>
      </c>
      <c r="B4" s="10" t="s">
        <v>1332</v>
      </c>
      <c r="C4">
        <v>0</v>
      </c>
      <c r="D4">
        <v>26</v>
      </c>
      <c r="E4">
        <f>SUM(D4*0.65)</f>
        <v>16.900000000000002</v>
      </c>
      <c r="F4">
        <f>SUM(D4*0.15)</f>
        <v>3.9</v>
      </c>
      <c r="G4">
        <f>SUM(D4*0.2)</f>
        <v>5.2</v>
      </c>
      <c r="I4" s="10" t="s">
        <v>1333</v>
      </c>
      <c r="J4">
        <v>33.39</v>
      </c>
      <c r="L4" s="143" t="s">
        <v>1334</v>
      </c>
      <c r="M4" s="34">
        <f>SUM(M3*0.65)</f>
        <v>0</v>
      </c>
    </row>
    <row r="5" spans="1:13">
      <c r="A5" s="10" t="s">
        <v>1217</v>
      </c>
      <c r="B5" s="10" t="s">
        <v>1335</v>
      </c>
      <c r="C5">
        <v>0</v>
      </c>
      <c r="D5">
        <v>7.3</v>
      </c>
      <c r="E5">
        <f>SUM(D5*0.65)</f>
        <v>4.7450000000000001</v>
      </c>
      <c r="F5">
        <f>SUM(D5*0.15)</f>
        <v>1.095</v>
      </c>
      <c r="G5">
        <f>SUM(D5*0.2)</f>
        <v>1.46</v>
      </c>
      <c r="I5" s="10" t="s">
        <v>1336</v>
      </c>
      <c r="J5" s="32">
        <f>SUM(E3:E6,-J4)</f>
        <v>5.0000000000238742E-4</v>
      </c>
      <c r="L5" s="144" t="s">
        <v>1337</v>
      </c>
      <c r="M5" s="35">
        <f>SUM(M3*0.15)</f>
        <v>0</v>
      </c>
    </row>
    <row r="6" spans="1:13" ht="13.5" thickBot="1">
      <c r="A6" s="10" t="s">
        <v>20</v>
      </c>
      <c r="B6" s="10" t="s">
        <v>1338</v>
      </c>
      <c r="C6">
        <v>0</v>
      </c>
      <c r="D6">
        <v>4.28</v>
      </c>
      <c r="E6">
        <f>SUM(D6*0.65)</f>
        <v>2.7820000000000005</v>
      </c>
      <c r="F6">
        <f>SUM(D6*0.15)</f>
        <v>0.64200000000000002</v>
      </c>
      <c r="G6">
        <f>SUM(D6*0.2)</f>
        <v>0.85600000000000009</v>
      </c>
      <c r="L6" s="145" t="s">
        <v>1339</v>
      </c>
      <c r="M6" s="33">
        <f>SUM(M3*0.2)</f>
        <v>0</v>
      </c>
    </row>
    <row r="7" spans="1:13">
      <c r="E7" s="16"/>
      <c r="I7" s="10" t="s">
        <v>1340</v>
      </c>
      <c r="J7">
        <f>SUM(G3:G6)</f>
        <v>10.273999999999999</v>
      </c>
    </row>
    <row r="8" spans="1:13">
      <c r="E8" s="16"/>
    </row>
    <row r="11" spans="1:13" ht="13.5" thickBot="1">
      <c r="E11" s="10" t="s">
        <v>1341</v>
      </c>
    </row>
    <row r="12" spans="1:13" ht="13.5" thickBot="1">
      <c r="A12" t="s">
        <v>1217</v>
      </c>
      <c r="B12" t="s">
        <v>1342</v>
      </c>
      <c r="C12">
        <v>0</v>
      </c>
      <c r="D12">
        <v>14</v>
      </c>
      <c r="E12">
        <f t="shared" ref="E12:E17" si="0">SUM(D12*0.55)</f>
        <v>7.7000000000000011</v>
      </c>
      <c r="F12">
        <f t="shared" ref="F12:F17" si="1">SUM(D12*0.15)</f>
        <v>2.1</v>
      </c>
      <c r="G12">
        <f t="shared" ref="G12:G18" si="2">SUM(D12*0.3)</f>
        <v>4.2</v>
      </c>
      <c r="I12" s="10" t="s">
        <v>1333</v>
      </c>
      <c r="J12">
        <v>40</v>
      </c>
      <c r="L12" s="142" t="s">
        <v>1326</v>
      </c>
      <c r="M12" s="31">
        <f>SUM(C12:C18)</f>
        <v>18</v>
      </c>
    </row>
    <row r="13" spans="1:13">
      <c r="A13" t="s">
        <v>1217</v>
      </c>
      <c r="B13" t="s">
        <v>1343</v>
      </c>
      <c r="C13">
        <v>0</v>
      </c>
      <c r="D13">
        <v>12</v>
      </c>
      <c r="E13">
        <f t="shared" si="0"/>
        <v>6.6000000000000005</v>
      </c>
      <c r="F13">
        <f t="shared" si="1"/>
        <v>1.7999999999999998</v>
      </c>
      <c r="G13">
        <f t="shared" si="2"/>
        <v>3.5999999999999996</v>
      </c>
      <c r="I13" s="10" t="s">
        <v>1344</v>
      </c>
      <c r="J13" s="32">
        <f>SUM(E12:E18,-J12)</f>
        <v>0.25000000000000711</v>
      </c>
      <c r="L13" s="143" t="s">
        <v>1341</v>
      </c>
      <c r="M13" s="34">
        <f>SUM(M12*0.55)</f>
        <v>9.9</v>
      </c>
    </row>
    <row r="14" spans="1:13">
      <c r="A14" t="s">
        <v>1217</v>
      </c>
      <c r="B14" t="s">
        <v>1345</v>
      </c>
      <c r="C14">
        <v>0</v>
      </c>
      <c r="D14">
        <v>12</v>
      </c>
      <c r="E14">
        <f t="shared" si="0"/>
        <v>6.6000000000000005</v>
      </c>
      <c r="F14">
        <f t="shared" si="1"/>
        <v>1.7999999999999998</v>
      </c>
      <c r="G14">
        <f t="shared" si="2"/>
        <v>3.5999999999999996</v>
      </c>
      <c r="L14" s="144" t="s">
        <v>1337</v>
      </c>
      <c r="M14" s="35">
        <f>SUM(M12*0.15)</f>
        <v>2.6999999999999997</v>
      </c>
    </row>
    <row r="15" spans="1:13" ht="13.5" thickBot="1">
      <c r="A15" t="s">
        <v>1217</v>
      </c>
      <c r="B15" t="s">
        <v>1346</v>
      </c>
      <c r="C15">
        <v>18</v>
      </c>
      <c r="D15">
        <v>0</v>
      </c>
      <c r="E15">
        <f t="shared" si="0"/>
        <v>0</v>
      </c>
      <c r="F15">
        <f t="shared" si="1"/>
        <v>0</v>
      </c>
      <c r="G15">
        <f t="shared" si="2"/>
        <v>0</v>
      </c>
      <c r="I15" s="10" t="s">
        <v>1340</v>
      </c>
      <c r="J15">
        <f>SUM(G12:G18)</f>
        <v>21.299999999999997</v>
      </c>
      <c r="L15" s="145" t="s">
        <v>1339</v>
      </c>
      <c r="M15" s="33">
        <f>SUM(M12*0.3)</f>
        <v>5.3999999999999995</v>
      </c>
    </row>
    <row r="16" spans="1:13">
      <c r="A16" t="s">
        <v>1217</v>
      </c>
      <c r="B16" t="s">
        <v>1347</v>
      </c>
      <c r="C16">
        <v>0</v>
      </c>
      <c r="D16">
        <v>11</v>
      </c>
      <c r="E16">
        <f t="shared" si="0"/>
        <v>6.0500000000000007</v>
      </c>
      <c r="F16">
        <f t="shared" si="1"/>
        <v>1.65</v>
      </c>
      <c r="G16">
        <f t="shared" si="2"/>
        <v>3.3</v>
      </c>
    </row>
    <row r="17" spans="1:7">
      <c r="A17" t="s">
        <v>1217</v>
      </c>
      <c r="B17" t="s">
        <v>1348</v>
      </c>
      <c r="C17">
        <v>0</v>
      </c>
      <c r="D17">
        <v>14</v>
      </c>
      <c r="E17">
        <f t="shared" si="0"/>
        <v>7.7000000000000011</v>
      </c>
      <c r="F17">
        <f t="shared" si="1"/>
        <v>2.1</v>
      </c>
      <c r="G17">
        <f t="shared" si="2"/>
        <v>4.2</v>
      </c>
    </row>
    <row r="18" spans="1:7">
      <c r="A18" t="s">
        <v>1349</v>
      </c>
      <c r="B18" t="s">
        <v>1350</v>
      </c>
      <c r="C18">
        <v>0</v>
      </c>
      <c r="D18">
        <v>8</v>
      </c>
      <c r="E18">
        <f>SUM(D18*0.7)</f>
        <v>5.6</v>
      </c>
      <c r="F18">
        <f>SUM(D18*0)</f>
        <v>0</v>
      </c>
      <c r="G18">
        <f t="shared" si="2"/>
        <v>2.4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6:B11"/>
  <sheetViews>
    <sheetView workbookViewId="0" xr3:uid="{23B2C380-326F-580B-8990-D38B2516F165}">
      <selection activeCell="H15" sqref="H15"/>
    </sheetView>
  </sheetViews>
  <sheetFormatPr defaultRowHeight="12.75"/>
  <sheetData>
    <row r="6" spans="1:2">
      <c r="A6" s="10" t="s">
        <v>1351</v>
      </c>
      <c r="B6" s="10"/>
    </row>
    <row r="7" spans="1:2">
      <c r="B7" s="10"/>
    </row>
    <row r="8" spans="1:2">
      <c r="B8" s="10" t="s">
        <v>1352</v>
      </c>
    </row>
    <row r="9" spans="1:2">
      <c r="B9" s="10" t="s">
        <v>1353</v>
      </c>
    </row>
    <row r="10" spans="1:2">
      <c r="B10" s="10" t="s">
        <v>1354</v>
      </c>
    </row>
    <row r="11" spans="1:2">
      <c r="B11" s="10" t="s">
        <v>1355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tabSelected="1" workbookViewId="0" xr3:uid="{EE242A16-C6B8-5192-B120-522BC795EE76}">
      <selection activeCell="F36" sqref="F36"/>
    </sheetView>
  </sheetViews>
  <sheetFormatPr defaultRowHeight="12.75"/>
  <cols>
    <col min="1" max="1" width="14" bestFit="1" customWidth="1"/>
    <col min="2" max="2" width="18.140625" style="76" bestFit="1" customWidth="1"/>
    <col min="3" max="3" width="15" style="76" bestFit="1" customWidth="1"/>
  </cols>
  <sheetData>
    <row r="1" spans="1:9">
      <c r="B1" s="77" t="s">
        <v>1356</v>
      </c>
      <c r="C1" s="77" t="s">
        <v>1357</v>
      </c>
      <c r="D1" t="s">
        <v>1358</v>
      </c>
      <c r="E1" t="s">
        <v>1359</v>
      </c>
      <c r="F1" t="s">
        <v>1360</v>
      </c>
      <c r="G1" s="10" t="s">
        <v>1361</v>
      </c>
      <c r="H1" s="10" t="s">
        <v>1362</v>
      </c>
      <c r="I1" s="10" t="s">
        <v>1363</v>
      </c>
    </row>
    <row r="2" spans="1:9">
      <c r="A2" s="10" t="s">
        <v>1364</v>
      </c>
      <c r="B2" s="76" t="s">
        <v>1365</v>
      </c>
      <c r="C2" s="76">
        <v>1</v>
      </c>
      <c r="D2" t="s">
        <v>1366</v>
      </c>
      <c r="E2" t="s">
        <v>843</v>
      </c>
      <c r="F2">
        <v>40</v>
      </c>
    </row>
    <row r="3" spans="1:9">
      <c r="A3" s="10" t="s">
        <v>1367</v>
      </c>
      <c r="B3" s="76" t="s">
        <v>1368</v>
      </c>
      <c r="D3" t="s">
        <v>1366</v>
      </c>
      <c r="E3" t="s">
        <v>843</v>
      </c>
      <c r="F3">
        <v>20</v>
      </c>
    </row>
    <row r="4" spans="1:9">
      <c r="A4" s="10" t="s">
        <v>1364</v>
      </c>
      <c r="B4" s="76" t="s">
        <v>1369</v>
      </c>
      <c r="D4" t="s">
        <v>1370</v>
      </c>
      <c r="E4" t="s">
        <v>843</v>
      </c>
      <c r="F4">
        <v>35</v>
      </c>
    </row>
    <row r="5" spans="1:9">
      <c r="A5" s="10" t="s">
        <v>1371</v>
      </c>
      <c r="B5" s="77" t="s">
        <v>1372</v>
      </c>
      <c r="C5" s="76" t="s">
        <v>1373</v>
      </c>
      <c r="F5">
        <v>0</v>
      </c>
    </row>
    <row r="6" spans="1:9">
      <c r="A6" s="10" t="s">
        <v>1374</v>
      </c>
      <c r="B6" s="77" t="s">
        <v>1368</v>
      </c>
      <c r="C6" s="77" t="s">
        <v>1368</v>
      </c>
      <c r="D6" s="10" t="s">
        <v>843</v>
      </c>
      <c r="E6" s="10" t="s">
        <v>843</v>
      </c>
      <c r="F6">
        <v>0</v>
      </c>
      <c r="I6" s="10" t="s">
        <v>1375</v>
      </c>
    </row>
    <row r="8" spans="1:9">
      <c r="A8" s="10" t="s">
        <v>1376</v>
      </c>
      <c r="B8" s="76" t="s">
        <v>1368</v>
      </c>
      <c r="D8" t="s">
        <v>1366</v>
      </c>
      <c r="E8" t="s">
        <v>843</v>
      </c>
      <c r="F8">
        <v>0</v>
      </c>
    </row>
    <row r="9" spans="1:9">
      <c r="A9" s="10" t="s">
        <v>1376</v>
      </c>
      <c r="B9" s="76" t="s">
        <v>1368</v>
      </c>
      <c r="D9" t="s">
        <v>1366</v>
      </c>
      <c r="E9" t="s">
        <v>843</v>
      </c>
      <c r="F9">
        <v>0</v>
      </c>
    </row>
    <row r="10" spans="1:9">
      <c r="A10" s="10" t="s">
        <v>1377</v>
      </c>
      <c r="B10" s="76" t="s">
        <v>1368</v>
      </c>
      <c r="D10" t="s">
        <v>1366</v>
      </c>
      <c r="E10" t="s">
        <v>843</v>
      </c>
      <c r="F10">
        <v>70</v>
      </c>
    </row>
    <row r="11" spans="1:9">
      <c r="A11" s="10" t="s">
        <v>20</v>
      </c>
      <c r="B11" s="76" t="s">
        <v>1369</v>
      </c>
      <c r="D11" t="s">
        <v>1366</v>
      </c>
      <c r="E11" t="s">
        <v>843</v>
      </c>
      <c r="F11">
        <v>0</v>
      </c>
    </row>
    <row r="12" spans="1:9">
      <c r="A12" s="10" t="s">
        <v>1378</v>
      </c>
      <c r="B12" s="76" t="s">
        <v>1368</v>
      </c>
      <c r="D12" t="s">
        <v>1366</v>
      </c>
      <c r="E12" t="s">
        <v>843</v>
      </c>
      <c r="F12">
        <v>0</v>
      </c>
    </row>
    <row r="14" spans="1:9">
      <c r="A14" t="s">
        <v>1379</v>
      </c>
      <c r="B14" s="77" t="s">
        <v>1369</v>
      </c>
      <c r="D14" s="10" t="s">
        <v>1370</v>
      </c>
      <c r="E14" s="10" t="s">
        <v>843</v>
      </c>
      <c r="F14">
        <v>0</v>
      </c>
    </row>
    <row r="15" spans="1:9">
      <c r="A15" s="10" t="s">
        <v>1379</v>
      </c>
      <c r="B15" s="77" t="s">
        <v>1369</v>
      </c>
      <c r="D15" s="10" t="s">
        <v>1370</v>
      </c>
      <c r="E15" s="10" t="s">
        <v>842</v>
      </c>
      <c r="F15">
        <v>35</v>
      </c>
    </row>
    <row r="16" spans="1:9">
      <c r="A16" s="10"/>
      <c r="B16" s="77"/>
      <c r="D16" s="10"/>
      <c r="E16" s="10"/>
    </row>
    <row r="17" spans="1:10">
      <c r="A17" t="s">
        <v>1380</v>
      </c>
      <c r="B17" s="77" t="s">
        <v>1369</v>
      </c>
      <c r="D17" s="10" t="s">
        <v>842</v>
      </c>
      <c r="E17" s="10" t="s">
        <v>843</v>
      </c>
      <c r="F17">
        <v>45</v>
      </c>
    </row>
    <row r="18" spans="1:10">
      <c r="A18" s="10" t="s">
        <v>1381</v>
      </c>
      <c r="B18" s="77" t="s">
        <v>1368</v>
      </c>
      <c r="D18" s="10" t="s">
        <v>842</v>
      </c>
      <c r="E18" s="10" t="s">
        <v>843</v>
      </c>
      <c r="F18">
        <v>0</v>
      </c>
    </row>
    <row r="19" spans="1:10">
      <c r="A19" s="10" t="s">
        <v>1380</v>
      </c>
      <c r="B19" s="77" t="s">
        <v>1368</v>
      </c>
      <c r="D19" s="10" t="s">
        <v>1370</v>
      </c>
      <c r="E19" s="10" t="s">
        <v>843</v>
      </c>
      <c r="F19">
        <v>50</v>
      </c>
      <c r="I19" t="s">
        <v>1382</v>
      </c>
    </row>
    <row r="20" spans="1:10">
      <c r="A20" s="10"/>
      <c r="B20" s="77"/>
      <c r="D20" s="10"/>
      <c r="E20" s="10"/>
    </row>
    <row r="21" spans="1:10">
      <c r="A21" s="10" t="s">
        <v>23</v>
      </c>
      <c r="B21" s="77" t="s">
        <v>1383</v>
      </c>
      <c r="D21" s="10" t="s">
        <v>1384</v>
      </c>
      <c r="E21" s="10" t="s">
        <v>843</v>
      </c>
      <c r="F21">
        <v>260</v>
      </c>
      <c r="I21" s="10" t="s">
        <v>1385</v>
      </c>
      <c r="J21" s="10" t="s">
        <v>1386</v>
      </c>
    </row>
    <row r="22" spans="1:10">
      <c r="A22" s="10"/>
      <c r="B22" s="77"/>
      <c r="D22" s="10"/>
      <c r="E22" s="10"/>
      <c r="I22" s="10"/>
    </row>
    <row r="23" spans="1:10">
      <c r="A23" s="10" t="s">
        <v>1387</v>
      </c>
      <c r="B23" s="77"/>
      <c r="D23" s="10"/>
      <c r="E23" s="10" t="s">
        <v>740</v>
      </c>
      <c r="F23">
        <v>100</v>
      </c>
      <c r="I23" s="10"/>
    </row>
    <row r="24" spans="1:10">
      <c r="A24" s="10"/>
      <c r="B24" s="77"/>
      <c r="D24" s="10"/>
      <c r="E24" s="10"/>
      <c r="I24" s="10"/>
    </row>
    <row r="25" spans="1:10">
      <c r="A25" s="10" t="s">
        <v>1388</v>
      </c>
      <c r="B25" s="77"/>
      <c r="D25" s="10"/>
      <c r="E25" s="10" t="s">
        <v>740</v>
      </c>
      <c r="F25">
        <v>130</v>
      </c>
      <c r="I25" s="10"/>
    </row>
    <row r="26" spans="1:10">
      <c r="A26" s="10"/>
      <c r="B26" s="77"/>
      <c r="D26" s="10"/>
      <c r="E26" s="10"/>
      <c r="I26" s="10"/>
    </row>
    <row r="27" spans="1:10">
      <c r="A27" s="10" t="s">
        <v>1389</v>
      </c>
      <c r="B27" s="77"/>
      <c r="D27" s="10"/>
      <c r="E27" s="10" t="s">
        <v>740</v>
      </c>
      <c r="I27" s="10"/>
    </row>
    <row r="28" spans="1:10">
      <c r="A28" s="10"/>
      <c r="B28" s="77"/>
      <c r="D28" s="10"/>
      <c r="E28" s="10"/>
      <c r="I28" s="10"/>
    </row>
    <row r="29" spans="1:10">
      <c r="A29" s="10" t="s">
        <v>1390</v>
      </c>
      <c r="B29" s="77" t="s">
        <v>1373</v>
      </c>
      <c r="D29" s="10" t="s">
        <v>843</v>
      </c>
      <c r="E29" s="10" t="s">
        <v>843</v>
      </c>
      <c r="F29">
        <v>15</v>
      </c>
      <c r="I29" s="10"/>
    </row>
    <row r="30" spans="1:10">
      <c r="A30" s="10"/>
      <c r="B30" s="77"/>
      <c r="D30" s="10"/>
      <c r="E30" s="10"/>
      <c r="I30" s="10"/>
    </row>
    <row r="31" spans="1:10">
      <c r="A31" s="10" t="s">
        <v>1391</v>
      </c>
      <c r="B31" s="77" t="s">
        <v>1365</v>
      </c>
      <c r="D31" s="10" t="s">
        <v>843</v>
      </c>
      <c r="E31" s="10" t="s">
        <v>843</v>
      </c>
      <c r="F31">
        <v>120</v>
      </c>
      <c r="I31" s="10"/>
    </row>
    <row r="33" spans="1:6">
      <c r="A33" t="s">
        <v>1392</v>
      </c>
      <c r="D33" t="s">
        <v>1370</v>
      </c>
      <c r="E33" s="49">
        <v>1</v>
      </c>
      <c r="F33">
        <v>0</v>
      </c>
    </row>
    <row r="35" spans="1:6">
      <c r="A35" t="s">
        <v>1393</v>
      </c>
      <c r="B35" s="76" t="s">
        <v>1369</v>
      </c>
      <c r="D35" t="s">
        <v>1370</v>
      </c>
      <c r="E35" t="s">
        <v>843</v>
      </c>
      <c r="F35">
        <v>0</v>
      </c>
    </row>
    <row r="37" spans="1:6">
      <c r="A37" t="s">
        <v>1394</v>
      </c>
      <c r="B37" s="76" t="s">
        <v>1369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</sheetPr>
  <dimension ref="A1:Q80"/>
  <sheetViews>
    <sheetView workbookViewId="0" xr3:uid="{842E5F09-E766-5B8D-85AF-A39847EA96FD}">
      <selection activeCell="I11" sqref="I11"/>
    </sheetView>
  </sheetViews>
  <sheetFormatPr defaultColWidth="11.42578125" defaultRowHeight="12.75"/>
  <cols>
    <col min="1" max="1" width="19.7109375" style="1" bestFit="1" customWidth="1"/>
    <col min="2" max="2" width="11.42578125" style="78"/>
    <col min="3" max="3" width="32.7109375" bestFit="1" customWidth="1"/>
    <col min="8" max="8" width="6" customWidth="1"/>
    <col min="9" max="9" width="11.42578125" style="48"/>
    <col min="12" max="12" width="11.42578125" style="49"/>
    <col min="15" max="15" width="13.7109375" bestFit="1" customWidth="1"/>
  </cols>
  <sheetData>
    <row r="1" spans="1:17">
      <c r="A1" s="1" t="s">
        <v>63</v>
      </c>
      <c r="B1" s="78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70</v>
      </c>
      <c r="I1" s="58" t="s">
        <v>71</v>
      </c>
      <c r="J1" t="s">
        <v>72</v>
      </c>
      <c r="K1" t="s">
        <v>73</v>
      </c>
      <c r="L1" s="49" t="s">
        <v>74</v>
      </c>
      <c r="M1" t="s">
        <v>75</v>
      </c>
      <c r="N1" t="s">
        <v>1</v>
      </c>
      <c r="P1" s="10" t="s">
        <v>76</v>
      </c>
    </row>
    <row r="2" spans="1:17" s="106" customFormat="1">
      <c r="A2" s="104">
        <v>0</v>
      </c>
      <c r="B2" s="105" t="s">
        <v>77</v>
      </c>
      <c r="C2" s="106" t="s">
        <v>78</v>
      </c>
      <c r="I2" s="108"/>
      <c r="L2" s="109"/>
    </row>
    <row r="3" spans="1:17" s="10" customFormat="1">
      <c r="A3" s="14">
        <v>711719419426</v>
      </c>
      <c r="B3" s="96" t="s">
        <v>79</v>
      </c>
      <c r="C3" s="10" t="s">
        <v>80</v>
      </c>
      <c r="D3" s="10" t="s">
        <v>81</v>
      </c>
      <c r="E3" s="10">
        <v>4</v>
      </c>
      <c r="F3" s="10">
        <v>10</v>
      </c>
      <c r="G3" s="10">
        <v>18</v>
      </c>
      <c r="H3" s="64">
        <f t="shared" ref="H3:H46" si="0">MIN(F3:G3)</f>
        <v>10</v>
      </c>
      <c r="I3" s="58">
        <v>42378</v>
      </c>
      <c r="K3" s="10" t="s">
        <v>61</v>
      </c>
      <c r="L3" s="97"/>
      <c r="N3" s="10" t="s">
        <v>82</v>
      </c>
      <c r="O3" s="10" t="s">
        <v>83</v>
      </c>
    </row>
    <row r="4" spans="1:17">
      <c r="A4" s="1">
        <v>711719419921</v>
      </c>
      <c r="B4" s="78" t="s">
        <v>84</v>
      </c>
      <c r="C4" t="s">
        <v>85</v>
      </c>
      <c r="D4" t="s">
        <v>81</v>
      </c>
      <c r="E4">
        <v>4</v>
      </c>
      <c r="F4">
        <v>15</v>
      </c>
      <c r="G4" s="10">
        <v>23</v>
      </c>
      <c r="H4" s="64">
        <f t="shared" si="0"/>
        <v>15</v>
      </c>
      <c r="I4" s="58">
        <v>42372</v>
      </c>
      <c r="K4" s="10" t="s">
        <v>86</v>
      </c>
      <c r="N4" t="s">
        <v>82</v>
      </c>
      <c r="O4" t="s">
        <v>87</v>
      </c>
      <c r="P4" s="10"/>
    </row>
    <row r="5" spans="1:17">
      <c r="A5" s="1">
        <v>0</v>
      </c>
      <c r="B5" s="78">
        <v>94221</v>
      </c>
      <c r="C5" s="10" t="s">
        <v>88</v>
      </c>
      <c r="D5" s="10" t="s">
        <v>81</v>
      </c>
      <c r="E5">
        <v>30</v>
      </c>
      <c r="F5">
        <v>72</v>
      </c>
      <c r="G5" s="10" t="s">
        <v>89</v>
      </c>
      <c r="H5" s="64">
        <f t="shared" si="0"/>
        <v>72</v>
      </c>
      <c r="I5" s="58">
        <v>42372</v>
      </c>
      <c r="K5" s="10" t="s">
        <v>61</v>
      </c>
      <c r="L5" s="49">
        <v>10</v>
      </c>
      <c r="M5" s="10" t="s">
        <v>90</v>
      </c>
      <c r="N5" s="10" t="s">
        <v>91</v>
      </c>
      <c r="P5" s="10"/>
      <c r="Q5" s="10" t="s">
        <v>83</v>
      </c>
    </row>
    <row r="6" spans="1:17">
      <c r="A6" s="1">
        <v>0</v>
      </c>
      <c r="B6" s="78">
        <v>94221</v>
      </c>
      <c r="C6" s="10" t="s">
        <v>88</v>
      </c>
      <c r="D6" s="10" t="s">
        <v>81</v>
      </c>
      <c r="E6">
        <v>4</v>
      </c>
      <c r="F6">
        <v>72</v>
      </c>
      <c r="G6" s="10" t="s">
        <v>89</v>
      </c>
      <c r="H6" s="64">
        <f t="shared" ref="H6" si="1">MIN(F6:G6)</f>
        <v>72</v>
      </c>
      <c r="I6" s="58">
        <v>42372</v>
      </c>
      <c r="K6" s="10" t="s">
        <v>61</v>
      </c>
      <c r="L6" s="49">
        <v>10</v>
      </c>
      <c r="M6" s="10" t="s">
        <v>90</v>
      </c>
      <c r="N6" s="10" t="s">
        <v>91</v>
      </c>
      <c r="P6" s="10"/>
      <c r="Q6" s="10" t="s">
        <v>83</v>
      </c>
    </row>
    <row r="7" spans="1:17">
      <c r="A7" s="1">
        <v>0</v>
      </c>
      <c r="B7" s="96" t="s">
        <v>92</v>
      </c>
      <c r="C7" s="10" t="s">
        <v>93</v>
      </c>
      <c r="D7" s="10" t="s">
        <v>81</v>
      </c>
      <c r="E7">
        <v>10</v>
      </c>
      <c r="F7">
        <v>50</v>
      </c>
      <c r="G7">
        <v>73</v>
      </c>
      <c r="H7" s="64">
        <f t="shared" si="0"/>
        <v>50</v>
      </c>
      <c r="I7" s="48">
        <v>42354</v>
      </c>
      <c r="K7" s="10" t="s">
        <v>61</v>
      </c>
      <c r="M7" s="10"/>
      <c r="N7" s="10"/>
      <c r="P7" s="10"/>
      <c r="Q7" s="10"/>
    </row>
    <row r="8" spans="1:17">
      <c r="A8" s="1">
        <v>711719445128</v>
      </c>
      <c r="B8" s="96" t="s">
        <v>94</v>
      </c>
      <c r="C8" s="10" t="s">
        <v>95</v>
      </c>
      <c r="D8" s="10" t="s">
        <v>81</v>
      </c>
      <c r="E8">
        <v>4</v>
      </c>
      <c r="F8">
        <v>13</v>
      </c>
      <c r="G8">
        <v>14</v>
      </c>
      <c r="H8" s="64">
        <f t="shared" si="0"/>
        <v>13</v>
      </c>
      <c r="I8" s="48">
        <v>42372</v>
      </c>
      <c r="K8" s="10" t="s">
        <v>96</v>
      </c>
      <c r="M8" s="10"/>
      <c r="N8" s="10"/>
      <c r="P8" s="10"/>
      <c r="Q8" s="10"/>
    </row>
    <row r="9" spans="1:17">
      <c r="A9" s="1">
        <v>0</v>
      </c>
      <c r="B9" s="96" t="s">
        <v>97</v>
      </c>
      <c r="C9" s="10" t="s">
        <v>98</v>
      </c>
      <c r="D9" s="10" t="s">
        <v>81</v>
      </c>
      <c r="E9">
        <v>10</v>
      </c>
      <c r="F9">
        <v>45</v>
      </c>
      <c r="G9">
        <v>35</v>
      </c>
      <c r="H9" s="64">
        <f t="shared" si="0"/>
        <v>35</v>
      </c>
      <c r="I9" s="48">
        <v>42354</v>
      </c>
      <c r="K9" s="10" t="s">
        <v>96</v>
      </c>
      <c r="M9" s="10"/>
      <c r="N9" s="10"/>
      <c r="P9" s="10"/>
      <c r="Q9" s="10"/>
    </row>
    <row r="10" spans="1:17">
      <c r="A10" s="1">
        <v>0</v>
      </c>
      <c r="B10" s="96" t="s">
        <v>99</v>
      </c>
      <c r="C10" s="10" t="s">
        <v>100</v>
      </c>
      <c r="D10" s="10" t="s">
        <v>81</v>
      </c>
      <c r="E10">
        <v>10</v>
      </c>
      <c r="F10">
        <v>40</v>
      </c>
      <c r="G10" s="10">
        <v>70</v>
      </c>
      <c r="H10" s="64">
        <f t="shared" si="0"/>
        <v>40</v>
      </c>
      <c r="I10" s="48">
        <v>42372</v>
      </c>
      <c r="K10" s="10" t="s">
        <v>96</v>
      </c>
      <c r="M10" s="10"/>
      <c r="N10" s="10"/>
      <c r="P10" s="10"/>
      <c r="Q10" s="10"/>
    </row>
    <row r="11" spans="1:17">
      <c r="A11" s="1">
        <v>711719460824</v>
      </c>
      <c r="B11" s="96" t="s">
        <v>101</v>
      </c>
      <c r="C11" s="10" t="s">
        <v>102</v>
      </c>
      <c r="D11" s="10" t="s">
        <v>81</v>
      </c>
      <c r="E11">
        <v>38</v>
      </c>
      <c r="F11">
        <v>53</v>
      </c>
      <c r="G11" s="10">
        <v>80</v>
      </c>
      <c r="H11" s="64">
        <f t="shared" si="0"/>
        <v>53</v>
      </c>
      <c r="I11" s="48">
        <v>42442</v>
      </c>
      <c r="K11" s="10" t="s">
        <v>96</v>
      </c>
      <c r="M11" s="10"/>
      <c r="N11" s="10" t="s">
        <v>82</v>
      </c>
      <c r="P11" s="10"/>
      <c r="Q11" s="10"/>
    </row>
    <row r="12" spans="1:17">
      <c r="A12" s="1">
        <v>711719469124</v>
      </c>
      <c r="B12" s="96" t="s">
        <v>103</v>
      </c>
      <c r="C12" s="10" t="s">
        <v>104</v>
      </c>
      <c r="D12" s="10" t="s">
        <v>105</v>
      </c>
      <c r="E12">
        <v>5</v>
      </c>
      <c r="F12">
        <v>25</v>
      </c>
      <c r="G12" s="10">
        <v>45</v>
      </c>
      <c r="H12" s="64">
        <f t="shared" si="0"/>
        <v>25</v>
      </c>
      <c r="I12" s="48">
        <v>42378</v>
      </c>
      <c r="K12" s="10" t="s">
        <v>86</v>
      </c>
      <c r="M12" s="10"/>
      <c r="N12" s="10" t="s">
        <v>82</v>
      </c>
      <c r="O12" t="s">
        <v>106</v>
      </c>
      <c r="P12" s="10"/>
      <c r="Q12" s="10"/>
    </row>
    <row r="13" spans="1:17">
      <c r="A13" s="1">
        <v>83717170136</v>
      </c>
      <c r="B13" s="78" t="s">
        <v>107</v>
      </c>
      <c r="C13" s="10" t="s">
        <v>108</v>
      </c>
      <c r="D13" s="10" t="s">
        <v>81</v>
      </c>
      <c r="E13">
        <v>10</v>
      </c>
      <c r="F13">
        <v>74</v>
      </c>
      <c r="G13">
        <v>56</v>
      </c>
      <c r="H13" s="64">
        <f t="shared" si="0"/>
        <v>56</v>
      </c>
      <c r="I13" s="48">
        <v>42354</v>
      </c>
      <c r="K13" s="10" t="s">
        <v>96</v>
      </c>
      <c r="M13" s="10"/>
      <c r="N13" s="10"/>
      <c r="P13" s="10"/>
      <c r="Q13" s="10"/>
    </row>
    <row r="14" spans="1:17">
      <c r="A14" s="1">
        <v>52145880276</v>
      </c>
      <c r="B14" s="96" t="s">
        <v>109</v>
      </c>
      <c r="C14" s="10" t="s">
        <v>110</v>
      </c>
      <c r="D14" s="10" t="s">
        <v>81</v>
      </c>
      <c r="E14">
        <v>4</v>
      </c>
      <c r="F14">
        <v>30</v>
      </c>
      <c r="G14">
        <v>65</v>
      </c>
      <c r="H14" s="64">
        <f t="shared" si="0"/>
        <v>30</v>
      </c>
      <c r="I14" s="48">
        <v>42378</v>
      </c>
      <c r="K14" s="10" t="s">
        <v>61</v>
      </c>
      <c r="M14" s="10"/>
      <c r="N14" s="10" t="s">
        <v>111</v>
      </c>
      <c r="P14" s="10"/>
      <c r="Q14" s="10"/>
    </row>
    <row r="15" spans="1:17" s="112" customFormat="1">
      <c r="A15" s="110"/>
      <c r="B15" s="111" t="s">
        <v>112</v>
      </c>
      <c r="C15" s="112" t="s">
        <v>110</v>
      </c>
      <c r="D15" s="112" t="s">
        <v>81</v>
      </c>
      <c r="H15" s="119"/>
      <c r="I15" s="113"/>
      <c r="L15" s="114"/>
    </row>
    <row r="16" spans="1:17">
      <c r="A16" s="1">
        <v>735009400628</v>
      </c>
      <c r="B16" s="78" t="s">
        <v>113</v>
      </c>
      <c r="C16" s="10" t="s">
        <v>114</v>
      </c>
      <c r="D16" s="10" t="s">
        <v>81</v>
      </c>
      <c r="E16">
        <v>4</v>
      </c>
      <c r="F16">
        <v>8.5</v>
      </c>
      <c r="G16" s="10" t="s">
        <v>89</v>
      </c>
      <c r="H16" s="64">
        <f t="shared" si="0"/>
        <v>8.5</v>
      </c>
      <c r="I16" s="48">
        <v>42372</v>
      </c>
      <c r="K16" s="10" t="s">
        <v>96</v>
      </c>
      <c r="M16" s="10"/>
      <c r="N16" s="10" t="s">
        <v>115</v>
      </c>
      <c r="P16" s="10"/>
      <c r="Q16" s="10"/>
    </row>
    <row r="17" spans="1:17">
      <c r="A17" s="1">
        <v>18949010052</v>
      </c>
      <c r="B17" s="96" t="s">
        <v>116</v>
      </c>
      <c r="C17" s="10" t="s">
        <v>117</v>
      </c>
      <c r="D17" s="10" t="s">
        <v>81</v>
      </c>
      <c r="E17">
        <v>68</v>
      </c>
      <c r="F17">
        <v>73</v>
      </c>
      <c r="G17">
        <v>105</v>
      </c>
      <c r="H17" s="64">
        <f t="shared" si="0"/>
        <v>73</v>
      </c>
      <c r="I17" s="48">
        <v>42354</v>
      </c>
      <c r="K17" s="10" t="s">
        <v>61</v>
      </c>
      <c r="M17" s="10"/>
      <c r="N17" s="10"/>
      <c r="P17" s="10"/>
      <c r="Q17" s="10"/>
    </row>
    <row r="18" spans="1:17">
      <c r="A18" s="1">
        <v>662248998015</v>
      </c>
      <c r="B18" s="96" t="s">
        <v>118</v>
      </c>
      <c r="C18" s="10" t="s">
        <v>119</v>
      </c>
      <c r="D18" s="10" t="s">
        <v>81</v>
      </c>
      <c r="E18">
        <v>10</v>
      </c>
      <c r="F18">
        <v>45</v>
      </c>
      <c r="G18">
        <v>55</v>
      </c>
      <c r="H18" s="64">
        <f t="shared" si="0"/>
        <v>45</v>
      </c>
      <c r="I18" s="48">
        <v>42354</v>
      </c>
      <c r="K18" s="10" t="s">
        <v>96</v>
      </c>
      <c r="M18" s="10"/>
      <c r="N18" s="10"/>
      <c r="P18" s="10"/>
      <c r="Q18" s="10"/>
    </row>
    <row r="19" spans="1:17">
      <c r="A19" s="1">
        <v>14633079764</v>
      </c>
      <c r="B19" s="96" t="s">
        <v>120</v>
      </c>
      <c r="C19" s="10" t="s">
        <v>121</v>
      </c>
      <c r="D19" s="10" t="s">
        <v>81</v>
      </c>
      <c r="E19">
        <v>4</v>
      </c>
      <c r="F19">
        <v>20</v>
      </c>
      <c r="G19">
        <v>20</v>
      </c>
      <c r="H19" s="64">
        <f t="shared" si="0"/>
        <v>20</v>
      </c>
      <c r="I19" s="48">
        <v>42372</v>
      </c>
      <c r="K19" s="10" t="s">
        <v>96</v>
      </c>
      <c r="M19" s="10"/>
      <c r="N19" s="10" t="s">
        <v>122</v>
      </c>
      <c r="O19" t="s">
        <v>83</v>
      </c>
      <c r="P19" s="10"/>
      <c r="Q19" s="10"/>
    </row>
    <row r="20" spans="1:17">
      <c r="A20" s="1">
        <v>650008199024</v>
      </c>
      <c r="B20" s="78">
        <v>854</v>
      </c>
      <c r="C20" t="s">
        <v>54</v>
      </c>
      <c r="D20" s="10" t="s">
        <v>81</v>
      </c>
      <c r="E20">
        <v>35</v>
      </c>
      <c r="F20" s="39">
        <v>66</v>
      </c>
      <c r="G20">
        <v>78</v>
      </c>
      <c r="H20" s="64">
        <f t="shared" si="0"/>
        <v>66</v>
      </c>
      <c r="I20" s="48">
        <v>42354</v>
      </c>
      <c r="K20" t="s">
        <v>61</v>
      </c>
      <c r="M20" t="s">
        <v>90</v>
      </c>
      <c r="N20" t="s">
        <v>123</v>
      </c>
    </row>
    <row r="21" spans="1:17">
      <c r="A21" s="1">
        <v>735009407825</v>
      </c>
      <c r="B21" s="78" t="s">
        <v>124</v>
      </c>
      <c r="C21" t="s">
        <v>78</v>
      </c>
      <c r="D21" s="10" t="s">
        <v>81</v>
      </c>
      <c r="E21">
        <v>4</v>
      </c>
      <c r="F21" s="10">
        <v>23</v>
      </c>
      <c r="G21">
        <v>18</v>
      </c>
      <c r="H21" s="64">
        <f t="shared" si="0"/>
        <v>18</v>
      </c>
      <c r="I21" s="48">
        <v>42372</v>
      </c>
      <c r="K21" t="s">
        <v>86</v>
      </c>
      <c r="N21" t="s">
        <v>115</v>
      </c>
    </row>
    <row r="22" spans="1:17">
      <c r="A22" s="1">
        <v>662248999050</v>
      </c>
      <c r="B22" s="78">
        <v>879</v>
      </c>
      <c r="C22" t="s">
        <v>55</v>
      </c>
      <c r="D22" s="10" t="s">
        <v>81</v>
      </c>
      <c r="E22">
        <v>20</v>
      </c>
      <c r="F22">
        <v>38</v>
      </c>
      <c r="G22">
        <v>25</v>
      </c>
      <c r="H22" s="64">
        <f t="shared" si="0"/>
        <v>25</v>
      </c>
      <c r="I22" s="48">
        <v>42415</v>
      </c>
      <c r="K22" t="s">
        <v>125</v>
      </c>
      <c r="M22" t="s">
        <v>90</v>
      </c>
      <c r="N22" t="s">
        <v>91</v>
      </c>
      <c r="O22" t="s">
        <v>126</v>
      </c>
    </row>
    <row r="23" spans="1:17" s="32" customFormat="1">
      <c r="A23" s="17">
        <v>442248999043</v>
      </c>
      <c r="B23" s="79">
        <v>892</v>
      </c>
      <c r="C23" s="32" t="s">
        <v>127</v>
      </c>
      <c r="D23" s="32" t="s">
        <v>81</v>
      </c>
      <c r="E23" s="32">
        <v>50</v>
      </c>
      <c r="F23" s="40">
        <v>38</v>
      </c>
      <c r="G23" s="32">
        <v>40</v>
      </c>
      <c r="H23" s="64">
        <f t="shared" si="0"/>
        <v>38</v>
      </c>
      <c r="I23" s="48">
        <v>42415</v>
      </c>
      <c r="K23" s="32" t="s">
        <v>61</v>
      </c>
      <c r="L23" s="51">
        <v>10</v>
      </c>
      <c r="M23" s="32" t="s">
        <v>90</v>
      </c>
      <c r="N23" s="32" t="s">
        <v>91</v>
      </c>
    </row>
    <row r="24" spans="1:17" s="100" customFormat="1">
      <c r="A24" s="98" t="s">
        <v>128</v>
      </c>
      <c r="B24" s="99">
        <v>900</v>
      </c>
      <c r="C24" s="100" t="s">
        <v>129</v>
      </c>
      <c r="H24" s="101">
        <f t="shared" si="0"/>
        <v>0</v>
      </c>
      <c r="I24" s="102"/>
      <c r="K24" s="100" t="s">
        <v>61</v>
      </c>
      <c r="L24" s="103">
        <v>10</v>
      </c>
      <c r="N24" s="100" t="s">
        <v>91</v>
      </c>
      <c r="O24" s="100" t="s">
        <v>126</v>
      </c>
    </row>
    <row r="25" spans="1:17" s="100" customFormat="1">
      <c r="A25" s="98"/>
      <c r="B25" s="99">
        <v>908</v>
      </c>
      <c r="C25" s="100" t="s">
        <v>130</v>
      </c>
      <c r="D25" s="100" t="s">
        <v>81</v>
      </c>
      <c r="H25" s="101">
        <f t="shared" si="0"/>
        <v>0</v>
      </c>
      <c r="I25" s="102"/>
      <c r="L25" s="103"/>
    </row>
    <row r="26" spans="1:17" s="100" customFormat="1">
      <c r="A26" s="98"/>
      <c r="B26" s="99">
        <v>909</v>
      </c>
      <c r="C26" s="100" t="s">
        <v>131</v>
      </c>
      <c r="D26" s="100" t="s">
        <v>81</v>
      </c>
      <c r="H26" s="101">
        <f t="shared" si="0"/>
        <v>0</v>
      </c>
      <c r="I26" s="102"/>
      <c r="L26" s="103"/>
    </row>
    <row r="27" spans="1:17" s="100" customFormat="1">
      <c r="A27" s="98"/>
      <c r="B27" s="99">
        <v>910</v>
      </c>
      <c r="C27" s="100" t="s">
        <v>132</v>
      </c>
      <c r="D27" s="100" t="s">
        <v>81</v>
      </c>
      <c r="H27" s="101">
        <f t="shared" si="0"/>
        <v>0</v>
      </c>
      <c r="I27" s="102"/>
      <c r="L27" s="103"/>
    </row>
    <row r="28" spans="1:17" s="10" customFormat="1">
      <c r="A28" s="14">
        <v>18946010090</v>
      </c>
      <c r="B28" s="96" t="s">
        <v>133</v>
      </c>
      <c r="C28" s="10" t="s">
        <v>134</v>
      </c>
      <c r="D28" s="10" t="s">
        <v>81</v>
      </c>
      <c r="E28" s="10">
        <v>50</v>
      </c>
      <c r="F28" s="10">
        <v>49</v>
      </c>
      <c r="G28" s="10">
        <v>95</v>
      </c>
      <c r="H28" s="64">
        <f t="shared" si="0"/>
        <v>49</v>
      </c>
      <c r="I28" s="48">
        <v>42354</v>
      </c>
      <c r="K28" s="10" t="s">
        <v>96</v>
      </c>
      <c r="L28" s="97"/>
    </row>
    <row r="29" spans="1:17">
      <c r="A29" s="1">
        <v>40198001076</v>
      </c>
      <c r="B29" s="78">
        <v>918</v>
      </c>
      <c r="C29" t="s">
        <v>135</v>
      </c>
      <c r="D29" s="10" t="s">
        <v>81</v>
      </c>
      <c r="E29">
        <v>40</v>
      </c>
      <c r="F29" s="39">
        <v>62</v>
      </c>
      <c r="G29">
        <v>55</v>
      </c>
      <c r="H29" s="64">
        <f t="shared" si="0"/>
        <v>55</v>
      </c>
      <c r="I29" s="48">
        <v>42354</v>
      </c>
      <c r="K29" s="10" t="s">
        <v>61</v>
      </c>
      <c r="L29" s="49">
        <v>7</v>
      </c>
      <c r="M29" t="s">
        <v>90</v>
      </c>
      <c r="N29" t="s">
        <v>136</v>
      </c>
    </row>
    <row r="30" spans="1:17" s="10" customFormat="1">
      <c r="A30" s="14">
        <v>662248900032</v>
      </c>
      <c r="B30" s="96" t="s">
        <v>137</v>
      </c>
      <c r="C30" s="10" t="s">
        <v>138</v>
      </c>
      <c r="D30" s="10" t="s">
        <v>81</v>
      </c>
      <c r="E30" s="10">
        <v>10</v>
      </c>
      <c r="F30" s="10">
        <v>50</v>
      </c>
      <c r="G30" s="10">
        <v>60</v>
      </c>
      <c r="H30" s="64">
        <f t="shared" si="0"/>
        <v>50</v>
      </c>
      <c r="I30" s="48">
        <v>42354</v>
      </c>
      <c r="K30" s="10" t="s">
        <v>96</v>
      </c>
      <c r="L30" s="97"/>
    </row>
    <row r="31" spans="1:17" s="10" customFormat="1">
      <c r="A31" s="14">
        <v>4787512200</v>
      </c>
      <c r="B31" s="96" t="s">
        <v>139</v>
      </c>
      <c r="C31" s="10" t="s">
        <v>140</v>
      </c>
      <c r="D31" s="10" t="s">
        <v>81</v>
      </c>
      <c r="E31" s="10">
        <v>5</v>
      </c>
      <c r="F31" s="10">
        <v>59</v>
      </c>
      <c r="G31" s="10">
        <v>39</v>
      </c>
      <c r="H31" s="64">
        <f t="shared" si="0"/>
        <v>39</v>
      </c>
      <c r="I31" s="48">
        <v>42354</v>
      </c>
      <c r="K31" s="10" t="s">
        <v>96</v>
      </c>
      <c r="L31" s="97"/>
    </row>
    <row r="32" spans="1:17" s="10" customFormat="1">
      <c r="A32" s="14">
        <v>662248900025</v>
      </c>
      <c r="B32" s="96" t="s">
        <v>141</v>
      </c>
      <c r="C32" s="10" t="s">
        <v>142</v>
      </c>
      <c r="D32" s="10" t="s">
        <v>81</v>
      </c>
      <c r="E32" s="10">
        <v>20</v>
      </c>
      <c r="F32" s="10">
        <v>68</v>
      </c>
      <c r="G32" s="10">
        <v>85</v>
      </c>
      <c r="H32" s="64">
        <f t="shared" si="0"/>
        <v>68</v>
      </c>
      <c r="I32" s="48">
        <v>42354</v>
      </c>
      <c r="K32" s="10" t="s">
        <v>96</v>
      </c>
      <c r="L32" s="97"/>
    </row>
    <row r="33" spans="1:17" s="32" customFormat="1">
      <c r="A33" s="17">
        <v>66224890018</v>
      </c>
      <c r="B33" s="79" t="s">
        <v>143</v>
      </c>
      <c r="C33" s="32" t="s">
        <v>57</v>
      </c>
      <c r="D33" s="32" t="s">
        <v>81</v>
      </c>
      <c r="E33" s="32">
        <v>20</v>
      </c>
      <c r="F33" s="32">
        <v>55</v>
      </c>
      <c r="G33" s="32">
        <v>59</v>
      </c>
      <c r="H33" s="64">
        <f t="shared" si="0"/>
        <v>55</v>
      </c>
      <c r="I33" s="48">
        <v>42354</v>
      </c>
      <c r="K33" s="10" t="s">
        <v>125</v>
      </c>
      <c r="L33" s="51"/>
    </row>
    <row r="34" spans="1:17" s="32" customFormat="1">
      <c r="A34" s="17">
        <v>662248900193</v>
      </c>
      <c r="B34" s="79" t="s">
        <v>144</v>
      </c>
      <c r="C34" s="32" t="s">
        <v>145</v>
      </c>
      <c r="D34" s="32" t="s">
        <v>81</v>
      </c>
      <c r="E34" s="32">
        <v>10</v>
      </c>
      <c r="F34" s="32">
        <v>67</v>
      </c>
      <c r="G34" s="32">
        <v>43</v>
      </c>
      <c r="H34" s="64">
        <f t="shared" si="0"/>
        <v>43</v>
      </c>
      <c r="I34" s="48">
        <v>42354</v>
      </c>
      <c r="K34" s="10" t="s">
        <v>96</v>
      </c>
      <c r="L34" s="51"/>
    </row>
    <row r="35" spans="1:17" s="32" customFormat="1">
      <c r="A35" s="17">
        <v>735366010713</v>
      </c>
      <c r="B35" s="79" t="s">
        <v>146</v>
      </c>
      <c r="C35" s="32" t="s">
        <v>147</v>
      </c>
      <c r="D35" s="32" t="s">
        <v>81</v>
      </c>
      <c r="E35" s="32">
        <v>60</v>
      </c>
      <c r="F35" s="39">
        <v>112</v>
      </c>
      <c r="G35" s="37">
        <v>189</v>
      </c>
      <c r="H35" s="64">
        <f t="shared" si="0"/>
        <v>112</v>
      </c>
      <c r="I35" s="48">
        <v>42415</v>
      </c>
      <c r="K35" s="10" t="s">
        <v>96</v>
      </c>
      <c r="L35" s="51"/>
      <c r="N35" s="32" t="s">
        <v>148</v>
      </c>
    </row>
    <row r="36" spans="1:17" s="106" customFormat="1">
      <c r="A36" s="104"/>
      <c r="B36" s="105" t="s">
        <v>149</v>
      </c>
      <c r="C36" s="106" t="s">
        <v>57</v>
      </c>
      <c r="D36" s="106" t="s">
        <v>81</v>
      </c>
      <c r="H36" s="107"/>
      <c r="I36" s="108"/>
      <c r="L36" s="109"/>
    </row>
    <row r="37" spans="1:17">
      <c r="A37" s="1" t="s">
        <v>150</v>
      </c>
      <c r="B37" s="78">
        <v>1115</v>
      </c>
      <c r="C37" t="s">
        <v>56</v>
      </c>
      <c r="D37" s="10" t="s">
        <v>81</v>
      </c>
      <c r="E37">
        <v>30</v>
      </c>
      <c r="F37">
        <v>94</v>
      </c>
      <c r="G37" s="32">
        <v>45</v>
      </c>
      <c r="H37" s="64">
        <f t="shared" si="0"/>
        <v>45</v>
      </c>
      <c r="I37" s="48">
        <v>42415</v>
      </c>
      <c r="K37" t="s">
        <v>125</v>
      </c>
      <c r="M37" s="10" t="s">
        <v>90</v>
      </c>
      <c r="N37" t="s">
        <v>151</v>
      </c>
    </row>
    <row r="38" spans="1:17" s="72" customFormat="1">
      <c r="A38" s="70">
        <v>695981100032</v>
      </c>
      <c r="B38" s="80">
        <v>1156</v>
      </c>
      <c r="C38" s="72" t="s">
        <v>152</v>
      </c>
      <c r="D38" s="72" t="s">
        <v>81</v>
      </c>
      <c r="E38" s="72">
        <v>110</v>
      </c>
      <c r="F38" s="37">
        <v>197</v>
      </c>
      <c r="G38" s="72" t="s">
        <v>89</v>
      </c>
      <c r="H38" s="64">
        <f t="shared" si="0"/>
        <v>197</v>
      </c>
      <c r="I38" s="73">
        <v>42415</v>
      </c>
      <c r="K38" s="72" t="s">
        <v>96</v>
      </c>
      <c r="L38" s="71"/>
    </row>
    <row r="39" spans="1:17" s="112" customFormat="1">
      <c r="A39" s="110"/>
      <c r="B39" s="111">
        <v>1179</v>
      </c>
      <c r="C39" s="112" t="s">
        <v>152</v>
      </c>
      <c r="D39" s="112" t="s">
        <v>81</v>
      </c>
      <c r="H39" s="101">
        <f t="shared" si="0"/>
        <v>0</v>
      </c>
      <c r="I39" s="113"/>
      <c r="L39" s="114"/>
    </row>
    <row r="40" spans="1:17" s="112" customFormat="1">
      <c r="A40" s="110"/>
      <c r="B40" s="111" t="s">
        <v>153</v>
      </c>
      <c r="C40" s="112" t="s">
        <v>147</v>
      </c>
      <c r="D40" s="112" t="s">
        <v>81</v>
      </c>
      <c r="H40" s="101">
        <v>0</v>
      </c>
      <c r="I40" s="113"/>
      <c r="L40" s="114"/>
    </row>
    <row r="41" spans="1:17" s="112" customFormat="1">
      <c r="A41" s="110"/>
      <c r="B41" s="111" t="s">
        <v>154</v>
      </c>
      <c r="C41" s="112" t="s">
        <v>147</v>
      </c>
      <c r="D41" s="112" t="s">
        <v>81</v>
      </c>
      <c r="H41" s="101">
        <v>0</v>
      </c>
      <c r="I41" s="113"/>
      <c r="L41" s="114"/>
    </row>
    <row r="42" spans="1:17">
      <c r="A42" s="1">
        <v>662248900162</v>
      </c>
      <c r="B42" s="78">
        <v>1251</v>
      </c>
      <c r="C42" s="32" t="s">
        <v>155</v>
      </c>
      <c r="D42" s="38" t="s">
        <v>81</v>
      </c>
      <c r="E42">
        <v>50</v>
      </c>
      <c r="F42" s="40">
        <v>49</v>
      </c>
      <c r="G42">
        <v>30</v>
      </c>
      <c r="H42" s="64">
        <f t="shared" si="0"/>
        <v>30</v>
      </c>
      <c r="I42" s="48">
        <v>42415</v>
      </c>
      <c r="K42" s="10" t="s">
        <v>61</v>
      </c>
      <c r="L42" s="49">
        <v>10</v>
      </c>
      <c r="M42" s="10" t="s">
        <v>90</v>
      </c>
      <c r="N42" s="10" t="s">
        <v>91</v>
      </c>
    </row>
    <row r="43" spans="1:17" s="116" customFormat="1">
      <c r="A43" s="115"/>
      <c r="B43" s="99">
        <v>1295</v>
      </c>
      <c r="C43" s="100" t="s">
        <v>155</v>
      </c>
      <c r="D43" s="100" t="s">
        <v>81</v>
      </c>
      <c r="H43" s="101">
        <f t="shared" si="0"/>
        <v>0</v>
      </c>
      <c r="I43" s="117"/>
      <c r="L43" s="118"/>
      <c r="M43" s="139"/>
    </row>
    <row r="44" spans="1:17" s="116" customFormat="1">
      <c r="A44" s="115"/>
      <c r="B44" s="99">
        <v>1296</v>
      </c>
      <c r="C44" s="100" t="s">
        <v>155</v>
      </c>
      <c r="D44" s="100" t="s">
        <v>81</v>
      </c>
      <c r="H44" s="101">
        <f t="shared" si="0"/>
        <v>0</v>
      </c>
      <c r="I44" s="117"/>
      <c r="L44" s="118"/>
      <c r="M44" s="139"/>
    </row>
    <row r="45" spans="1:17" s="116" customFormat="1">
      <c r="A45" s="115"/>
      <c r="B45" s="99">
        <v>1297</v>
      </c>
      <c r="C45" s="100" t="s">
        <v>155</v>
      </c>
      <c r="D45" s="100" t="s">
        <v>81</v>
      </c>
      <c r="H45" s="101">
        <f t="shared" si="0"/>
        <v>0</v>
      </c>
      <c r="I45" s="117"/>
      <c r="L45" s="118"/>
      <c r="M45" s="139"/>
    </row>
    <row r="46" spans="1:17">
      <c r="B46" s="78">
        <v>1360</v>
      </c>
      <c r="C46" s="10" t="s">
        <v>156</v>
      </c>
      <c r="D46" s="10" t="s">
        <v>81</v>
      </c>
      <c r="E46">
        <v>20</v>
      </c>
      <c r="F46" s="40">
        <v>30</v>
      </c>
      <c r="G46">
        <v>25</v>
      </c>
      <c r="H46" s="64">
        <f t="shared" si="0"/>
        <v>25</v>
      </c>
      <c r="I46" s="48">
        <v>42415</v>
      </c>
      <c r="K46" t="s">
        <v>61</v>
      </c>
      <c r="L46" s="49">
        <v>10</v>
      </c>
      <c r="M46" s="10" t="s">
        <v>90</v>
      </c>
      <c r="N46" t="s">
        <v>91</v>
      </c>
      <c r="O46" t="s">
        <v>126</v>
      </c>
      <c r="Q46" t="s">
        <v>83</v>
      </c>
    </row>
    <row r="47" spans="1:17" s="100" customFormat="1">
      <c r="A47" s="98"/>
      <c r="B47" s="99">
        <v>1363</v>
      </c>
      <c r="C47" s="100" t="s">
        <v>157</v>
      </c>
      <c r="I47" s="102"/>
      <c r="K47" s="100" t="s">
        <v>61</v>
      </c>
      <c r="L47" s="103">
        <v>9</v>
      </c>
      <c r="M47" s="100" t="s">
        <v>90</v>
      </c>
      <c r="N47" s="100" t="s">
        <v>91</v>
      </c>
      <c r="O47" s="100" t="s">
        <v>126</v>
      </c>
      <c r="Q47" s="100" t="s">
        <v>83</v>
      </c>
    </row>
    <row r="49" spans="1:1">
      <c r="A49" s="14" t="s">
        <v>158</v>
      </c>
    </row>
    <row r="50" spans="1:1">
      <c r="A50" s="8">
        <f>COUNT(E:E)</f>
        <v>32</v>
      </c>
    </row>
    <row r="51" spans="1:1">
      <c r="A51" s="1" t="s">
        <v>159</v>
      </c>
    </row>
    <row r="52" spans="1:1">
      <c r="A52" s="16">
        <f>SUM(H:H)</f>
        <v>1532.5</v>
      </c>
    </row>
    <row r="53" spans="1:1">
      <c r="A53" s="10" t="s">
        <v>160</v>
      </c>
    </row>
    <row r="54" spans="1:1">
      <c r="A54" s="10">
        <f>(A52-(A50*5))*0.85</f>
        <v>1166.625</v>
      </c>
    </row>
    <row r="55" spans="1:1">
      <c r="A55" s="14" t="s">
        <v>161</v>
      </c>
    </row>
    <row r="56" spans="1:1">
      <c r="A56" s="16">
        <f>(A52)/(A50)</f>
        <v>47.890625</v>
      </c>
    </row>
    <row r="57" spans="1:1">
      <c r="A57" s="1" t="s">
        <v>162</v>
      </c>
    </row>
    <row r="58" spans="1:1">
      <c r="A58" s="2">
        <f>COUNTIF(K:K,"Completed")</f>
        <v>13</v>
      </c>
    </row>
    <row r="59" spans="1:1">
      <c r="A59" s="1" t="s">
        <v>163</v>
      </c>
    </row>
    <row r="60" spans="1:1">
      <c r="A60" s="2">
        <f>COUNTIF(K:K,"CBD")</f>
        <v>0</v>
      </c>
    </row>
    <row r="61" spans="1:1">
      <c r="A61" s="1" t="s">
        <v>164</v>
      </c>
    </row>
    <row r="62" spans="1:1">
      <c r="A62" s="1">
        <f>SUM(A58,A60,A68)</f>
        <v>13</v>
      </c>
    </row>
    <row r="63" spans="1:1">
      <c r="A63" s="1" t="s">
        <v>96</v>
      </c>
    </row>
    <row r="64" spans="1:1">
      <c r="A64" s="2">
        <f>COUNTIF(K:K,"Undone")</f>
        <v>15</v>
      </c>
    </row>
    <row r="65" spans="1:1">
      <c r="A65" s="17" t="s">
        <v>165</v>
      </c>
    </row>
    <row r="66" spans="1:1">
      <c r="A66" s="2">
        <f>COUNTIF(K:K,"Sealed")</f>
        <v>0</v>
      </c>
    </row>
    <row r="67" spans="1:1">
      <c r="A67" s="4" t="s">
        <v>166</v>
      </c>
    </row>
    <row r="68" spans="1:1">
      <c r="A68" s="2">
        <f>COUNTIF(K:K,"Never")</f>
        <v>0</v>
      </c>
    </row>
    <row r="69" spans="1:1">
      <c r="A69" s="1" t="s">
        <v>125</v>
      </c>
    </row>
    <row r="70" spans="1:1">
      <c r="A70" s="2">
        <f>COUNTIF(K:K,"Pending")</f>
        <v>3</v>
      </c>
    </row>
    <row r="71" spans="1:1">
      <c r="A71" s="1" t="s">
        <v>167</v>
      </c>
    </row>
    <row r="72" spans="1:1">
      <c r="A72" s="1">
        <f>SUM(A64,A70,A66)</f>
        <v>18</v>
      </c>
    </row>
    <row r="73" spans="1:1">
      <c r="A73" s="1" t="s">
        <v>168</v>
      </c>
    </row>
    <row r="74" spans="1:1">
      <c r="A74" s="1">
        <f>(A58)/(A58+A70+A64)</f>
        <v>0.41935483870967744</v>
      </c>
    </row>
    <row r="75" spans="1:1">
      <c r="A75" s="1" t="s">
        <v>81</v>
      </c>
    </row>
    <row r="76" spans="1:1">
      <c r="A76" s="1">
        <f>COUNTIF(D:D,"Used")</f>
        <v>42</v>
      </c>
    </row>
    <row r="77" spans="1:1">
      <c r="A77" s="1" t="s">
        <v>169</v>
      </c>
    </row>
    <row r="78" spans="1:1">
      <c r="A78" s="1">
        <f>SUM(E:E)</f>
        <v>753</v>
      </c>
    </row>
    <row r="79" spans="1:1">
      <c r="A79" s="1" t="s">
        <v>170</v>
      </c>
    </row>
    <row r="80" spans="1:1">
      <c r="A80" s="1">
        <f>AVERAGE(E:E)</f>
        <v>23.53125</v>
      </c>
    </row>
  </sheetData>
  <phoneticPr fontId="2" type="noConversion"/>
  <pageMargins left="0.75" right="0.75" top="1" bottom="1" header="0.4921259845" footer="0.4921259845"/>
  <pageSetup orientation="portrait" horizontalDpi="4294967293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8"/>
  <sheetViews>
    <sheetView topLeftCell="A4" workbookViewId="0" xr3:uid="{7075697D-051A-5480-9A35-AA80E904E1A1}">
      <selection activeCell="L10" sqref="L10"/>
    </sheetView>
  </sheetViews>
  <sheetFormatPr defaultRowHeight="12.75"/>
  <cols>
    <col min="1" max="1" width="23.28515625" bestFit="1" customWidth="1"/>
    <col min="5" max="5" width="22.85546875" bestFit="1" customWidth="1"/>
  </cols>
  <sheetData>
    <row r="1" spans="1:12">
      <c r="B1" t="s">
        <v>1395</v>
      </c>
      <c r="E1" t="s">
        <v>73</v>
      </c>
      <c r="F1" s="10" t="s">
        <v>1396</v>
      </c>
      <c r="G1" s="10" t="s">
        <v>1397</v>
      </c>
      <c r="H1" s="10" t="s">
        <v>1398</v>
      </c>
    </row>
    <row r="3" spans="1:12">
      <c r="A3" t="s">
        <v>1399</v>
      </c>
      <c r="B3" t="s">
        <v>23</v>
      </c>
      <c r="E3" t="s">
        <v>105</v>
      </c>
    </row>
    <row r="5" spans="1:12">
      <c r="A5" t="s">
        <v>237</v>
      </c>
      <c r="B5" t="s">
        <v>20</v>
      </c>
      <c r="C5" s="10" t="s">
        <v>1400</v>
      </c>
      <c r="D5" s="10" t="s">
        <v>1401</v>
      </c>
      <c r="E5" t="s">
        <v>1402</v>
      </c>
      <c r="F5" s="92">
        <v>2</v>
      </c>
      <c r="G5" s="92"/>
      <c r="H5" s="92"/>
    </row>
    <row r="6" spans="1:12">
      <c r="A6" t="s">
        <v>1403</v>
      </c>
      <c r="B6" t="s">
        <v>20</v>
      </c>
      <c r="C6" s="10" t="s">
        <v>1400</v>
      </c>
      <c r="E6" t="s">
        <v>1402</v>
      </c>
      <c r="F6" s="92">
        <v>2</v>
      </c>
      <c r="G6" s="92"/>
      <c r="H6" s="92"/>
    </row>
    <row r="7" spans="1:12">
      <c r="A7" t="s">
        <v>1404</v>
      </c>
      <c r="B7" t="s">
        <v>20</v>
      </c>
      <c r="E7" t="s">
        <v>105</v>
      </c>
      <c r="F7" s="92">
        <v>2</v>
      </c>
      <c r="G7" s="92"/>
      <c r="H7" s="92"/>
    </row>
    <row r="8" spans="1:12">
      <c r="A8" t="s">
        <v>202</v>
      </c>
      <c r="B8" t="s">
        <v>20</v>
      </c>
      <c r="C8" s="10" t="s">
        <v>1405</v>
      </c>
      <c r="D8" s="10"/>
      <c r="E8" t="s">
        <v>1406</v>
      </c>
      <c r="F8" s="92">
        <v>2</v>
      </c>
      <c r="G8" s="92"/>
      <c r="H8" s="92"/>
    </row>
    <row r="9" spans="1:12">
      <c r="A9" t="s">
        <v>1407</v>
      </c>
      <c r="B9" t="s">
        <v>20</v>
      </c>
      <c r="C9" s="10" t="s">
        <v>1400</v>
      </c>
      <c r="D9" s="10"/>
      <c r="E9" t="s">
        <v>1402</v>
      </c>
      <c r="F9" s="92">
        <v>2</v>
      </c>
      <c r="G9" s="92"/>
      <c r="H9" s="92"/>
    </row>
    <row r="10" spans="1:12">
      <c r="A10" t="s">
        <v>216</v>
      </c>
      <c r="B10" t="s">
        <v>20</v>
      </c>
      <c r="C10" s="10" t="s">
        <v>1400</v>
      </c>
      <c r="D10" s="10"/>
      <c r="E10" t="s">
        <v>1402</v>
      </c>
      <c r="F10" s="92">
        <v>2</v>
      </c>
      <c r="G10" s="92"/>
      <c r="H10" s="92"/>
      <c r="K10">
        <v>23.5</v>
      </c>
      <c r="L10">
        <v>6</v>
      </c>
    </row>
    <row r="11" spans="1:12">
      <c r="A11" s="10" t="s">
        <v>336</v>
      </c>
      <c r="B11" s="10" t="s">
        <v>20</v>
      </c>
      <c r="C11" s="10" t="s">
        <v>1400</v>
      </c>
      <c r="D11" s="10"/>
      <c r="E11" s="10" t="s">
        <v>1402</v>
      </c>
      <c r="F11" s="92">
        <v>2</v>
      </c>
      <c r="G11" s="92"/>
      <c r="H11" s="92"/>
    </row>
    <row r="12" spans="1:12">
      <c r="A12" s="10" t="s">
        <v>363</v>
      </c>
      <c r="B12" s="10" t="s">
        <v>20</v>
      </c>
      <c r="C12" s="10" t="s">
        <v>1405</v>
      </c>
      <c r="D12" s="10" t="s">
        <v>1408</v>
      </c>
      <c r="E12" s="10" t="s">
        <v>1402</v>
      </c>
      <c r="F12" s="92">
        <v>2</v>
      </c>
      <c r="G12" s="92"/>
      <c r="H12" s="92"/>
    </row>
    <row r="13" spans="1:12">
      <c r="A13" s="10" t="s">
        <v>1409</v>
      </c>
      <c r="B13" s="10" t="s">
        <v>20</v>
      </c>
      <c r="C13" s="10" t="s">
        <v>1405</v>
      </c>
      <c r="D13" s="10" t="s">
        <v>1410</v>
      </c>
      <c r="E13" s="10" t="s">
        <v>1402</v>
      </c>
      <c r="F13" s="92">
        <v>2</v>
      </c>
      <c r="G13" s="93">
        <v>20</v>
      </c>
      <c r="H13" s="92">
        <v>18</v>
      </c>
    </row>
    <row r="14" spans="1:12">
      <c r="A14" s="10" t="s">
        <v>1409</v>
      </c>
      <c r="B14" s="10" t="s">
        <v>20</v>
      </c>
      <c r="C14" s="10" t="s">
        <v>1400</v>
      </c>
      <c r="D14" s="10" t="s">
        <v>1411</v>
      </c>
      <c r="E14" s="10" t="s">
        <v>1402</v>
      </c>
      <c r="F14" s="92">
        <v>2</v>
      </c>
      <c r="G14" s="93">
        <v>20</v>
      </c>
      <c r="H14" s="92">
        <v>18</v>
      </c>
    </row>
    <row r="15" spans="1:12">
      <c r="A15" s="10" t="s">
        <v>1412</v>
      </c>
      <c r="B15" s="10" t="s">
        <v>20</v>
      </c>
      <c r="C15" s="10" t="s">
        <v>1405</v>
      </c>
      <c r="D15" s="10" t="s">
        <v>1413</v>
      </c>
      <c r="E15" s="10" t="s">
        <v>1402</v>
      </c>
      <c r="F15" s="92">
        <v>2</v>
      </c>
      <c r="G15" s="92">
        <v>6</v>
      </c>
      <c r="H15" s="92">
        <v>6</v>
      </c>
      <c r="I15" s="10" t="s">
        <v>1414</v>
      </c>
    </row>
    <row r="16" spans="1:12">
      <c r="A16" s="10" t="s">
        <v>229</v>
      </c>
      <c r="B16" s="10" t="s">
        <v>20</v>
      </c>
      <c r="C16" s="10" t="s">
        <v>1400</v>
      </c>
      <c r="D16" s="10" t="s">
        <v>1415</v>
      </c>
      <c r="E16" s="10" t="s">
        <v>1402</v>
      </c>
      <c r="F16" s="92">
        <v>60</v>
      </c>
      <c r="G16" s="94">
        <v>25</v>
      </c>
      <c r="H16" s="92">
        <v>35</v>
      </c>
    </row>
    <row r="18" spans="1:4">
      <c r="A18" s="10" t="s">
        <v>1416</v>
      </c>
      <c r="B18" s="10" t="s">
        <v>23</v>
      </c>
      <c r="C18" s="10" t="s">
        <v>1417</v>
      </c>
      <c r="D18" s="10" t="s">
        <v>1418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7"/>
  </sheetPr>
  <dimension ref="A1:Q304"/>
  <sheetViews>
    <sheetView topLeftCell="A136" workbookViewId="0" xr3:uid="{51F8DEE0-4D01-5F28-A812-FC0BD7CAC4A5}">
      <pane xSplit="24030" activePane="topRight"/>
      <selection pane="topRight" activeCell="A239" sqref="A239"/>
      <selection activeCell="B162" sqref="B162"/>
    </sheetView>
  </sheetViews>
  <sheetFormatPr defaultColWidth="11.42578125" defaultRowHeight="12.75"/>
  <cols>
    <col min="1" max="1" width="21.42578125" style="1" customWidth="1"/>
    <col min="2" max="2" width="8.7109375" style="41" bestFit="1" customWidth="1"/>
    <col min="3" max="3" width="34.7109375" customWidth="1"/>
    <col min="4" max="4" width="10.85546875" customWidth="1"/>
    <col min="5" max="5" width="11.28515625" style="6" customWidth="1"/>
    <col min="6" max="6" width="7.42578125" style="6" customWidth="1"/>
    <col min="7" max="7" width="8" style="6" customWidth="1"/>
    <col min="8" max="8" width="10.42578125" style="6" customWidth="1"/>
    <col min="9" max="9" width="11.42578125" style="48" customWidth="1"/>
    <col min="10" max="10" width="17.28515625" style="41" customWidth="1"/>
    <col min="12" max="12" width="11.5703125" style="41" customWidth="1"/>
    <col min="13" max="13" width="10.140625" customWidth="1"/>
    <col min="14" max="14" width="17.5703125" bestFit="1" customWidth="1"/>
    <col min="15" max="15" width="17.5703125" customWidth="1"/>
  </cols>
  <sheetData>
    <row r="1" spans="1:16">
      <c r="A1" s="1" t="s">
        <v>63</v>
      </c>
      <c r="B1" s="41" t="s">
        <v>64</v>
      </c>
      <c r="C1" t="s">
        <v>65</v>
      </c>
      <c r="D1" t="s">
        <v>66</v>
      </c>
      <c r="E1" s="6" t="s">
        <v>67</v>
      </c>
      <c r="F1" s="64" t="s">
        <v>171</v>
      </c>
      <c r="G1" s="64" t="s">
        <v>172</v>
      </c>
      <c r="H1" s="64" t="s">
        <v>0</v>
      </c>
      <c r="I1" s="48" t="s">
        <v>173</v>
      </c>
      <c r="J1" s="63" t="s">
        <v>72</v>
      </c>
      <c r="K1" t="s">
        <v>73</v>
      </c>
      <c r="L1" s="41" t="s">
        <v>74</v>
      </c>
      <c r="M1" t="s">
        <v>75</v>
      </c>
      <c r="N1" t="s">
        <v>1</v>
      </c>
      <c r="O1" t="s">
        <v>3</v>
      </c>
      <c r="P1" s="21" t="s">
        <v>174</v>
      </c>
    </row>
    <row r="2" spans="1:16" s="32" customFormat="1">
      <c r="A2" s="1">
        <v>730865530281</v>
      </c>
      <c r="B2" s="41">
        <v>21778</v>
      </c>
      <c r="C2" s="10" t="s">
        <v>175</v>
      </c>
      <c r="D2" s="10" t="s">
        <v>105</v>
      </c>
      <c r="E2" s="6">
        <v>55</v>
      </c>
      <c r="F2" s="66">
        <v>71</v>
      </c>
      <c r="G2" s="64" t="s">
        <v>89</v>
      </c>
      <c r="H2" s="64">
        <f t="shared" ref="H2:H33" si="0">MIN(F2:G2)</f>
        <v>71</v>
      </c>
      <c r="I2" s="48">
        <v>41928</v>
      </c>
      <c r="J2" s="66">
        <f t="shared" ref="J2:J33" si="1">MIN(F2:G2)-E2</f>
        <v>16</v>
      </c>
      <c r="K2" s="10" t="s">
        <v>165</v>
      </c>
      <c r="L2" s="41"/>
      <c r="M2" s="10" t="s">
        <v>176</v>
      </c>
      <c r="N2" s="10" t="s">
        <v>177</v>
      </c>
      <c r="O2"/>
      <c r="P2" s="36"/>
    </row>
    <row r="3" spans="1:16">
      <c r="A3" s="1">
        <v>711719735250</v>
      </c>
      <c r="B3" s="41">
        <v>97353</v>
      </c>
      <c r="C3" t="s">
        <v>178</v>
      </c>
      <c r="D3" t="s">
        <v>81</v>
      </c>
      <c r="E3" s="6">
        <v>25</v>
      </c>
      <c r="F3" s="6">
        <v>11</v>
      </c>
      <c r="G3" s="6">
        <v>14</v>
      </c>
      <c r="H3" s="64">
        <f t="shared" si="0"/>
        <v>11</v>
      </c>
      <c r="I3" s="48">
        <v>41932</v>
      </c>
      <c r="J3" s="66">
        <f t="shared" si="1"/>
        <v>-14</v>
      </c>
      <c r="K3" t="s">
        <v>61</v>
      </c>
      <c r="L3" s="41">
        <v>9</v>
      </c>
      <c r="M3" t="s">
        <v>176</v>
      </c>
      <c r="N3" t="s">
        <v>82</v>
      </c>
      <c r="P3" s="22"/>
    </row>
    <row r="4" spans="1:16">
      <c r="A4" s="1">
        <v>711719749028</v>
      </c>
      <c r="B4" s="41">
        <v>97490</v>
      </c>
      <c r="C4" t="s">
        <v>179</v>
      </c>
      <c r="D4" t="s">
        <v>81</v>
      </c>
      <c r="E4" s="6">
        <v>15</v>
      </c>
      <c r="F4" s="6">
        <v>42</v>
      </c>
      <c r="G4" s="6">
        <v>55</v>
      </c>
      <c r="H4" s="64">
        <f t="shared" si="0"/>
        <v>42</v>
      </c>
      <c r="I4" s="48">
        <v>41932</v>
      </c>
      <c r="J4" s="66">
        <f t="shared" si="1"/>
        <v>27</v>
      </c>
      <c r="K4" s="10" t="s">
        <v>61</v>
      </c>
      <c r="L4" s="41">
        <v>8</v>
      </c>
      <c r="M4" t="s">
        <v>176</v>
      </c>
      <c r="N4" t="s">
        <v>82</v>
      </c>
      <c r="P4" s="22"/>
    </row>
    <row r="5" spans="1:16">
      <c r="A5" s="1">
        <v>83717200215</v>
      </c>
      <c r="B5" s="41">
        <v>20144</v>
      </c>
      <c r="C5" t="s">
        <v>180</v>
      </c>
      <c r="D5" t="s">
        <v>81</v>
      </c>
      <c r="E5" s="6">
        <v>0</v>
      </c>
      <c r="F5" s="6">
        <v>6</v>
      </c>
      <c r="G5" s="6">
        <v>6</v>
      </c>
      <c r="H5" s="64">
        <f t="shared" si="0"/>
        <v>6</v>
      </c>
      <c r="I5" s="48">
        <v>41942</v>
      </c>
      <c r="J5" s="66">
        <f t="shared" si="1"/>
        <v>6</v>
      </c>
      <c r="K5" t="s">
        <v>181</v>
      </c>
      <c r="M5" t="s">
        <v>176</v>
      </c>
      <c r="N5" t="s">
        <v>182</v>
      </c>
      <c r="P5" s="22"/>
    </row>
    <row r="6" spans="1:16">
      <c r="A6" s="17">
        <v>14633146332</v>
      </c>
      <c r="B6" s="43">
        <v>20853</v>
      </c>
      <c r="C6" s="32" t="s">
        <v>183</v>
      </c>
      <c r="D6" s="32" t="s">
        <v>81</v>
      </c>
      <c r="E6" s="53">
        <v>0</v>
      </c>
      <c r="F6" s="53">
        <v>15</v>
      </c>
      <c r="G6" s="53">
        <v>15</v>
      </c>
      <c r="H6" s="64">
        <f t="shared" si="0"/>
        <v>15</v>
      </c>
      <c r="I6" s="62">
        <v>41942</v>
      </c>
      <c r="J6" s="66">
        <f t="shared" si="1"/>
        <v>15</v>
      </c>
      <c r="K6" s="32" t="s">
        <v>184</v>
      </c>
      <c r="L6" s="43"/>
      <c r="M6" s="32" t="s">
        <v>176</v>
      </c>
      <c r="N6" s="32" t="s">
        <v>185</v>
      </c>
      <c r="O6" s="32"/>
      <c r="P6" s="22"/>
    </row>
    <row r="7" spans="1:16">
      <c r="A7" s="1">
        <v>677990104553</v>
      </c>
      <c r="B7" s="41">
        <v>21018</v>
      </c>
      <c r="C7" t="s">
        <v>186</v>
      </c>
      <c r="D7" t="s">
        <v>81</v>
      </c>
      <c r="E7" s="6">
        <v>0</v>
      </c>
      <c r="F7" s="6">
        <v>25</v>
      </c>
      <c r="G7" s="6">
        <v>25</v>
      </c>
      <c r="H7" s="64">
        <f t="shared" si="0"/>
        <v>25</v>
      </c>
      <c r="I7" s="48">
        <v>41942</v>
      </c>
      <c r="J7" s="66">
        <f t="shared" si="1"/>
        <v>25</v>
      </c>
      <c r="K7" s="10" t="s">
        <v>184</v>
      </c>
      <c r="M7" t="s">
        <v>176</v>
      </c>
      <c r="N7" t="s">
        <v>187</v>
      </c>
      <c r="P7" s="22"/>
    </row>
    <row r="8" spans="1:16">
      <c r="A8" s="1">
        <v>710425277542</v>
      </c>
      <c r="B8" s="41">
        <v>21229</v>
      </c>
      <c r="C8" s="10" t="s">
        <v>188</v>
      </c>
      <c r="D8" s="10" t="s">
        <v>105</v>
      </c>
      <c r="E8" s="6">
        <v>10</v>
      </c>
      <c r="F8" s="6">
        <v>10</v>
      </c>
      <c r="G8" s="6">
        <v>11</v>
      </c>
      <c r="H8" s="64">
        <f t="shared" si="0"/>
        <v>10</v>
      </c>
      <c r="I8" s="48">
        <v>41942</v>
      </c>
      <c r="J8" s="66">
        <f t="shared" si="1"/>
        <v>0</v>
      </c>
      <c r="K8" s="10" t="s">
        <v>165</v>
      </c>
      <c r="M8" s="10" t="s">
        <v>176</v>
      </c>
      <c r="N8" s="10" t="s">
        <v>189</v>
      </c>
      <c r="P8" s="22"/>
    </row>
    <row r="9" spans="1:16">
      <c r="A9" s="1">
        <v>8888323594</v>
      </c>
      <c r="B9" s="41">
        <v>21551</v>
      </c>
      <c r="C9" t="s">
        <v>190</v>
      </c>
      <c r="D9" t="s">
        <v>81</v>
      </c>
      <c r="E9" s="6">
        <v>0</v>
      </c>
      <c r="F9" s="6">
        <v>10</v>
      </c>
      <c r="G9" s="6">
        <v>7</v>
      </c>
      <c r="H9" s="64">
        <f t="shared" si="0"/>
        <v>7</v>
      </c>
      <c r="I9" s="48">
        <v>41942</v>
      </c>
      <c r="J9" s="66">
        <f t="shared" si="1"/>
        <v>7</v>
      </c>
      <c r="K9" t="s">
        <v>184</v>
      </c>
      <c r="M9" t="s">
        <v>176</v>
      </c>
      <c r="N9" t="s">
        <v>191</v>
      </c>
      <c r="P9" s="22"/>
    </row>
    <row r="10" spans="1:16">
      <c r="A10" s="1">
        <v>711719739920</v>
      </c>
      <c r="B10" s="41">
        <v>97399</v>
      </c>
      <c r="C10" t="s">
        <v>192</v>
      </c>
      <c r="D10" t="s">
        <v>81</v>
      </c>
      <c r="E10" s="6">
        <v>20</v>
      </c>
      <c r="F10" s="67">
        <v>20</v>
      </c>
      <c r="G10" s="6">
        <v>12</v>
      </c>
      <c r="H10" s="64">
        <f t="shared" si="0"/>
        <v>12</v>
      </c>
      <c r="I10" s="48">
        <v>42017</v>
      </c>
      <c r="J10" s="66">
        <f t="shared" si="1"/>
        <v>-8</v>
      </c>
      <c r="K10" s="10" t="s">
        <v>184</v>
      </c>
      <c r="M10" t="s">
        <v>176</v>
      </c>
      <c r="N10" t="s">
        <v>82</v>
      </c>
      <c r="P10" s="22"/>
    </row>
    <row r="11" spans="1:16">
      <c r="A11" s="1">
        <v>711719746522</v>
      </c>
      <c r="B11" s="41">
        <v>97465</v>
      </c>
      <c r="C11" t="s">
        <v>193</v>
      </c>
      <c r="D11" t="s">
        <v>81</v>
      </c>
      <c r="E11" s="6">
        <v>40</v>
      </c>
      <c r="F11" s="67">
        <v>12</v>
      </c>
      <c r="G11" s="6">
        <v>16</v>
      </c>
      <c r="H11" s="64">
        <f t="shared" si="0"/>
        <v>12</v>
      </c>
      <c r="I11" s="48">
        <v>42017</v>
      </c>
      <c r="J11" s="66">
        <f t="shared" si="1"/>
        <v>-28</v>
      </c>
      <c r="K11" t="s">
        <v>61</v>
      </c>
      <c r="L11" s="41">
        <v>9</v>
      </c>
      <c r="M11" t="s">
        <v>176</v>
      </c>
      <c r="N11" t="s">
        <v>82</v>
      </c>
      <c r="P11" s="22"/>
    </row>
    <row r="12" spans="1:16">
      <c r="A12" s="1">
        <v>8888320159</v>
      </c>
      <c r="B12" s="41">
        <v>20194</v>
      </c>
      <c r="C12" t="s">
        <v>194</v>
      </c>
      <c r="D12" t="s">
        <v>81</v>
      </c>
      <c r="E12" s="6">
        <v>20</v>
      </c>
      <c r="F12" s="68">
        <v>42</v>
      </c>
      <c r="G12" s="6">
        <v>65</v>
      </c>
      <c r="H12" s="64">
        <f t="shared" si="0"/>
        <v>42</v>
      </c>
      <c r="I12" s="48">
        <v>42022</v>
      </c>
      <c r="J12" s="66">
        <f t="shared" si="1"/>
        <v>22</v>
      </c>
      <c r="K12" t="s">
        <v>61</v>
      </c>
      <c r="L12" s="41">
        <v>5</v>
      </c>
      <c r="M12" t="s">
        <v>176</v>
      </c>
      <c r="N12" t="s">
        <v>191</v>
      </c>
      <c r="P12" s="22"/>
    </row>
    <row r="13" spans="1:16">
      <c r="A13" s="1">
        <v>719593080022</v>
      </c>
      <c r="B13" s="41">
        <v>20251</v>
      </c>
      <c r="C13" t="s">
        <v>195</v>
      </c>
      <c r="D13" t="s">
        <v>81</v>
      </c>
      <c r="E13" s="6">
        <v>30</v>
      </c>
      <c r="F13" s="67">
        <v>26</v>
      </c>
      <c r="G13" s="6">
        <v>20</v>
      </c>
      <c r="H13" s="64">
        <f t="shared" si="0"/>
        <v>20</v>
      </c>
      <c r="I13" s="48">
        <v>42022</v>
      </c>
      <c r="J13" s="66">
        <f t="shared" si="1"/>
        <v>-10</v>
      </c>
      <c r="K13" s="32" t="s">
        <v>96</v>
      </c>
      <c r="M13" t="s">
        <v>176</v>
      </c>
      <c r="N13" t="s">
        <v>151</v>
      </c>
      <c r="P13" s="22"/>
    </row>
    <row r="14" spans="1:16">
      <c r="A14" s="1">
        <v>8888320258</v>
      </c>
      <c r="B14" s="41">
        <v>20309</v>
      </c>
      <c r="C14" t="s">
        <v>196</v>
      </c>
      <c r="D14" t="s">
        <v>81</v>
      </c>
      <c r="E14" s="6">
        <v>20</v>
      </c>
      <c r="F14" s="67">
        <v>40</v>
      </c>
      <c r="G14" s="6">
        <v>45</v>
      </c>
      <c r="H14" s="64">
        <f t="shared" si="0"/>
        <v>40</v>
      </c>
      <c r="I14" s="48">
        <v>42022</v>
      </c>
      <c r="J14" s="66">
        <f t="shared" si="1"/>
        <v>20</v>
      </c>
      <c r="K14" t="s">
        <v>61</v>
      </c>
      <c r="L14" s="41">
        <v>8</v>
      </c>
      <c r="M14" t="s">
        <v>176</v>
      </c>
      <c r="N14" t="s">
        <v>191</v>
      </c>
      <c r="P14" s="22"/>
    </row>
    <row r="15" spans="1:16">
      <c r="A15" s="1">
        <v>83717201076</v>
      </c>
      <c r="B15" s="41">
        <v>20979</v>
      </c>
      <c r="C15" t="s">
        <v>197</v>
      </c>
      <c r="D15" t="s">
        <v>81</v>
      </c>
      <c r="E15" s="6">
        <v>50</v>
      </c>
      <c r="F15" s="6">
        <v>58</v>
      </c>
      <c r="G15" s="6">
        <v>65</v>
      </c>
      <c r="H15" s="64">
        <f t="shared" si="0"/>
        <v>58</v>
      </c>
      <c r="I15" s="48">
        <v>42022</v>
      </c>
      <c r="J15" s="66">
        <f t="shared" si="1"/>
        <v>8</v>
      </c>
      <c r="K15" s="10" t="s">
        <v>61</v>
      </c>
      <c r="M15" t="s">
        <v>176</v>
      </c>
      <c r="N15" t="s">
        <v>182</v>
      </c>
      <c r="O15" t="s">
        <v>198</v>
      </c>
      <c r="P15" s="22"/>
    </row>
    <row r="16" spans="1:16">
      <c r="A16" s="1">
        <v>31719269242</v>
      </c>
      <c r="B16" s="41">
        <v>21041</v>
      </c>
      <c r="C16" t="s">
        <v>199</v>
      </c>
      <c r="D16" s="10" t="s">
        <v>81</v>
      </c>
      <c r="E16" s="6">
        <v>40</v>
      </c>
      <c r="F16" s="67">
        <v>53</v>
      </c>
      <c r="G16" s="6">
        <v>65</v>
      </c>
      <c r="H16" s="64">
        <f t="shared" si="0"/>
        <v>53</v>
      </c>
      <c r="I16" s="48">
        <v>42022</v>
      </c>
      <c r="J16" s="66">
        <f t="shared" si="1"/>
        <v>13</v>
      </c>
      <c r="K16" s="10" t="s">
        <v>125</v>
      </c>
      <c r="M16" t="s">
        <v>176</v>
      </c>
      <c r="N16" t="s">
        <v>200</v>
      </c>
      <c r="P16" s="22"/>
    </row>
    <row r="17" spans="1:16">
      <c r="A17" s="1">
        <v>711719747123</v>
      </c>
      <c r="B17" s="41">
        <v>97471</v>
      </c>
      <c r="C17" t="s">
        <v>201</v>
      </c>
      <c r="D17" t="s">
        <v>105</v>
      </c>
      <c r="E17" s="6">
        <v>30</v>
      </c>
      <c r="F17" s="67">
        <v>26</v>
      </c>
      <c r="G17" s="6">
        <v>21</v>
      </c>
      <c r="H17" s="64">
        <f t="shared" si="0"/>
        <v>21</v>
      </c>
      <c r="I17" s="48">
        <v>42022</v>
      </c>
      <c r="J17" s="66">
        <f t="shared" si="1"/>
        <v>-9</v>
      </c>
      <c r="K17" s="10" t="s">
        <v>165</v>
      </c>
      <c r="M17" t="s">
        <v>176</v>
      </c>
      <c r="N17" t="s">
        <v>82</v>
      </c>
      <c r="O17" t="s">
        <v>198</v>
      </c>
      <c r="P17" s="22"/>
    </row>
    <row r="18" spans="1:16">
      <c r="A18" s="1">
        <v>711719747222</v>
      </c>
      <c r="B18" s="41">
        <v>97472</v>
      </c>
      <c r="C18" t="s">
        <v>202</v>
      </c>
      <c r="D18" t="s">
        <v>81</v>
      </c>
      <c r="E18" s="6">
        <v>20</v>
      </c>
      <c r="F18" s="6">
        <v>46</v>
      </c>
      <c r="G18" s="6">
        <v>42</v>
      </c>
      <c r="H18" s="64">
        <f t="shared" si="0"/>
        <v>42</v>
      </c>
      <c r="I18" s="48">
        <v>42022</v>
      </c>
      <c r="J18" s="66">
        <f t="shared" si="1"/>
        <v>22</v>
      </c>
      <c r="K18" t="s">
        <v>61</v>
      </c>
      <c r="L18" s="41">
        <v>10</v>
      </c>
      <c r="M18" t="s">
        <v>176</v>
      </c>
      <c r="N18" t="s">
        <v>82</v>
      </c>
      <c r="P18" s="22"/>
    </row>
    <row r="19" spans="1:16">
      <c r="A19" s="1">
        <v>662248901084</v>
      </c>
      <c r="B19" s="41">
        <v>20312</v>
      </c>
      <c r="C19" t="s">
        <v>203</v>
      </c>
      <c r="D19" t="s">
        <v>81</v>
      </c>
      <c r="E19" s="6">
        <v>0</v>
      </c>
      <c r="F19" s="68">
        <v>20</v>
      </c>
      <c r="G19" s="6">
        <v>18</v>
      </c>
      <c r="H19" s="64">
        <f t="shared" si="0"/>
        <v>18</v>
      </c>
      <c r="I19" s="48">
        <v>42023</v>
      </c>
      <c r="J19" s="66">
        <f t="shared" si="1"/>
        <v>18</v>
      </c>
      <c r="K19" t="s">
        <v>61</v>
      </c>
      <c r="L19" s="41">
        <v>10</v>
      </c>
      <c r="M19" t="s">
        <v>176</v>
      </c>
      <c r="N19" t="s">
        <v>91</v>
      </c>
      <c r="P19" s="22"/>
    </row>
    <row r="20" spans="1:16">
      <c r="A20" s="1">
        <v>40198001151</v>
      </c>
      <c r="B20" s="41">
        <v>20319</v>
      </c>
      <c r="C20" t="s">
        <v>204</v>
      </c>
      <c r="D20" t="s">
        <v>81</v>
      </c>
      <c r="E20" s="6">
        <v>40</v>
      </c>
      <c r="F20" s="6">
        <v>22</v>
      </c>
      <c r="G20" s="6">
        <v>32</v>
      </c>
      <c r="H20" s="64">
        <f t="shared" si="0"/>
        <v>22</v>
      </c>
      <c r="I20" s="48">
        <v>42023</v>
      </c>
      <c r="J20" s="66">
        <f t="shared" si="1"/>
        <v>-18</v>
      </c>
      <c r="K20" t="s">
        <v>61</v>
      </c>
      <c r="L20" s="41">
        <v>8</v>
      </c>
      <c r="M20" t="s">
        <v>176</v>
      </c>
      <c r="N20" t="s">
        <v>136</v>
      </c>
      <c r="P20" s="22"/>
    </row>
    <row r="21" spans="1:16">
      <c r="A21" s="1">
        <v>31719268719</v>
      </c>
      <c r="B21" s="41">
        <v>20347</v>
      </c>
      <c r="C21" t="s">
        <v>205</v>
      </c>
      <c r="D21" t="s">
        <v>81</v>
      </c>
      <c r="E21" s="6">
        <v>30</v>
      </c>
      <c r="F21" s="67">
        <v>74</v>
      </c>
      <c r="G21" s="6">
        <v>72</v>
      </c>
      <c r="H21" s="64">
        <f t="shared" si="0"/>
        <v>72</v>
      </c>
      <c r="I21" s="48">
        <v>42023</v>
      </c>
      <c r="J21" s="66">
        <f t="shared" si="1"/>
        <v>42</v>
      </c>
      <c r="K21" t="s">
        <v>61</v>
      </c>
      <c r="L21" s="41">
        <v>7</v>
      </c>
      <c r="M21" t="s">
        <v>176</v>
      </c>
      <c r="N21" t="s">
        <v>200</v>
      </c>
      <c r="P21" s="22"/>
    </row>
    <row r="22" spans="1:16">
      <c r="A22" s="1">
        <v>662248902029</v>
      </c>
      <c r="B22" s="41">
        <v>20370</v>
      </c>
      <c r="C22" t="s">
        <v>206</v>
      </c>
      <c r="D22" t="s">
        <v>81</v>
      </c>
      <c r="E22" s="6">
        <v>25</v>
      </c>
      <c r="F22" s="68">
        <v>21</v>
      </c>
      <c r="G22" s="6">
        <v>25</v>
      </c>
      <c r="H22" s="64">
        <f t="shared" si="0"/>
        <v>21</v>
      </c>
      <c r="I22" s="48">
        <v>42023</v>
      </c>
      <c r="J22" s="66">
        <f t="shared" si="1"/>
        <v>-4</v>
      </c>
      <c r="K22" t="s">
        <v>61</v>
      </c>
      <c r="L22" s="41">
        <v>9</v>
      </c>
      <c r="M22" t="s">
        <v>176</v>
      </c>
      <c r="N22" t="s">
        <v>91</v>
      </c>
      <c r="P22" s="22"/>
    </row>
    <row r="23" spans="1:16">
      <c r="A23" s="1">
        <v>78868750011</v>
      </c>
      <c r="B23" s="41">
        <v>20376</v>
      </c>
      <c r="C23" t="s">
        <v>207</v>
      </c>
      <c r="D23" t="s">
        <v>81</v>
      </c>
      <c r="E23" s="6">
        <v>20</v>
      </c>
      <c r="F23" s="6">
        <v>0</v>
      </c>
      <c r="G23" s="6">
        <v>0</v>
      </c>
      <c r="H23" s="64">
        <f t="shared" si="0"/>
        <v>0</v>
      </c>
      <c r="I23" s="48">
        <v>42023</v>
      </c>
      <c r="J23" s="66">
        <f t="shared" si="1"/>
        <v>-20</v>
      </c>
      <c r="K23" t="s">
        <v>166</v>
      </c>
      <c r="M23" s="10" t="s">
        <v>176</v>
      </c>
      <c r="N23" t="s">
        <v>208</v>
      </c>
      <c r="P23" s="22"/>
    </row>
    <row r="24" spans="1:16">
      <c r="A24" s="1">
        <v>83717200451</v>
      </c>
      <c r="B24" s="41">
        <v>20387</v>
      </c>
      <c r="C24" t="s">
        <v>209</v>
      </c>
      <c r="D24" t="s">
        <v>81</v>
      </c>
      <c r="E24" s="6">
        <v>40</v>
      </c>
      <c r="F24" s="66">
        <v>66</v>
      </c>
      <c r="G24" s="6">
        <v>50</v>
      </c>
      <c r="H24" s="64">
        <f t="shared" si="0"/>
        <v>50</v>
      </c>
      <c r="I24" s="48">
        <v>42023</v>
      </c>
      <c r="J24" s="66">
        <f t="shared" si="1"/>
        <v>10</v>
      </c>
      <c r="K24" t="s">
        <v>61</v>
      </c>
      <c r="L24" s="41">
        <v>8</v>
      </c>
      <c r="M24" t="s">
        <v>176</v>
      </c>
      <c r="N24" t="s">
        <v>182</v>
      </c>
      <c r="P24" s="22"/>
    </row>
    <row r="25" spans="1:16">
      <c r="A25" s="1">
        <v>722674021364</v>
      </c>
      <c r="B25" s="41">
        <v>20469</v>
      </c>
      <c r="C25" t="s">
        <v>210</v>
      </c>
      <c r="D25" t="s">
        <v>81</v>
      </c>
      <c r="E25" s="6">
        <v>30</v>
      </c>
      <c r="F25" s="66">
        <v>34</v>
      </c>
      <c r="G25" s="6">
        <v>44</v>
      </c>
      <c r="H25" s="64">
        <f t="shared" si="0"/>
        <v>34</v>
      </c>
      <c r="I25" s="48">
        <v>42023</v>
      </c>
      <c r="J25" s="66">
        <f t="shared" si="1"/>
        <v>4</v>
      </c>
      <c r="K25" t="s">
        <v>61</v>
      </c>
      <c r="L25" s="41">
        <v>7</v>
      </c>
      <c r="M25" t="s">
        <v>176</v>
      </c>
      <c r="N25" t="s">
        <v>211</v>
      </c>
      <c r="P25" s="22"/>
    </row>
    <row r="26" spans="1:16">
      <c r="A26" s="1">
        <v>662248903101</v>
      </c>
      <c r="B26" s="41">
        <v>20488</v>
      </c>
      <c r="C26" t="s">
        <v>212</v>
      </c>
      <c r="D26" t="s">
        <v>81</v>
      </c>
      <c r="E26" s="6">
        <v>50</v>
      </c>
      <c r="F26" s="66">
        <v>30</v>
      </c>
      <c r="G26" s="6">
        <v>55</v>
      </c>
      <c r="H26" s="64">
        <f t="shared" si="0"/>
        <v>30</v>
      </c>
      <c r="I26" s="48">
        <v>42023</v>
      </c>
      <c r="J26" s="66">
        <f t="shared" si="1"/>
        <v>-20</v>
      </c>
      <c r="K26" t="s">
        <v>96</v>
      </c>
      <c r="M26" t="s">
        <v>176</v>
      </c>
      <c r="N26" t="s">
        <v>213</v>
      </c>
      <c r="P26" s="22"/>
    </row>
    <row r="27" spans="1:16">
      <c r="A27" s="1">
        <v>23272321352</v>
      </c>
      <c r="B27" s="41">
        <v>20490</v>
      </c>
      <c r="C27" t="s">
        <v>214</v>
      </c>
      <c r="D27" t="s">
        <v>81</v>
      </c>
      <c r="E27" s="6">
        <v>30</v>
      </c>
      <c r="F27" s="6">
        <v>30</v>
      </c>
      <c r="G27" s="6">
        <v>31</v>
      </c>
      <c r="H27" s="64">
        <f t="shared" si="0"/>
        <v>30</v>
      </c>
      <c r="I27" s="48">
        <v>42023</v>
      </c>
      <c r="J27" s="66">
        <f t="shared" si="1"/>
        <v>0</v>
      </c>
      <c r="K27" s="10" t="s">
        <v>61</v>
      </c>
      <c r="L27" s="41">
        <v>7</v>
      </c>
      <c r="M27" t="s">
        <v>176</v>
      </c>
      <c r="N27" t="s">
        <v>215</v>
      </c>
      <c r="P27" s="22"/>
    </row>
    <row r="28" spans="1:16">
      <c r="A28" s="1">
        <v>662248904115</v>
      </c>
      <c r="B28" s="41">
        <v>21005</v>
      </c>
      <c r="C28" t="s">
        <v>216</v>
      </c>
      <c r="D28" t="s">
        <v>105</v>
      </c>
      <c r="E28" s="6">
        <v>30</v>
      </c>
      <c r="F28" s="68">
        <v>32</v>
      </c>
      <c r="G28" s="64" t="s">
        <v>89</v>
      </c>
      <c r="H28" s="64">
        <f t="shared" si="0"/>
        <v>32</v>
      </c>
      <c r="I28" s="48">
        <v>42023</v>
      </c>
      <c r="J28" s="66">
        <f t="shared" si="1"/>
        <v>2</v>
      </c>
      <c r="K28" s="10" t="s">
        <v>165</v>
      </c>
      <c r="M28" t="s">
        <v>176</v>
      </c>
      <c r="N28" t="s">
        <v>213</v>
      </c>
      <c r="O28" t="s">
        <v>198</v>
      </c>
      <c r="P28" s="22"/>
    </row>
    <row r="29" spans="1:16">
      <c r="A29" s="1">
        <v>710425271434</v>
      </c>
      <c r="B29" s="41">
        <v>20209</v>
      </c>
      <c r="C29" t="s">
        <v>217</v>
      </c>
      <c r="D29" t="s">
        <v>81</v>
      </c>
      <c r="E29" s="6">
        <v>20</v>
      </c>
      <c r="F29" s="68">
        <v>15</v>
      </c>
      <c r="G29" s="6">
        <v>20</v>
      </c>
      <c r="H29" s="64">
        <f t="shared" si="0"/>
        <v>15</v>
      </c>
      <c r="I29" s="48">
        <v>42025</v>
      </c>
      <c r="J29" s="66">
        <f t="shared" si="1"/>
        <v>-5</v>
      </c>
      <c r="K29" t="s">
        <v>184</v>
      </c>
      <c r="M29" s="10" t="s">
        <v>176</v>
      </c>
      <c r="N29" t="s">
        <v>218</v>
      </c>
      <c r="P29" s="22"/>
    </row>
    <row r="30" spans="1:16">
      <c r="A30" s="1">
        <v>814582404428</v>
      </c>
      <c r="B30" s="41">
        <v>20565</v>
      </c>
      <c r="C30" t="s">
        <v>219</v>
      </c>
      <c r="D30" t="s">
        <v>81</v>
      </c>
      <c r="E30" s="6">
        <v>30</v>
      </c>
      <c r="F30" s="67">
        <v>41</v>
      </c>
      <c r="G30" s="6">
        <v>52</v>
      </c>
      <c r="H30" s="64">
        <f t="shared" si="0"/>
        <v>41</v>
      </c>
      <c r="I30" s="48">
        <v>42025</v>
      </c>
      <c r="J30" s="66">
        <f t="shared" si="1"/>
        <v>11</v>
      </c>
      <c r="K30" s="37" t="s">
        <v>125</v>
      </c>
      <c r="L30" s="41">
        <v>6</v>
      </c>
      <c r="M30" t="s">
        <v>176</v>
      </c>
      <c r="N30" t="s">
        <v>220</v>
      </c>
      <c r="P30" s="22"/>
    </row>
    <row r="31" spans="1:16">
      <c r="A31" s="1">
        <v>21481233190</v>
      </c>
      <c r="B31" s="41">
        <v>20634</v>
      </c>
      <c r="C31" t="s">
        <v>221</v>
      </c>
      <c r="D31" t="s">
        <v>81</v>
      </c>
      <c r="E31" s="6">
        <v>20</v>
      </c>
      <c r="F31" s="67">
        <v>12</v>
      </c>
      <c r="G31" s="6">
        <v>6</v>
      </c>
      <c r="H31" s="64">
        <f t="shared" si="0"/>
        <v>6</v>
      </c>
      <c r="I31" s="48">
        <v>42025</v>
      </c>
      <c r="J31" s="66">
        <f t="shared" si="1"/>
        <v>-14</v>
      </c>
      <c r="K31" t="s">
        <v>61</v>
      </c>
      <c r="L31" s="41">
        <v>7</v>
      </c>
      <c r="M31" s="10" t="s">
        <v>176</v>
      </c>
      <c r="N31" t="s">
        <v>222</v>
      </c>
      <c r="P31" s="22"/>
    </row>
    <row r="32" spans="1:16">
      <c r="A32" s="1" t="s">
        <v>223</v>
      </c>
      <c r="B32" s="41">
        <v>20649</v>
      </c>
      <c r="C32" t="s">
        <v>224</v>
      </c>
      <c r="D32" t="s">
        <v>81</v>
      </c>
      <c r="E32" s="6">
        <v>0</v>
      </c>
      <c r="F32" s="67">
        <v>20</v>
      </c>
      <c r="G32" s="67">
        <v>20</v>
      </c>
      <c r="H32" s="64">
        <f t="shared" si="0"/>
        <v>20</v>
      </c>
      <c r="I32" s="48">
        <v>42025</v>
      </c>
      <c r="J32" s="66">
        <f t="shared" si="1"/>
        <v>20</v>
      </c>
      <c r="K32" t="s">
        <v>184</v>
      </c>
      <c r="M32" s="10" t="s">
        <v>176</v>
      </c>
      <c r="N32" t="s">
        <v>225</v>
      </c>
      <c r="P32" s="22"/>
    </row>
    <row r="33" spans="1:16">
      <c r="A33" s="1">
        <v>47875805736</v>
      </c>
      <c r="B33" s="41">
        <v>20656</v>
      </c>
      <c r="C33" t="s">
        <v>226</v>
      </c>
      <c r="D33" t="s">
        <v>81</v>
      </c>
      <c r="E33" s="6">
        <v>4</v>
      </c>
      <c r="F33" s="53">
        <v>10</v>
      </c>
      <c r="G33" s="53">
        <v>15</v>
      </c>
      <c r="H33" s="64">
        <f t="shared" si="0"/>
        <v>10</v>
      </c>
      <c r="I33" s="48">
        <v>42025</v>
      </c>
      <c r="J33" s="66">
        <f t="shared" si="1"/>
        <v>6</v>
      </c>
      <c r="K33" t="s">
        <v>61</v>
      </c>
      <c r="L33" s="41">
        <v>7</v>
      </c>
      <c r="M33" s="10" t="s">
        <v>176</v>
      </c>
      <c r="N33" t="s">
        <v>227</v>
      </c>
      <c r="P33" s="22"/>
    </row>
    <row r="34" spans="1:16">
      <c r="A34" s="1">
        <v>730865530052</v>
      </c>
      <c r="B34" s="41">
        <v>20666</v>
      </c>
      <c r="C34" t="s">
        <v>228</v>
      </c>
      <c r="D34" t="s">
        <v>81</v>
      </c>
      <c r="E34" s="6">
        <v>60</v>
      </c>
      <c r="F34" s="67">
        <v>36</v>
      </c>
      <c r="G34" s="6">
        <v>45</v>
      </c>
      <c r="H34" s="64">
        <f t="shared" ref="H34:H65" si="2">MIN(F34:G34)</f>
        <v>36</v>
      </c>
      <c r="I34" s="48">
        <v>42025</v>
      </c>
      <c r="J34" s="66">
        <f t="shared" ref="J34:J65" si="3">MIN(F34:G34)-E34</f>
        <v>-24</v>
      </c>
      <c r="K34" t="s">
        <v>61</v>
      </c>
      <c r="L34" s="41">
        <v>10</v>
      </c>
      <c r="M34" t="s">
        <v>176</v>
      </c>
      <c r="N34" t="s">
        <v>177</v>
      </c>
      <c r="P34" s="22"/>
    </row>
    <row r="35" spans="1:16">
      <c r="A35" s="1">
        <v>662248903064</v>
      </c>
      <c r="B35" s="41">
        <v>20672</v>
      </c>
      <c r="C35" t="s">
        <v>229</v>
      </c>
      <c r="D35" t="s">
        <v>81</v>
      </c>
      <c r="E35" s="6">
        <v>60</v>
      </c>
      <c r="F35" s="67">
        <v>25</v>
      </c>
      <c r="G35" s="6">
        <v>35</v>
      </c>
      <c r="H35" s="64">
        <f t="shared" si="2"/>
        <v>25</v>
      </c>
      <c r="I35" s="48">
        <v>42025</v>
      </c>
      <c r="J35" s="66">
        <f t="shared" si="3"/>
        <v>-35</v>
      </c>
      <c r="K35" s="37" t="s">
        <v>230</v>
      </c>
      <c r="M35" t="s">
        <v>176</v>
      </c>
      <c r="N35" t="s">
        <v>213</v>
      </c>
      <c r="O35" t="s">
        <v>198</v>
      </c>
      <c r="P35" s="22"/>
    </row>
    <row r="36" spans="1:16">
      <c r="A36" s="1">
        <v>40198001250</v>
      </c>
      <c r="B36" s="41">
        <v>20720</v>
      </c>
      <c r="C36" t="s">
        <v>231</v>
      </c>
      <c r="D36" t="s">
        <v>81</v>
      </c>
      <c r="E36" s="6">
        <v>40</v>
      </c>
      <c r="F36" s="67">
        <v>35</v>
      </c>
      <c r="G36" s="6">
        <v>65</v>
      </c>
      <c r="H36" s="64">
        <f t="shared" si="2"/>
        <v>35</v>
      </c>
      <c r="I36" s="48">
        <v>42025</v>
      </c>
      <c r="J36" s="66">
        <f t="shared" si="3"/>
        <v>-5</v>
      </c>
      <c r="K36" t="s">
        <v>61</v>
      </c>
      <c r="L36" s="41">
        <v>8</v>
      </c>
      <c r="M36" t="s">
        <v>176</v>
      </c>
      <c r="N36" t="s">
        <v>136</v>
      </c>
      <c r="P36" s="22"/>
    </row>
    <row r="37" spans="1:16">
      <c r="A37" s="1">
        <v>73536620758</v>
      </c>
      <c r="B37" s="41">
        <v>20758</v>
      </c>
      <c r="C37" s="10" t="s">
        <v>232</v>
      </c>
      <c r="D37" t="s">
        <v>81</v>
      </c>
      <c r="E37" s="6">
        <v>50</v>
      </c>
      <c r="F37" s="6">
        <v>45</v>
      </c>
      <c r="G37" s="6">
        <v>80</v>
      </c>
      <c r="H37" s="64">
        <f t="shared" si="2"/>
        <v>45</v>
      </c>
      <c r="I37" s="48">
        <v>42025</v>
      </c>
      <c r="J37" s="66">
        <f t="shared" si="3"/>
        <v>-5</v>
      </c>
      <c r="K37" t="s">
        <v>61</v>
      </c>
      <c r="M37" t="s">
        <v>176</v>
      </c>
      <c r="N37" t="s">
        <v>148</v>
      </c>
      <c r="P37" s="22"/>
    </row>
    <row r="38" spans="1:16">
      <c r="A38" s="14">
        <v>40198001274</v>
      </c>
      <c r="B38" s="63">
        <v>20761</v>
      </c>
      <c r="C38" s="10" t="s">
        <v>233</v>
      </c>
      <c r="D38" s="10" t="s">
        <v>81</v>
      </c>
      <c r="E38" s="64">
        <v>18</v>
      </c>
      <c r="F38" s="64">
        <v>30</v>
      </c>
      <c r="G38" s="64">
        <v>20</v>
      </c>
      <c r="H38" s="64">
        <f t="shared" si="2"/>
        <v>20</v>
      </c>
      <c r="I38" s="58">
        <v>42025</v>
      </c>
      <c r="J38" s="66">
        <f t="shared" si="3"/>
        <v>2</v>
      </c>
      <c r="K38" s="10" t="s">
        <v>96</v>
      </c>
      <c r="L38" s="63"/>
      <c r="M38" s="10" t="s">
        <v>176</v>
      </c>
      <c r="N38" s="10" t="s">
        <v>136</v>
      </c>
      <c r="O38" s="10"/>
      <c r="P38" s="22"/>
    </row>
    <row r="39" spans="1:16">
      <c r="A39" s="17">
        <v>650008399196</v>
      </c>
      <c r="B39" s="43">
        <v>20831</v>
      </c>
      <c r="C39" s="32" t="s">
        <v>234</v>
      </c>
      <c r="D39" s="32" t="s">
        <v>81</v>
      </c>
      <c r="E39" s="53">
        <v>15</v>
      </c>
      <c r="F39" s="67">
        <v>18</v>
      </c>
      <c r="G39" s="53">
        <v>16</v>
      </c>
      <c r="H39" s="64">
        <f t="shared" si="2"/>
        <v>16</v>
      </c>
      <c r="I39" s="62">
        <v>42028</v>
      </c>
      <c r="J39" s="66">
        <f t="shared" si="3"/>
        <v>1</v>
      </c>
      <c r="K39" s="32" t="s">
        <v>96</v>
      </c>
      <c r="L39" s="43"/>
      <c r="M39" s="32" t="s">
        <v>176</v>
      </c>
      <c r="N39" s="32" t="s">
        <v>123</v>
      </c>
      <c r="O39" s="32"/>
      <c r="P39" s="22"/>
    </row>
    <row r="40" spans="1:16">
      <c r="A40" s="1">
        <v>31719269013</v>
      </c>
      <c r="B40" s="41">
        <v>20881</v>
      </c>
      <c r="C40" t="s">
        <v>235</v>
      </c>
      <c r="D40" t="s">
        <v>81</v>
      </c>
      <c r="E40" s="6">
        <v>20</v>
      </c>
      <c r="F40" s="67">
        <v>15</v>
      </c>
      <c r="G40" s="6">
        <v>15</v>
      </c>
      <c r="H40" s="64">
        <f t="shared" si="2"/>
        <v>15</v>
      </c>
      <c r="I40" s="48">
        <v>42028</v>
      </c>
      <c r="J40" s="66">
        <f t="shared" si="3"/>
        <v>-5</v>
      </c>
      <c r="K40" t="s">
        <v>181</v>
      </c>
      <c r="L40" s="41">
        <v>7</v>
      </c>
      <c r="M40" s="10" t="s">
        <v>176</v>
      </c>
      <c r="N40" t="s">
        <v>200</v>
      </c>
      <c r="P40" s="22"/>
    </row>
    <row r="41" spans="1:16">
      <c r="A41" s="1">
        <v>662248904023</v>
      </c>
      <c r="B41" s="41">
        <v>20888</v>
      </c>
      <c r="C41" t="s">
        <v>236</v>
      </c>
      <c r="D41" t="s">
        <v>81</v>
      </c>
      <c r="E41" s="6">
        <v>40</v>
      </c>
      <c r="F41" s="67">
        <v>24</v>
      </c>
      <c r="G41" s="6">
        <v>30</v>
      </c>
      <c r="H41" s="64">
        <f t="shared" si="2"/>
        <v>24</v>
      </c>
      <c r="I41" s="48">
        <v>42028</v>
      </c>
      <c r="J41" s="66">
        <f t="shared" si="3"/>
        <v>-16</v>
      </c>
      <c r="K41" t="s">
        <v>61</v>
      </c>
      <c r="L41" s="41">
        <v>9</v>
      </c>
      <c r="M41" t="s">
        <v>176</v>
      </c>
      <c r="N41" t="s">
        <v>213</v>
      </c>
      <c r="P41" s="22"/>
    </row>
    <row r="42" spans="1:16">
      <c r="A42" s="1">
        <v>662248904078</v>
      </c>
      <c r="B42" s="41">
        <v>20963</v>
      </c>
      <c r="C42" t="s">
        <v>237</v>
      </c>
      <c r="D42" t="s">
        <v>81</v>
      </c>
      <c r="E42" s="6">
        <v>50</v>
      </c>
      <c r="F42" s="67">
        <v>35</v>
      </c>
      <c r="G42" s="6">
        <v>16</v>
      </c>
      <c r="H42" s="64">
        <f t="shared" si="2"/>
        <v>16</v>
      </c>
      <c r="I42" s="48">
        <v>42028</v>
      </c>
      <c r="J42" s="66">
        <f t="shared" si="3"/>
        <v>-34</v>
      </c>
      <c r="K42" t="s">
        <v>61</v>
      </c>
      <c r="L42" s="41">
        <v>8</v>
      </c>
      <c r="M42" t="s">
        <v>176</v>
      </c>
      <c r="N42" t="s">
        <v>213</v>
      </c>
      <c r="P42" s="22"/>
    </row>
    <row r="43" spans="1:16">
      <c r="A43" s="1">
        <v>722674100342</v>
      </c>
      <c r="B43" s="41">
        <v>21201</v>
      </c>
      <c r="C43" t="s">
        <v>238</v>
      </c>
      <c r="D43" t="s">
        <v>81</v>
      </c>
      <c r="E43" s="6">
        <v>33</v>
      </c>
      <c r="F43" s="6">
        <v>36</v>
      </c>
      <c r="G43" s="6">
        <v>35</v>
      </c>
      <c r="H43" s="64">
        <f t="shared" si="2"/>
        <v>35</v>
      </c>
      <c r="I43" s="48">
        <v>42028</v>
      </c>
      <c r="J43" s="66">
        <f t="shared" si="3"/>
        <v>2</v>
      </c>
      <c r="K43" s="10" t="s">
        <v>96</v>
      </c>
      <c r="M43" s="10" t="s">
        <v>176</v>
      </c>
      <c r="N43" s="10" t="s">
        <v>211</v>
      </c>
      <c r="P43" s="22"/>
    </row>
    <row r="44" spans="1:16">
      <c r="A44" s="1">
        <v>72267410051</v>
      </c>
      <c r="B44" s="41">
        <v>21386</v>
      </c>
      <c r="C44" t="s">
        <v>239</v>
      </c>
      <c r="D44" t="s">
        <v>81</v>
      </c>
      <c r="E44" s="6">
        <v>33</v>
      </c>
      <c r="F44" s="6">
        <v>50</v>
      </c>
      <c r="G44" s="6">
        <v>34</v>
      </c>
      <c r="H44" s="64">
        <f t="shared" si="2"/>
        <v>34</v>
      </c>
      <c r="I44" s="48">
        <v>42028</v>
      </c>
      <c r="J44" s="66">
        <f t="shared" si="3"/>
        <v>1</v>
      </c>
      <c r="K44" s="10" t="s">
        <v>96</v>
      </c>
      <c r="M44" t="s">
        <v>176</v>
      </c>
      <c r="N44" t="s">
        <v>240</v>
      </c>
      <c r="P44" s="22"/>
    </row>
    <row r="45" spans="1:16">
      <c r="A45" s="1">
        <v>710425279188</v>
      </c>
      <c r="B45" s="41">
        <v>20946</v>
      </c>
      <c r="C45" t="s">
        <v>241</v>
      </c>
      <c r="D45" t="s">
        <v>81</v>
      </c>
      <c r="E45" s="6">
        <v>30</v>
      </c>
      <c r="F45" s="6">
        <v>15</v>
      </c>
      <c r="G45" s="6">
        <v>15</v>
      </c>
      <c r="H45" s="64">
        <f t="shared" si="2"/>
        <v>15</v>
      </c>
      <c r="I45" s="48">
        <v>42033</v>
      </c>
      <c r="J45" s="66">
        <f t="shared" si="3"/>
        <v>-15</v>
      </c>
      <c r="K45" s="37" t="s">
        <v>125</v>
      </c>
      <c r="M45" s="10" t="s">
        <v>176</v>
      </c>
      <c r="N45" t="s">
        <v>218</v>
      </c>
      <c r="O45" t="s">
        <v>242</v>
      </c>
      <c r="P45" s="22"/>
    </row>
    <row r="46" spans="1:16">
      <c r="A46" s="1">
        <v>730865530106</v>
      </c>
      <c r="B46" s="41">
        <v>20955</v>
      </c>
      <c r="C46" t="s">
        <v>243</v>
      </c>
      <c r="D46" t="s">
        <v>81</v>
      </c>
      <c r="E46" s="6">
        <v>60</v>
      </c>
      <c r="F46" s="68">
        <v>15</v>
      </c>
      <c r="G46" s="6">
        <v>14</v>
      </c>
      <c r="H46" s="64">
        <f t="shared" si="2"/>
        <v>14</v>
      </c>
      <c r="I46" s="48">
        <v>42033</v>
      </c>
      <c r="J46" s="66">
        <f t="shared" si="3"/>
        <v>-46</v>
      </c>
      <c r="K46" t="s">
        <v>61</v>
      </c>
      <c r="L46" s="41">
        <v>9</v>
      </c>
      <c r="M46" t="s">
        <v>176</v>
      </c>
      <c r="N46" t="s">
        <v>244</v>
      </c>
      <c r="O46" t="s">
        <v>198</v>
      </c>
      <c r="P46" s="22"/>
    </row>
    <row r="47" spans="1:16">
      <c r="A47" s="1">
        <v>730865530076</v>
      </c>
      <c r="B47" s="41">
        <v>20974</v>
      </c>
      <c r="C47" t="s">
        <v>245</v>
      </c>
      <c r="D47" t="s">
        <v>81</v>
      </c>
      <c r="E47" s="6">
        <v>50</v>
      </c>
      <c r="F47" s="68">
        <v>15</v>
      </c>
      <c r="G47" s="6">
        <v>20</v>
      </c>
      <c r="H47" s="64">
        <f t="shared" si="2"/>
        <v>15</v>
      </c>
      <c r="I47" s="48">
        <v>42033</v>
      </c>
      <c r="J47" s="66">
        <f t="shared" si="3"/>
        <v>-35</v>
      </c>
      <c r="K47" t="s">
        <v>61</v>
      </c>
      <c r="L47" s="41">
        <v>9</v>
      </c>
      <c r="M47" t="s">
        <v>176</v>
      </c>
      <c r="N47" t="s">
        <v>177</v>
      </c>
      <c r="O47" t="s">
        <v>246</v>
      </c>
      <c r="P47" s="22"/>
    </row>
    <row r="48" spans="1:16">
      <c r="A48" s="14">
        <v>730865530199</v>
      </c>
      <c r="B48" s="63">
        <v>21431</v>
      </c>
      <c r="C48" s="10" t="s">
        <v>247</v>
      </c>
      <c r="D48" s="10" t="s">
        <v>105</v>
      </c>
      <c r="E48" s="64">
        <v>24</v>
      </c>
      <c r="F48" s="64">
        <v>30</v>
      </c>
      <c r="G48" s="64">
        <v>30</v>
      </c>
      <c r="H48" s="64">
        <f t="shared" si="2"/>
        <v>30</v>
      </c>
      <c r="I48" s="62">
        <v>42033</v>
      </c>
      <c r="J48" s="66">
        <f t="shared" si="3"/>
        <v>6</v>
      </c>
      <c r="K48" s="10" t="s">
        <v>165</v>
      </c>
      <c r="L48" s="63"/>
      <c r="M48" s="10" t="s">
        <v>176</v>
      </c>
      <c r="N48" s="10" t="s">
        <v>177</v>
      </c>
      <c r="O48" s="10"/>
      <c r="P48" s="22"/>
    </row>
    <row r="49" spans="1:16">
      <c r="A49" s="1">
        <v>146333356762</v>
      </c>
      <c r="B49" s="41">
        <v>21648</v>
      </c>
      <c r="C49" s="10" t="s">
        <v>248</v>
      </c>
      <c r="D49" s="10" t="s">
        <v>81</v>
      </c>
      <c r="E49" s="6">
        <v>40</v>
      </c>
      <c r="F49" s="67">
        <v>27</v>
      </c>
      <c r="G49" s="6">
        <v>30</v>
      </c>
      <c r="H49" s="64">
        <f t="shared" si="2"/>
        <v>27</v>
      </c>
      <c r="I49" s="48">
        <v>42033</v>
      </c>
      <c r="J49" s="66">
        <f t="shared" si="3"/>
        <v>-13</v>
      </c>
      <c r="K49" s="10" t="s">
        <v>184</v>
      </c>
      <c r="M49" s="10" t="s">
        <v>176</v>
      </c>
      <c r="N49" s="10" t="s">
        <v>122</v>
      </c>
      <c r="P49" s="22"/>
    </row>
    <row r="50" spans="1:16">
      <c r="A50" s="17">
        <v>730865530380</v>
      </c>
      <c r="B50" s="43">
        <v>21845</v>
      </c>
      <c r="C50" s="32" t="s">
        <v>249</v>
      </c>
      <c r="D50" s="32" t="s">
        <v>105</v>
      </c>
      <c r="E50" s="53">
        <v>24</v>
      </c>
      <c r="F50" s="53">
        <v>30</v>
      </c>
      <c r="G50" s="53">
        <v>30</v>
      </c>
      <c r="H50" s="64">
        <f t="shared" si="2"/>
        <v>30</v>
      </c>
      <c r="I50" s="62">
        <v>42033</v>
      </c>
      <c r="J50" s="66">
        <f t="shared" si="3"/>
        <v>6</v>
      </c>
      <c r="K50" s="32" t="s">
        <v>165</v>
      </c>
      <c r="L50" s="43"/>
      <c r="M50" s="32" t="s">
        <v>176</v>
      </c>
      <c r="N50" s="32" t="s">
        <v>177</v>
      </c>
      <c r="O50" s="32"/>
      <c r="P50" s="22"/>
    </row>
    <row r="51" spans="1:16">
      <c r="A51" s="1">
        <v>752919460030</v>
      </c>
      <c r="B51" s="41">
        <v>20071</v>
      </c>
      <c r="C51" t="s">
        <v>250</v>
      </c>
      <c r="D51" t="s">
        <v>81</v>
      </c>
      <c r="E51" s="6">
        <v>2</v>
      </c>
      <c r="F51" s="6">
        <v>20</v>
      </c>
      <c r="G51" s="6">
        <v>14</v>
      </c>
      <c r="H51" s="64">
        <f t="shared" si="2"/>
        <v>14</v>
      </c>
      <c r="I51" s="48">
        <v>42127</v>
      </c>
      <c r="J51" s="66">
        <f t="shared" si="3"/>
        <v>12</v>
      </c>
      <c r="K51" t="s">
        <v>96</v>
      </c>
      <c r="M51" t="s">
        <v>176</v>
      </c>
      <c r="N51" t="s">
        <v>251</v>
      </c>
      <c r="P51" s="22"/>
    </row>
    <row r="52" spans="1:16">
      <c r="A52" s="1">
        <v>71042527807</v>
      </c>
      <c r="B52" s="41">
        <v>21269</v>
      </c>
      <c r="C52" s="10" t="s">
        <v>252</v>
      </c>
      <c r="D52" s="10" t="s">
        <v>81</v>
      </c>
      <c r="E52" s="6">
        <v>2</v>
      </c>
      <c r="F52" s="6">
        <v>23</v>
      </c>
      <c r="G52" s="6">
        <v>14</v>
      </c>
      <c r="H52" s="64">
        <f t="shared" si="2"/>
        <v>14</v>
      </c>
      <c r="I52" s="48">
        <v>42128</v>
      </c>
      <c r="J52" s="66">
        <f t="shared" si="3"/>
        <v>12</v>
      </c>
      <c r="K52" s="10" t="s">
        <v>96</v>
      </c>
      <c r="M52" s="10" t="s">
        <v>176</v>
      </c>
      <c r="N52" s="10" t="s">
        <v>218</v>
      </c>
      <c r="O52" s="10" t="s">
        <v>253</v>
      </c>
      <c r="P52" s="22"/>
    </row>
    <row r="53" spans="1:16">
      <c r="A53" s="1">
        <v>13388260010</v>
      </c>
      <c r="B53" s="41">
        <v>20018</v>
      </c>
      <c r="C53" s="10" t="s">
        <v>254</v>
      </c>
      <c r="D53" s="10" t="s">
        <v>81</v>
      </c>
      <c r="E53" s="6">
        <v>2</v>
      </c>
      <c r="F53" s="6">
        <v>12</v>
      </c>
      <c r="G53" s="6">
        <v>8</v>
      </c>
      <c r="H53" s="64">
        <f t="shared" si="2"/>
        <v>8</v>
      </c>
      <c r="I53" s="48">
        <v>42131</v>
      </c>
      <c r="J53" s="66">
        <f t="shared" si="3"/>
        <v>6</v>
      </c>
      <c r="K53" s="10" t="s">
        <v>184</v>
      </c>
      <c r="M53" s="10" t="s">
        <v>176</v>
      </c>
      <c r="N53" s="10" t="s">
        <v>255</v>
      </c>
      <c r="O53" s="10" t="s">
        <v>256</v>
      </c>
      <c r="P53" s="22"/>
    </row>
    <row r="54" spans="1:16">
      <c r="A54" s="1">
        <v>10086630060</v>
      </c>
      <c r="B54" s="41">
        <v>20323</v>
      </c>
      <c r="C54" t="s">
        <v>257</v>
      </c>
      <c r="D54" t="s">
        <v>81</v>
      </c>
      <c r="E54" s="6">
        <v>2</v>
      </c>
      <c r="F54" s="6">
        <v>6</v>
      </c>
      <c r="G54" s="6">
        <v>6</v>
      </c>
      <c r="H54" s="64">
        <f t="shared" si="2"/>
        <v>6</v>
      </c>
      <c r="I54" s="48">
        <v>42131</v>
      </c>
      <c r="J54" s="66">
        <f t="shared" si="3"/>
        <v>4</v>
      </c>
      <c r="K54" s="10" t="s">
        <v>184</v>
      </c>
      <c r="M54" s="10" t="s">
        <v>176</v>
      </c>
      <c r="N54" s="10" t="s">
        <v>258</v>
      </c>
      <c r="P54" s="22"/>
    </row>
    <row r="55" spans="1:16">
      <c r="A55" s="1">
        <v>722674021296</v>
      </c>
      <c r="B55" s="41">
        <v>20328</v>
      </c>
      <c r="C55" s="10" t="s">
        <v>259</v>
      </c>
      <c r="D55" s="10" t="s">
        <v>81</v>
      </c>
      <c r="E55" s="6">
        <v>2</v>
      </c>
      <c r="F55" s="6">
        <v>13</v>
      </c>
      <c r="G55" s="6">
        <v>20</v>
      </c>
      <c r="H55" s="64">
        <f t="shared" si="2"/>
        <v>13</v>
      </c>
      <c r="I55" s="48">
        <v>42131</v>
      </c>
      <c r="J55" s="66">
        <f t="shared" si="3"/>
        <v>11</v>
      </c>
      <c r="K55" s="10" t="s">
        <v>184</v>
      </c>
      <c r="M55" s="10" t="s">
        <v>176</v>
      </c>
      <c r="N55" s="10" t="s">
        <v>211</v>
      </c>
      <c r="P55" s="22"/>
    </row>
    <row r="56" spans="1:16" s="3" customFormat="1">
      <c r="A56" s="1">
        <v>13388260096</v>
      </c>
      <c r="B56" s="41">
        <v>20393</v>
      </c>
      <c r="C56" s="10" t="s">
        <v>260</v>
      </c>
      <c r="D56" s="10" t="s">
        <v>81</v>
      </c>
      <c r="E56" s="6">
        <v>2</v>
      </c>
      <c r="F56" s="53">
        <v>10</v>
      </c>
      <c r="G56" s="6">
        <v>10</v>
      </c>
      <c r="H56" s="64">
        <f t="shared" si="2"/>
        <v>10</v>
      </c>
      <c r="I56" s="48">
        <v>42131</v>
      </c>
      <c r="J56" s="66">
        <f t="shared" si="3"/>
        <v>8</v>
      </c>
      <c r="K56" s="10" t="s">
        <v>184</v>
      </c>
      <c r="L56" s="41"/>
      <c r="M56" s="10" t="s">
        <v>176</v>
      </c>
      <c r="N56" s="10" t="s">
        <v>255</v>
      </c>
      <c r="O56"/>
      <c r="P56" s="24"/>
    </row>
    <row r="57" spans="1:16">
      <c r="A57" s="1">
        <v>752919460108</v>
      </c>
      <c r="B57" s="41">
        <v>20402</v>
      </c>
      <c r="C57" s="10" t="s">
        <v>261</v>
      </c>
      <c r="D57" s="10" t="s">
        <v>81</v>
      </c>
      <c r="E57" s="6">
        <v>0</v>
      </c>
      <c r="F57" s="53">
        <v>16</v>
      </c>
      <c r="G57" s="6">
        <v>14</v>
      </c>
      <c r="H57" s="64">
        <f t="shared" si="2"/>
        <v>14</v>
      </c>
      <c r="I57" s="48">
        <v>42131</v>
      </c>
      <c r="J57" s="66">
        <f t="shared" si="3"/>
        <v>14</v>
      </c>
      <c r="K57" s="10" t="s">
        <v>184</v>
      </c>
      <c r="M57" s="10" t="s">
        <v>176</v>
      </c>
      <c r="N57" s="10" t="s">
        <v>251</v>
      </c>
      <c r="P57" s="22"/>
    </row>
    <row r="58" spans="1:16">
      <c r="A58" s="1">
        <v>788687500128</v>
      </c>
      <c r="B58" s="41">
        <v>20414</v>
      </c>
      <c r="C58" s="10" t="s">
        <v>262</v>
      </c>
      <c r="D58" s="10" t="s">
        <v>81</v>
      </c>
      <c r="E58" s="6">
        <v>2</v>
      </c>
      <c r="F58" s="53">
        <v>25</v>
      </c>
      <c r="G58" s="6">
        <v>26</v>
      </c>
      <c r="H58" s="64">
        <f t="shared" si="2"/>
        <v>25</v>
      </c>
      <c r="I58" s="48">
        <v>42131</v>
      </c>
      <c r="J58" s="66">
        <f t="shared" si="3"/>
        <v>23</v>
      </c>
      <c r="K58" s="10" t="s">
        <v>96</v>
      </c>
      <c r="M58" s="10" t="s">
        <v>176</v>
      </c>
      <c r="N58" s="10" t="s">
        <v>208</v>
      </c>
      <c r="O58" s="10" t="s">
        <v>263</v>
      </c>
      <c r="P58" s="22"/>
    </row>
    <row r="59" spans="1:16">
      <c r="A59" s="1">
        <v>10086630169</v>
      </c>
      <c r="B59" s="41">
        <v>20459</v>
      </c>
      <c r="C59" s="10" t="s">
        <v>264</v>
      </c>
      <c r="D59" s="10" t="s">
        <v>81</v>
      </c>
      <c r="E59" s="6">
        <v>2</v>
      </c>
      <c r="F59" s="53">
        <v>10</v>
      </c>
      <c r="G59" s="6">
        <v>10</v>
      </c>
      <c r="H59" s="64">
        <f t="shared" si="2"/>
        <v>10</v>
      </c>
      <c r="I59" s="48">
        <v>42131</v>
      </c>
      <c r="J59" s="66">
        <f t="shared" si="3"/>
        <v>8</v>
      </c>
      <c r="K59" s="10" t="s">
        <v>184</v>
      </c>
      <c r="M59" s="10" t="s">
        <v>176</v>
      </c>
      <c r="N59" s="10" t="s">
        <v>258</v>
      </c>
      <c r="O59" s="10" t="s">
        <v>256</v>
      </c>
      <c r="P59" s="22"/>
    </row>
    <row r="60" spans="1:16">
      <c r="A60" s="1">
        <v>722674021432</v>
      </c>
      <c r="B60" s="41">
        <v>20643</v>
      </c>
      <c r="C60" t="s">
        <v>265</v>
      </c>
      <c r="D60" t="s">
        <v>81</v>
      </c>
      <c r="E60" s="6">
        <v>2</v>
      </c>
      <c r="F60" s="53">
        <v>7</v>
      </c>
      <c r="G60" s="53">
        <v>10</v>
      </c>
      <c r="H60" s="64">
        <f t="shared" si="2"/>
        <v>7</v>
      </c>
      <c r="I60" s="48">
        <v>42131</v>
      </c>
      <c r="J60" s="66">
        <f t="shared" si="3"/>
        <v>5</v>
      </c>
      <c r="K60" s="10" t="s">
        <v>184</v>
      </c>
      <c r="M60" s="10" t="s">
        <v>176</v>
      </c>
      <c r="N60" s="10" t="s">
        <v>211</v>
      </c>
      <c r="P60" s="22"/>
    </row>
    <row r="61" spans="1:16">
      <c r="A61" s="14">
        <v>8888321125</v>
      </c>
      <c r="B61" s="63">
        <v>20763</v>
      </c>
      <c r="C61" s="74" t="s">
        <v>266</v>
      </c>
      <c r="D61" s="10" t="s">
        <v>81</v>
      </c>
      <c r="E61" s="64">
        <v>2</v>
      </c>
      <c r="F61" s="64">
        <v>13</v>
      </c>
      <c r="G61" s="64">
        <v>15</v>
      </c>
      <c r="H61" s="64">
        <f t="shared" si="2"/>
        <v>13</v>
      </c>
      <c r="I61" s="58">
        <v>42131</v>
      </c>
      <c r="J61" s="66">
        <f t="shared" si="3"/>
        <v>11</v>
      </c>
      <c r="K61" s="10" t="s">
        <v>96</v>
      </c>
      <c r="L61" s="63"/>
      <c r="M61" s="10" t="s">
        <v>176</v>
      </c>
      <c r="N61" s="10" t="s">
        <v>191</v>
      </c>
      <c r="O61" s="10"/>
      <c r="P61" s="22"/>
    </row>
    <row r="62" spans="1:16">
      <c r="A62" s="17">
        <v>752919460658</v>
      </c>
      <c r="B62" s="43">
        <v>20872</v>
      </c>
      <c r="C62" s="32" t="s">
        <v>267</v>
      </c>
      <c r="D62" s="32" t="s">
        <v>81</v>
      </c>
      <c r="E62" s="53">
        <v>0</v>
      </c>
      <c r="F62" s="53">
        <v>10</v>
      </c>
      <c r="G62" s="53">
        <v>10</v>
      </c>
      <c r="H62" s="64">
        <f t="shared" si="2"/>
        <v>10</v>
      </c>
      <c r="I62" s="62">
        <v>42131</v>
      </c>
      <c r="J62" s="66">
        <f t="shared" si="3"/>
        <v>10</v>
      </c>
      <c r="K62" s="32" t="s">
        <v>184</v>
      </c>
      <c r="L62" s="43"/>
      <c r="M62" s="32" t="s">
        <v>176</v>
      </c>
      <c r="N62" s="32" t="s">
        <v>251</v>
      </c>
      <c r="O62" s="32"/>
      <c r="P62" s="22"/>
    </row>
    <row r="63" spans="1:16">
      <c r="A63" s="14" t="s">
        <v>223</v>
      </c>
      <c r="B63" s="41">
        <v>20909</v>
      </c>
      <c r="C63" s="10" t="s">
        <v>268</v>
      </c>
      <c r="D63" s="10" t="s">
        <v>81</v>
      </c>
      <c r="E63" s="6">
        <v>0</v>
      </c>
      <c r="F63" s="53">
        <v>8</v>
      </c>
      <c r="G63" s="6">
        <v>20</v>
      </c>
      <c r="H63" s="64">
        <f t="shared" si="2"/>
        <v>8</v>
      </c>
      <c r="I63" s="48">
        <v>42131</v>
      </c>
      <c r="J63" s="66">
        <f t="shared" si="3"/>
        <v>8</v>
      </c>
      <c r="K63" s="10" t="s">
        <v>184</v>
      </c>
      <c r="M63" s="10" t="s">
        <v>176</v>
      </c>
      <c r="N63" s="10" t="s">
        <v>269</v>
      </c>
      <c r="P63" s="22"/>
    </row>
    <row r="64" spans="1:16">
      <c r="A64" s="1">
        <v>14633148480</v>
      </c>
      <c r="B64" s="41">
        <v>21027</v>
      </c>
      <c r="C64" t="s">
        <v>270</v>
      </c>
      <c r="D64" t="s">
        <v>81</v>
      </c>
      <c r="E64" s="6">
        <v>25</v>
      </c>
      <c r="F64" s="67">
        <v>18</v>
      </c>
      <c r="G64" s="6">
        <v>23</v>
      </c>
      <c r="H64" s="64">
        <f t="shared" si="2"/>
        <v>18</v>
      </c>
      <c r="I64" s="48">
        <v>42131</v>
      </c>
      <c r="J64" s="66">
        <f t="shared" si="3"/>
        <v>-7</v>
      </c>
      <c r="K64" t="s">
        <v>61</v>
      </c>
      <c r="L64" s="41">
        <v>8</v>
      </c>
      <c r="M64" t="s">
        <v>176</v>
      </c>
      <c r="N64" t="s">
        <v>122</v>
      </c>
      <c r="P64" s="22"/>
    </row>
    <row r="65" spans="1:17">
      <c r="A65" s="1">
        <v>20626725026</v>
      </c>
      <c r="B65" s="41">
        <v>21372</v>
      </c>
      <c r="C65" s="74" t="s">
        <v>271</v>
      </c>
      <c r="D65" s="10" t="s">
        <v>81</v>
      </c>
      <c r="E65" s="6">
        <v>0</v>
      </c>
      <c r="F65" s="6">
        <v>26</v>
      </c>
      <c r="G65" s="6">
        <v>30</v>
      </c>
      <c r="H65" s="64">
        <f t="shared" si="2"/>
        <v>26</v>
      </c>
      <c r="I65" s="48">
        <v>42131</v>
      </c>
      <c r="J65" s="66">
        <f t="shared" si="3"/>
        <v>26</v>
      </c>
      <c r="K65" s="10" t="s">
        <v>184</v>
      </c>
      <c r="M65" s="10" t="s">
        <v>176</v>
      </c>
      <c r="N65" s="10" t="s">
        <v>269</v>
      </c>
      <c r="P65" s="22"/>
    </row>
    <row r="66" spans="1:17" ht="13.5" customHeight="1">
      <c r="A66" s="1">
        <v>85782300123</v>
      </c>
      <c r="B66" s="41">
        <v>21604</v>
      </c>
      <c r="C66" s="10" t="s">
        <v>272</v>
      </c>
      <c r="D66" s="10" t="s">
        <v>105</v>
      </c>
      <c r="E66" s="6">
        <v>40</v>
      </c>
      <c r="F66" s="6">
        <v>47</v>
      </c>
      <c r="G66" s="6">
        <v>37</v>
      </c>
      <c r="H66" s="64">
        <f t="shared" ref="H66:H97" si="4">MIN(F66:G66)</f>
        <v>37</v>
      </c>
      <c r="I66" s="48">
        <v>42131</v>
      </c>
      <c r="J66" s="66">
        <f t="shared" ref="J66:J95" si="5">MIN(F66:G66)-E66</f>
        <v>-3</v>
      </c>
      <c r="K66" s="32" t="s">
        <v>165</v>
      </c>
      <c r="M66" s="10" t="s">
        <v>176</v>
      </c>
      <c r="N66" s="10" t="s">
        <v>244</v>
      </c>
      <c r="P66" s="22"/>
    </row>
    <row r="67" spans="1:17" ht="13.5" customHeight="1">
      <c r="A67" s="1">
        <v>853333001202</v>
      </c>
      <c r="B67" s="41">
        <v>21634</v>
      </c>
      <c r="C67" s="10" t="s">
        <v>273</v>
      </c>
      <c r="D67" s="10" t="s">
        <v>81</v>
      </c>
      <c r="E67" s="6">
        <v>0</v>
      </c>
      <c r="F67" s="6">
        <v>15</v>
      </c>
      <c r="G67" s="6">
        <v>4</v>
      </c>
      <c r="H67" s="64">
        <f t="shared" si="4"/>
        <v>4</v>
      </c>
      <c r="I67" s="48">
        <v>42131</v>
      </c>
      <c r="J67" s="66">
        <f t="shared" si="5"/>
        <v>4</v>
      </c>
      <c r="K67" s="10" t="s">
        <v>184</v>
      </c>
      <c r="M67" s="10" t="s">
        <v>176</v>
      </c>
      <c r="N67" s="10" t="s">
        <v>274</v>
      </c>
      <c r="P67" s="22"/>
    </row>
    <row r="68" spans="1:17" s="10" customFormat="1" ht="13.5" customHeight="1">
      <c r="A68" s="14" t="s">
        <v>223</v>
      </c>
      <c r="B68" s="41">
        <v>95503</v>
      </c>
      <c r="C68" s="10" t="s">
        <v>275</v>
      </c>
      <c r="D68" s="10" t="s">
        <v>81</v>
      </c>
      <c r="E68" s="6">
        <v>2</v>
      </c>
      <c r="F68" s="64">
        <v>15</v>
      </c>
      <c r="G68" s="64">
        <v>6</v>
      </c>
      <c r="H68" s="64">
        <f t="shared" si="4"/>
        <v>6</v>
      </c>
      <c r="I68" s="48">
        <v>42131</v>
      </c>
      <c r="J68" s="66">
        <f t="shared" si="5"/>
        <v>4</v>
      </c>
      <c r="K68" s="10" t="s">
        <v>86</v>
      </c>
      <c r="L68" s="41"/>
      <c r="M68" s="10" t="s">
        <v>176</v>
      </c>
      <c r="N68" s="10" t="s">
        <v>82</v>
      </c>
      <c r="O68" s="10" t="s">
        <v>256</v>
      </c>
      <c r="P68" s="65"/>
    </row>
    <row r="69" spans="1:17" s="10" customFormat="1" ht="13.5" customHeight="1">
      <c r="A69" s="1">
        <v>711719711124</v>
      </c>
      <c r="B69" s="41">
        <v>97111</v>
      </c>
      <c r="C69" s="10" t="s">
        <v>276</v>
      </c>
      <c r="D69" s="10" t="s">
        <v>81</v>
      </c>
      <c r="E69" s="6">
        <v>2</v>
      </c>
      <c r="F69" s="64">
        <v>27</v>
      </c>
      <c r="G69" s="64" t="s">
        <v>89</v>
      </c>
      <c r="H69" s="64">
        <f t="shared" si="4"/>
        <v>27</v>
      </c>
      <c r="I69" s="48">
        <v>42131</v>
      </c>
      <c r="J69" s="66">
        <f t="shared" si="5"/>
        <v>25</v>
      </c>
      <c r="K69" s="10" t="s">
        <v>86</v>
      </c>
      <c r="L69" s="41"/>
      <c r="M69" s="10" t="s">
        <v>176</v>
      </c>
      <c r="N69" s="10" t="s">
        <v>82</v>
      </c>
      <c r="O69"/>
      <c r="P69" s="65"/>
    </row>
    <row r="70" spans="1:17" s="10" customFormat="1" ht="13.5" customHeight="1">
      <c r="A70" s="1">
        <v>711719711223</v>
      </c>
      <c r="B70" s="41">
        <v>97112</v>
      </c>
      <c r="C70" s="10" t="s">
        <v>277</v>
      </c>
      <c r="D70" s="10" t="s">
        <v>81</v>
      </c>
      <c r="E70" s="6">
        <v>2</v>
      </c>
      <c r="F70" s="64">
        <v>18</v>
      </c>
      <c r="G70" s="64">
        <v>9</v>
      </c>
      <c r="H70" s="64">
        <f t="shared" si="4"/>
        <v>9</v>
      </c>
      <c r="I70" s="48">
        <v>42131</v>
      </c>
      <c r="J70" s="66">
        <f t="shared" si="5"/>
        <v>7</v>
      </c>
      <c r="K70" s="10" t="s">
        <v>86</v>
      </c>
      <c r="L70" s="41"/>
      <c r="M70" s="10" t="s">
        <v>176</v>
      </c>
      <c r="N70" s="10" t="s">
        <v>82</v>
      </c>
      <c r="O70"/>
      <c r="P70" s="65"/>
    </row>
    <row r="71" spans="1:17" s="32" customFormat="1" ht="13.5" customHeight="1">
      <c r="A71" s="1">
        <v>14633147896</v>
      </c>
      <c r="B71" s="41">
        <v>20936</v>
      </c>
      <c r="C71" s="10" t="s">
        <v>278</v>
      </c>
      <c r="D71" s="10" t="s">
        <v>81</v>
      </c>
      <c r="E71" s="6">
        <v>2</v>
      </c>
      <c r="F71" s="6">
        <v>6</v>
      </c>
      <c r="G71" s="6">
        <v>4</v>
      </c>
      <c r="H71" s="64">
        <f t="shared" si="4"/>
        <v>4</v>
      </c>
      <c r="I71" s="48">
        <v>42134</v>
      </c>
      <c r="J71" s="66">
        <f t="shared" si="5"/>
        <v>2</v>
      </c>
      <c r="K71" s="10" t="s">
        <v>184</v>
      </c>
      <c r="L71" s="41"/>
      <c r="M71" s="10" t="s">
        <v>176</v>
      </c>
      <c r="N71" s="10" t="s">
        <v>279</v>
      </c>
      <c r="O71"/>
      <c r="P71" s="36"/>
    </row>
    <row r="72" spans="1:17" s="32" customFormat="1" ht="13.5" customHeight="1">
      <c r="A72" s="1">
        <v>711719713128</v>
      </c>
      <c r="B72" s="41">
        <v>97131</v>
      </c>
      <c r="C72" s="10" t="s">
        <v>280</v>
      </c>
      <c r="D72" s="10" t="s">
        <v>81</v>
      </c>
      <c r="E72" s="6">
        <v>2</v>
      </c>
      <c r="F72" s="64">
        <v>6</v>
      </c>
      <c r="G72" s="64">
        <v>4</v>
      </c>
      <c r="H72" s="64">
        <f t="shared" si="4"/>
        <v>4</v>
      </c>
      <c r="I72" s="48">
        <v>42134</v>
      </c>
      <c r="J72" s="66">
        <f t="shared" si="5"/>
        <v>2</v>
      </c>
      <c r="K72" s="10" t="s">
        <v>86</v>
      </c>
      <c r="L72" s="41"/>
      <c r="M72" s="10" t="s">
        <v>176</v>
      </c>
      <c r="N72" s="10" t="s">
        <v>82</v>
      </c>
      <c r="O72"/>
      <c r="P72" s="36"/>
    </row>
    <row r="73" spans="1:17" s="32" customFormat="1" ht="13.5" customHeight="1">
      <c r="A73" s="1">
        <v>47875807310</v>
      </c>
      <c r="B73" s="41">
        <v>20965</v>
      </c>
      <c r="C73" t="s">
        <v>281</v>
      </c>
      <c r="D73" t="s">
        <v>81</v>
      </c>
      <c r="E73" s="6">
        <v>2</v>
      </c>
      <c r="F73" s="64">
        <v>9</v>
      </c>
      <c r="G73" s="6">
        <v>10</v>
      </c>
      <c r="H73" s="64">
        <f t="shared" si="4"/>
        <v>9</v>
      </c>
      <c r="I73" s="48">
        <v>42148</v>
      </c>
      <c r="J73" s="66">
        <f t="shared" si="5"/>
        <v>7</v>
      </c>
      <c r="K73" s="10" t="s">
        <v>184</v>
      </c>
      <c r="L73" s="41"/>
      <c r="M73" s="10" t="s">
        <v>176</v>
      </c>
      <c r="N73" s="10" t="s">
        <v>251</v>
      </c>
      <c r="O73"/>
      <c r="P73" s="36"/>
    </row>
    <row r="74" spans="1:17">
      <c r="A74" s="17">
        <v>857823001437</v>
      </c>
      <c r="B74" s="43">
        <v>21788</v>
      </c>
      <c r="C74" s="32" t="s">
        <v>282</v>
      </c>
      <c r="D74" s="32" t="s">
        <v>105</v>
      </c>
      <c r="E74" s="53">
        <v>70</v>
      </c>
      <c r="F74" s="67">
        <v>135</v>
      </c>
      <c r="G74" s="53">
        <v>85</v>
      </c>
      <c r="H74" s="64">
        <f t="shared" si="4"/>
        <v>85</v>
      </c>
      <c r="I74" s="48">
        <v>42162</v>
      </c>
      <c r="J74" s="66">
        <f t="shared" si="5"/>
        <v>15</v>
      </c>
      <c r="K74" s="32" t="s">
        <v>165</v>
      </c>
      <c r="L74" s="43"/>
      <c r="M74" s="32" t="s">
        <v>176</v>
      </c>
      <c r="N74" s="32" t="s">
        <v>244</v>
      </c>
      <c r="O74" s="32" t="s">
        <v>283</v>
      </c>
      <c r="P74" s="22"/>
    </row>
    <row r="75" spans="1:17">
      <c r="A75" s="17">
        <v>857823001352</v>
      </c>
      <c r="B75" s="43">
        <v>27037</v>
      </c>
      <c r="C75" s="32" t="s">
        <v>284</v>
      </c>
      <c r="D75" s="32" t="s">
        <v>105</v>
      </c>
      <c r="E75" s="53">
        <v>52</v>
      </c>
      <c r="F75" s="83">
        <v>85</v>
      </c>
      <c r="G75" s="53">
        <v>85</v>
      </c>
      <c r="H75" s="64">
        <f t="shared" si="4"/>
        <v>85</v>
      </c>
      <c r="I75" s="62">
        <v>42162</v>
      </c>
      <c r="J75" s="66">
        <f t="shared" si="5"/>
        <v>33</v>
      </c>
      <c r="K75" s="32" t="s">
        <v>165</v>
      </c>
      <c r="L75" s="43"/>
      <c r="M75" s="127" t="s">
        <v>176</v>
      </c>
      <c r="N75" s="32"/>
      <c r="O75" s="32"/>
      <c r="P75" s="22"/>
    </row>
    <row r="76" spans="1:17">
      <c r="A76" s="17">
        <v>857823001352</v>
      </c>
      <c r="B76" s="43">
        <v>27037</v>
      </c>
      <c r="C76" s="32" t="s">
        <v>284</v>
      </c>
      <c r="D76" s="32" t="s">
        <v>105</v>
      </c>
      <c r="E76" s="53">
        <v>45</v>
      </c>
      <c r="F76" s="83">
        <v>85</v>
      </c>
      <c r="G76" s="53">
        <v>85</v>
      </c>
      <c r="H76" s="64">
        <f t="shared" si="4"/>
        <v>85</v>
      </c>
      <c r="I76" s="62">
        <v>42162</v>
      </c>
      <c r="J76" s="66">
        <f t="shared" si="5"/>
        <v>40</v>
      </c>
      <c r="K76" s="32" t="s">
        <v>165</v>
      </c>
      <c r="L76" s="43"/>
      <c r="M76" s="32" t="s">
        <v>176</v>
      </c>
      <c r="N76" s="32" t="s">
        <v>244</v>
      </c>
      <c r="O76" s="32" t="s">
        <v>283</v>
      </c>
      <c r="P76" s="22"/>
    </row>
    <row r="77" spans="1:17">
      <c r="A77" s="1">
        <v>711719720324</v>
      </c>
      <c r="B77" s="41">
        <v>97203</v>
      </c>
      <c r="C77" t="s">
        <v>285</v>
      </c>
      <c r="D77" t="s">
        <v>105</v>
      </c>
      <c r="E77" s="6">
        <v>10</v>
      </c>
      <c r="F77" s="55" t="s">
        <v>42</v>
      </c>
      <c r="G77" s="55">
        <v>58</v>
      </c>
      <c r="H77" s="64">
        <f t="shared" si="4"/>
        <v>58</v>
      </c>
      <c r="I77" s="48">
        <v>42162</v>
      </c>
      <c r="J77" s="66">
        <f t="shared" si="5"/>
        <v>48</v>
      </c>
      <c r="K77" s="10" t="s">
        <v>86</v>
      </c>
      <c r="M77" t="s">
        <v>176</v>
      </c>
      <c r="N77" t="s">
        <v>82</v>
      </c>
      <c r="P77" s="22"/>
    </row>
    <row r="78" spans="1:17">
      <c r="A78" s="1">
        <v>711719721321</v>
      </c>
      <c r="B78" s="41">
        <v>97213</v>
      </c>
      <c r="C78" t="s">
        <v>286</v>
      </c>
      <c r="D78" t="s">
        <v>105</v>
      </c>
      <c r="E78" s="6">
        <v>10</v>
      </c>
      <c r="F78" s="55">
        <v>195</v>
      </c>
      <c r="G78" s="55">
        <v>185</v>
      </c>
      <c r="H78" s="64">
        <f t="shared" si="4"/>
        <v>185</v>
      </c>
      <c r="I78" s="48">
        <v>42162</v>
      </c>
      <c r="J78" s="66">
        <f t="shared" si="5"/>
        <v>175</v>
      </c>
      <c r="K78" s="10" t="s">
        <v>86</v>
      </c>
      <c r="M78" t="s">
        <v>176</v>
      </c>
      <c r="N78" t="s">
        <v>82</v>
      </c>
      <c r="P78" s="22"/>
    </row>
    <row r="79" spans="1:17">
      <c r="A79" s="1">
        <v>711719723127</v>
      </c>
      <c r="B79" s="41">
        <v>97231</v>
      </c>
      <c r="C79" t="s">
        <v>287</v>
      </c>
      <c r="D79" t="s">
        <v>105</v>
      </c>
      <c r="E79" s="6">
        <v>30</v>
      </c>
      <c r="F79" s="68">
        <v>26</v>
      </c>
      <c r="G79" s="6">
        <v>32</v>
      </c>
      <c r="H79" s="64">
        <f t="shared" si="4"/>
        <v>26</v>
      </c>
      <c r="I79" s="48">
        <v>42162</v>
      </c>
      <c r="J79" s="66">
        <f t="shared" si="5"/>
        <v>-4</v>
      </c>
      <c r="K79" s="10" t="s">
        <v>86</v>
      </c>
      <c r="M79" t="s">
        <v>176</v>
      </c>
      <c r="N79" t="s">
        <v>82</v>
      </c>
      <c r="P79" s="22"/>
      <c r="Q79" s="10"/>
    </row>
    <row r="80" spans="1:17">
      <c r="A80" s="1">
        <v>752919460597</v>
      </c>
      <c r="B80" s="41">
        <v>21060</v>
      </c>
      <c r="C80" t="s">
        <v>288</v>
      </c>
      <c r="D80" t="s">
        <v>81</v>
      </c>
      <c r="E80" s="6">
        <v>25</v>
      </c>
      <c r="F80" s="68">
        <v>6</v>
      </c>
      <c r="G80" s="6">
        <v>5</v>
      </c>
      <c r="H80" s="64">
        <f t="shared" si="4"/>
        <v>5</v>
      </c>
      <c r="I80" s="48">
        <v>42183</v>
      </c>
      <c r="J80" s="66">
        <f t="shared" si="5"/>
        <v>-20</v>
      </c>
      <c r="K80" t="s">
        <v>184</v>
      </c>
      <c r="L80" s="41">
        <v>6</v>
      </c>
      <c r="M80" s="10" t="s">
        <v>176</v>
      </c>
      <c r="N80" t="s">
        <v>251</v>
      </c>
      <c r="P80" s="22"/>
    </row>
    <row r="81" spans="1:16">
      <c r="B81" s="41">
        <v>21113</v>
      </c>
      <c r="C81" t="s">
        <v>289</v>
      </c>
      <c r="D81" t="s">
        <v>81</v>
      </c>
      <c r="E81" s="6">
        <v>40</v>
      </c>
      <c r="F81" s="68">
        <v>30</v>
      </c>
      <c r="G81" s="6">
        <v>20</v>
      </c>
      <c r="H81" s="64">
        <f t="shared" si="4"/>
        <v>20</v>
      </c>
      <c r="I81" s="48">
        <v>42183</v>
      </c>
      <c r="J81" s="66">
        <f t="shared" si="5"/>
        <v>-20</v>
      </c>
      <c r="K81" t="s">
        <v>61</v>
      </c>
      <c r="L81" s="41">
        <v>6</v>
      </c>
      <c r="M81" t="s">
        <v>176</v>
      </c>
      <c r="N81" t="s">
        <v>177</v>
      </c>
      <c r="P81" s="22"/>
    </row>
    <row r="82" spans="1:16">
      <c r="A82" s="1">
        <v>730865530113</v>
      </c>
      <c r="B82" s="41">
        <v>21132</v>
      </c>
      <c r="C82" t="s">
        <v>290</v>
      </c>
      <c r="D82" t="s">
        <v>81</v>
      </c>
      <c r="E82" s="6">
        <v>50</v>
      </c>
      <c r="F82" s="64" t="s">
        <v>89</v>
      </c>
      <c r="G82" s="6">
        <v>16</v>
      </c>
      <c r="H82" s="64">
        <f t="shared" si="4"/>
        <v>16</v>
      </c>
      <c r="I82" s="48">
        <v>42183</v>
      </c>
      <c r="J82" s="66">
        <f t="shared" si="5"/>
        <v>-34</v>
      </c>
      <c r="K82" t="s">
        <v>61</v>
      </c>
      <c r="L82" s="41">
        <v>8</v>
      </c>
      <c r="M82" t="s">
        <v>176</v>
      </c>
      <c r="N82" t="s">
        <v>177</v>
      </c>
      <c r="P82" s="22"/>
    </row>
    <row r="83" spans="1:16">
      <c r="A83" s="1">
        <v>730865530120</v>
      </c>
      <c r="B83" s="41">
        <v>21152</v>
      </c>
      <c r="C83" t="s">
        <v>291</v>
      </c>
      <c r="D83" t="s">
        <v>81</v>
      </c>
      <c r="E83" s="6">
        <v>60</v>
      </c>
      <c r="F83" s="68">
        <v>23</v>
      </c>
      <c r="G83" s="6">
        <v>18</v>
      </c>
      <c r="H83" s="64">
        <f t="shared" si="4"/>
        <v>18</v>
      </c>
      <c r="I83" s="48">
        <v>42183</v>
      </c>
      <c r="J83" s="66">
        <f t="shared" si="5"/>
        <v>-42</v>
      </c>
      <c r="K83" t="s">
        <v>61</v>
      </c>
      <c r="L83" s="41">
        <v>9</v>
      </c>
      <c r="M83" t="s">
        <v>176</v>
      </c>
      <c r="N83" t="s">
        <v>177</v>
      </c>
      <c r="O83" t="s">
        <v>292</v>
      </c>
      <c r="P83" s="22"/>
    </row>
    <row r="84" spans="1:16">
      <c r="A84" s="1">
        <v>722674100281</v>
      </c>
      <c r="B84" s="41">
        <v>21165</v>
      </c>
      <c r="C84" t="s">
        <v>293</v>
      </c>
      <c r="D84" t="s">
        <v>81</v>
      </c>
      <c r="E84" s="6">
        <v>15</v>
      </c>
      <c r="F84" s="64" t="s">
        <v>89</v>
      </c>
      <c r="G84" s="6">
        <v>16</v>
      </c>
      <c r="H84" s="64">
        <f t="shared" si="4"/>
        <v>16</v>
      </c>
      <c r="I84" s="48">
        <v>42183</v>
      </c>
      <c r="J84" s="66">
        <f t="shared" si="5"/>
        <v>1</v>
      </c>
      <c r="K84" t="s">
        <v>96</v>
      </c>
      <c r="M84" t="s">
        <v>176</v>
      </c>
      <c r="N84" t="s">
        <v>211</v>
      </c>
      <c r="P84" s="22"/>
    </row>
    <row r="85" spans="1:16">
      <c r="A85" s="1">
        <v>730865530151</v>
      </c>
      <c r="B85" s="41">
        <v>21170</v>
      </c>
      <c r="C85" t="s">
        <v>294</v>
      </c>
      <c r="D85" t="s">
        <v>81</v>
      </c>
      <c r="E85" s="6">
        <v>60</v>
      </c>
      <c r="F85" s="6">
        <v>40</v>
      </c>
      <c r="G85" s="6">
        <v>24</v>
      </c>
      <c r="H85" s="64">
        <f t="shared" si="4"/>
        <v>24</v>
      </c>
      <c r="I85" s="48">
        <v>42183</v>
      </c>
      <c r="J85" s="66">
        <f t="shared" si="5"/>
        <v>-36</v>
      </c>
      <c r="K85" s="37" t="s">
        <v>230</v>
      </c>
      <c r="M85" t="s">
        <v>176</v>
      </c>
      <c r="N85" t="s">
        <v>295</v>
      </c>
      <c r="P85" s="22"/>
    </row>
    <row r="86" spans="1:16">
      <c r="A86" s="1">
        <v>722674021036</v>
      </c>
      <c r="B86" s="41">
        <v>20001</v>
      </c>
      <c r="C86" t="s">
        <v>296</v>
      </c>
      <c r="D86" t="s">
        <v>81</v>
      </c>
      <c r="E86" s="6">
        <v>15</v>
      </c>
      <c r="F86" s="6">
        <v>0</v>
      </c>
      <c r="G86" s="6">
        <v>0</v>
      </c>
      <c r="H86" s="64">
        <f t="shared" si="4"/>
        <v>0</v>
      </c>
      <c r="I86" s="48">
        <v>42193</v>
      </c>
      <c r="J86" s="66">
        <f t="shared" si="5"/>
        <v>-15</v>
      </c>
      <c r="K86" t="s">
        <v>184</v>
      </c>
      <c r="L86" s="41">
        <v>6</v>
      </c>
      <c r="M86" t="s">
        <v>176</v>
      </c>
      <c r="N86" t="s">
        <v>211</v>
      </c>
      <c r="O86" t="s">
        <v>297</v>
      </c>
      <c r="P86" s="22"/>
    </row>
    <row r="87" spans="1:16">
      <c r="A87" s="1">
        <v>719593080084</v>
      </c>
      <c r="B87" s="41">
        <v>21171</v>
      </c>
      <c r="C87" t="s">
        <v>298</v>
      </c>
      <c r="D87" t="s">
        <v>81</v>
      </c>
      <c r="E87" s="6">
        <v>23</v>
      </c>
      <c r="F87" s="67">
        <v>36</v>
      </c>
      <c r="G87" s="6">
        <v>20</v>
      </c>
      <c r="H87" s="64">
        <f t="shared" si="4"/>
        <v>20</v>
      </c>
      <c r="I87" s="48">
        <v>42193</v>
      </c>
      <c r="J87" s="66">
        <f t="shared" si="5"/>
        <v>-3</v>
      </c>
      <c r="K87" s="10" t="s">
        <v>96</v>
      </c>
      <c r="M87" s="10" t="s">
        <v>176</v>
      </c>
      <c r="N87" s="10" t="s">
        <v>151</v>
      </c>
      <c r="P87" s="22"/>
    </row>
    <row r="88" spans="1:16">
      <c r="A88" s="1">
        <v>40198001427</v>
      </c>
      <c r="B88" s="41">
        <v>21202</v>
      </c>
      <c r="C88" t="s">
        <v>299</v>
      </c>
      <c r="D88" t="s">
        <v>81</v>
      </c>
      <c r="E88" s="6">
        <v>50</v>
      </c>
      <c r="F88" s="67">
        <v>67</v>
      </c>
      <c r="G88" s="6">
        <v>37</v>
      </c>
      <c r="H88" s="64">
        <f t="shared" si="4"/>
        <v>37</v>
      </c>
      <c r="I88" s="48">
        <v>42193</v>
      </c>
      <c r="J88" s="66">
        <f t="shared" si="5"/>
        <v>-13</v>
      </c>
      <c r="K88" t="s">
        <v>61</v>
      </c>
      <c r="L88" s="41">
        <v>9</v>
      </c>
      <c r="M88" t="s">
        <v>176</v>
      </c>
      <c r="N88" t="s">
        <v>136</v>
      </c>
      <c r="P88" s="22"/>
    </row>
    <row r="89" spans="1:16">
      <c r="A89" s="59">
        <v>857823001079</v>
      </c>
      <c r="B89" s="43">
        <v>21445</v>
      </c>
      <c r="C89" s="32" t="s">
        <v>300</v>
      </c>
      <c r="D89" s="32" t="s">
        <v>81</v>
      </c>
      <c r="E89" s="53">
        <v>60</v>
      </c>
      <c r="F89" s="68">
        <v>62</v>
      </c>
      <c r="G89" s="53" t="s">
        <v>89</v>
      </c>
      <c r="H89" s="64">
        <f t="shared" si="4"/>
        <v>62</v>
      </c>
      <c r="I89" s="48">
        <v>42193</v>
      </c>
      <c r="J89" s="66">
        <f t="shared" si="5"/>
        <v>2</v>
      </c>
      <c r="K89" s="32" t="s">
        <v>61</v>
      </c>
      <c r="L89" s="43"/>
      <c r="M89" s="32" t="s">
        <v>176</v>
      </c>
      <c r="N89" s="32" t="s">
        <v>244</v>
      </c>
      <c r="O89" s="32"/>
      <c r="P89" s="22"/>
    </row>
    <row r="90" spans="1:16">
      <c r="A90" s="1">
        <v>662248906102</v>
      </c>
      <c r="B90" s="41">
        <v>21452</v>
      </c>
      <c r="C90" t="s">
        <v>301</v>
      </c>
      <c r="D90" t="s">
        <v>81</v>
      </c>
      <c r="E90" s="6">
        <v>50</v>
      </c>
      <c r="F90" s="68">
        <v>32</v>
      </c>
      <c r="G90" s="6">
        <v>17</v>
      </c>
      <c r="H90" s="64">
        <f t="shared" si="4"/>
        <v>17</v>
      </c>
      <c r="I90" s="48">
        <v>42193</v>
      </c>
      <c r="J90" s="66">
        <f t="shared" si="5"/>
        <v>-33</v>
      </c>
      <c r="K90" t="s">
        <v>61</v>
      </c>
      <c r="L90" s="41">
        <v>9</v>
      </c>
      <c r="M90" t="s">
        <v>176</v>
      </c>
      <c r="N90" t="s">
        <v>213</v>
      </c>
      <c r="P90" s="22"/>
    </row>
    <row r="91" spans="1:16" s="3" customFormat="1">
      <c r="A91" s="1">
        <v>18946010328</v>
      </c>
      <c r="B91" s="41">
        <v>20702</v>
      </c>
      <c r="C91" t="s">
        <v>302</v>
      </c>
      <c r="D91" t="s">
        <v>81</v>
      </c>
      <c r="E91" s="6">
        <v>25</v>
      </c>
      <c r="F91" s="67" t="s">
        <v>89</v>
      </c>
      <c r="G91" s="67">
        <v>555</v>
      </c>
      <c r="H91" s="64">
        <f t="shared" si="4"/>
        <v>555</v>
      </c>
      <c r="I91" s="48">
        <v>42195</v>
      </c>
      <c r="J91" s="66">
        <f t="shared" si="5"/>
        <v>530</v>
      </c>
      <c r="K91" s="37" t="s">
        <v>230</v>
      </c>
      <c r="L91" s="41"/>
      <c r="M91" s="10" t="s">
        <v>176</v>
      </c>
      <c r="N91" t="s">
        <v>303</v>
      </c>
      <c r="O91"/>
      <c r="P91" s="24"/>
    </row>
    <row r="92" spans="1:16">
      <c r="A92" s="1">
        <v>662248900209</v>
      </c>
      <c r="B92" s="41">
        <v>20069</v>
      </c>
      <c r="C92" s="10" t="s">
        <v>304</v>
      </c>
      <c r="D92" s="10" t="s">
        <v>81</v>
      </c>
      <c r="E92" s="6">
        <v>7</v>
      </c>
      <c r="F92" s="6">
        <v>20</v>
      </c>
      <c r="G92" s="6">
        <v>20</v>
      </c>
      <c r="H92" s="64">
        <f t="shared" si="4"/>
        <v>20</v>
      </c>
      <c r="I92" s="48">
        <v>42358</v>
      </c>
      <c r="J92" s="66">
        <f t="shared" si="5"/>
        <v>13</v>
      </c>
      <c r="K92" s="10" t="s">
        <v>61</v>
      </c>
      <c r="M92" s="10" t="s">
        <v>176</v>
      </c>
      <c r="N92" s="10" t="s">
        <v>305</v>
      </c>
      <c r="O92" s="10"/>
      <c r="P92" s="22"/>
    </row>
    <row r="93" spans="1:16">
      <c r="A93" s="1">
        <v>662248906010</v>
      </c>
      <c r="B93" s="41">
        <v>21334</v>
      </c>
      <c r="C93" s="10" t="s">
        <v>306</v>
      </c>
      <c r="D93" s="10" t="s">
        <v>81</v>
      </c>
      <c r="E93" s="6">
        <v>4</v>
      </c>
      <c r="F93" s="6">
        <v>36</v>
      </c>
      <c r="G93" s="6">
        <v>47</v>
      </c>
      <c r="H93" s="64">
        <f t="shared" si="4"/>
        <v>36</v>
      </c>
      <c r="I93" s="48">
        <v>42366</v>
      </c>
      <c r="J93" s="66">
        <f t="shared" si="5"/>
        <v>32</v>
      </c>
      <c r="K93" s="10" t="s">
        <v>96</v>
      </c>
      <c r="M93" s="10" t="s">
        <v>176</v>
      </c>
      <c r="N93" s="10"/>
      <c r="P93" s="22"/>
    </row>
    <row r="94" spans="1:16">
      <c r="A94" s="1">
        <v>14633142587</v>
      </c>
      <c r="B94" s="41">
        <v>20098</v>
      </c>
      <c r="C94" t="s">
        <v>307</v>
      </c>
      <c r="D94" t="s">
        <v>81</v>
      </c>
      <c r="E94" s="6">
        <v>7</v>
      </c>
      <c r="F94" s="6">
        <v>9</v>
      </c>
      <c r="G94" s="6">
        <v>6</v>
      </c>
      <c r="H94" s="64">
        <f t="shared" si="4"/>
        <v>6</v>
      </c>
      <c r="I94" s="48">
        <v>42378</v>
      </c>
      <c r="J94" s="66">
        <f t="shared" si="5"/>
        <v>-1</v>
      </c>
      <c r="K94" t="s">
        <v>96</v>
      </c>
      <c r="M94" t="s">
        <v>176</v>
      </c>
      <c r="N94" t="s">
        <v>136</v>
      </c>
      <c r="P94" s="22"/>
    </row>
    <row r="95" spans="1:16" s="3" customFormat="1">
      <c r="A95" s="1">
        <v>83717200161</v>
      </c>
      <c r="B95" s="41">
        <v>20148</v>
      </c>
      <c r="C95" t="s">
        <v>308</v>
      </c>
      <c r="D95" t="s">
        <v>81</v>
      </c>
      <c r="E95" s="6">
        <v>4</v>
      </c>
      <c r="F95" s="6">
        <v>27</v>
      </c>
      <c r="G95" s="6">
        <v>12</v>
      </c>
      <c r="H95" s="64">
        <f t="shared" si="4"/>
        <v>12</v>
      </c>
      <c r="I95" s="48">
        <v>42378</v>
      </c>
      <c r="J95" s="66">
        <f t="shared" si="5"/>
        <v>8</v>
      </c>
      <c r="K95" t="s">
        <v>96</v>
      </c>
      <c r="L95" s="41"/>
      <c r="M95" t="s">
        <v>176</v>
      </c>
      <c r="N95" t="s">
        <v>182</v>
      </c>
      <c r="O95"/>
      <c r="P95" s="24"/>
    </row>
    <row r="96" spans="1:16">
      <c r="A96" s="1">
        <v>13388260249</v>
      </c>
      <c r="B96" s="41">
        <v>20694</v>
      </c>
      <c r="C96" t="s">
        <v>309</v>
      </c>
      <c r="D96" t="s">
        <v>81</v>
      </c>
      <c r="E96" s="6">
        <v>7</v>
      </c>
      <c r="F96" s="64">
        <v>12</v>
      </c>
      <c r="G96" s="6">
        <v>15</v>
      </c>
      <c r="H96" s="64">
        <f t="shared" si="4"/>
        <v>12</v>
      </c>
      <c r="I96" s="48">
        <v>42378</v>
      </c>
      <c r="J96" s="66"/>
      <c r="K96" s="32" t="s">
        <v>61</v>
      </c>
      <c r="M96" s="10" t="s">
        <v>176</v>
      </c>
      <c r="N96" s="10" t="s">
        <v>255</v>
      </c>
      <c r="P96" s="22"/>
    </row>
    <row r="97" spans="1:16" s="120" customFormat="1">
      <c r="A97" s="14">
        <v>742725250680</v>
      </c>
      <c r="B97" s="63">
        <v>20779</v>
      </c>
      <c r="C97" s="10" t="s">
        <v>310</v>
      </c>
      <c r="D97" s="10" t="s">
        <v>81</v>
      </c>
      <c r="E97" s="64">
        <v>4</v>
      </c>
      <c r="F97" s="64">
        <v>25</v>
      </c>
      <c r="G97" s="64">
        <v>35</v>
      </c>
      <c r="H97" s="64">
        <f t="shared" si="4"/>
        <v>25</v>
      </c>
      <c r="I97" s="58">
        <v>42378</v>
      </c>
      <c r="J97" s="66">
        <f t="shared" ref="J97:J128" si="6">MIN(F97:G97)-E97</f>
        <v>21</v>
      </c>
      <c r="K97" s="10" t="s">
        <v>96</v>
      </c>
      <c r="L97" s="63"/>
      <c r="M97" s="10" t="s">
        <v>176</v>
      </c>
      <c r="N97" s="10" t="s">
        <v>311</v>
      </c>
      <c r="O97" s="10"/>
      <c r="P97" s="136"/>
    </row>
    <row r="98" spans="1:16">
      <c r="A98" s="1">
        <v>47875750333</v>
      </c>
      <c r="B98" s="41">
        <v>21011</v>
      </c>
      <c r="C98" s="10" t="s">
        <v>312</v>
      </c>
      <c r="D98" t="s">
        <v>81</v>
      </c>
      <c r="E98" s="6">
        <v>4</v>
      </c>
      <c r="F98" s="64">
        <v>19</v>
      </c>
      <c r="G98" s="64" t="s">
        <v>89</v>
      </c>
      <c r="H98" s="64">
        <f t="shared" ref="H98:H129" si="7">MIN(F98:G98)</f>
        <v>19</v>
      </c>
      <c r="I98" s="48">
        <v>42378</v>
      </c>
      <c r="J98" s="66">
        <f t="shared" si="6"/>
        <v>15</v>
      </c>
      <c r="K98" s="10" t="s">
        <v>184</v>
      </c>
      <c r="M98" t="s">
        <v>176</v>
      </c>
      <c r="N98" t="s">
        <v>227</v>
      </c>
      <c r="P98" s="22"/>
    </row>
    <row r="99" spans="1:16">
      <c r="A99" s="1">
        <v>662248906140</v>
      </c>
      <c r="B99" s="41">
        <v>21475</v>
      </c>
      <c r="C99" s="10" t="s">
        <v>313</v>
      </c>
      <c r="D99" s="10" t="s">
        <v>81</v>
      </c>
      <c r="E99" s="6">
        <v>4</v>
      </c>
      <c r="F99" s="64">
        <v>55</v>
      </c>
      <c r="G99" s="6">
        <v>40</v>
      </c>
      <c r="H99" s="64">
        <f t="shared" si="7"/>
        <v>40</v>
      </c>
      <c r="I99" s="48">
        <v>42378</v>
      </c>
      <c r="J99" s="66">
        <f t="shared" si="6"/>
        <v>36</v>
      </c>
      <c r="K99" s="10" t="s">
        <v>61</v>
      </c>
      <c r="M99" s="10" t="s">
        <v>176</v>
      </c>
      <c r="N99" s="10" t="s">
        <v>213</v>
      </c>
      <c r="P99" s="22"/>
    </row>
    <row r="100" spans="1:16">
      <c r="A100" s="1">
        <v>711719717324</v>
      </c>
      <c r="B100" s="41">
        <v>97173</v>
      </c>
      <c r="C100" t="s">
        <v>314</v>
      </c>
      <c r="D100" t="s">
        <v>105</v>
      </c>
      <c r="E100" s="6">
        <v>10</v>
      </c>
      <c r="F100" s="64" t="s">
        <v>89</v>
      </c>
      <c r="G100" s="67">
        <v>28</v>
      </c>
      <c r="H100" s="64">
        <f t="shared" si="7"/>
        <v>28</v>
      </c>
      <c r="I100" s="48">
        <v>42378</v>
      </c>
      <c r="J100" s="66">
        <f t="shared" si="6"/>
        <v>18</v>
      </c>
      <c r="K100" s="10" t="s">
        <v>86</v>
      </c>
      <c r="M100" s="10" t="s">
        <v>176</v>
      </c>
      <c r="N100" t="s">
        <v>82</v>
      </c>
      <c r="P100" s="22"/>
    </row>
    <row r="101" spans="1:16">
      <c r="A101" s="1">
        <v>711719719922</v>
      </c>
      <c r="B101" s="41">
        <v>97199</v>
      </c>
      <c r="C101" t="s">
        <v>315</v>
      </c>
      <c r="D101" t="s">
        <v>81</v>
      </c>
      <c r="E101" s="6">
        <v>15</v>
      </c>
      <c r="F101" s="67">
        <v>27</v>
      </c>
      <c r="G101" s="67">
        <v>25</v>
      </c>
      <c r="H101" s="64">
        <f t="shared" si="7"/>
        <v>25</v>
      </c>
      <c r="I101" s="48">
        <v>42378</v>
      </c>
      <c r="J101" s="66">
        <f t="shared" si="6"/>
        <v>10</v>
      </c>
      <c r="K101" t="s">
        <v>61</v>
      </c>
      <c r="L101" s="41">
        <v>7</v>
      </c>
      <c r="M101" t="s">
        <v>176</v>
      </c>
      <c r="N101" t="s">
        <v>82</v>
      </c>
      <c r="O101" t="s">
        <v>256</v>
      </c>
      <c r="P101" s="22"/>
    </row>
    <row r="102" spans="1:16">
      <c r="A102" s="1">
        <v>711719732822</v>
      </c>
      <c r="B102" s="41">
        <v>97328</v>
      </c>
      <c r="C102" t="s">
        <v>316</v>
      </c>
      <c r="D102" t="s">
        <v>81</v>
      </c>
      <c r="E102" s="6">
        <v>4</v>
      </c>
      <c r="F102" s="6">
        <v>12</v>
      </c>
      <c r="G102" s="6">
        <v>20</v>
      </c>
      <c r="H102" s="64">
        <f t="shared" si="7"/>
        <v>12</v>
      </c>
      <c r="I102" s="48">
        <v>42378</v>
      </c>
      <c r="J102" s="66">
        <f t="shared" si="6"/>
        <v>8</v>
      </c>
      <c r="K102" s="10" t="s">
        <v>86</v>
      </c>
      <c r="M102" t="s">
        <v>176</v>
      </c>
      <c r="N102" t="s">
        <v>82</v>
      </c>
      <c r="P102" s="22"/>
    </row>
    <row r="103" spans="1:16">
      <c r="A103" s="17">
        <v>662248906065</v>
      </c>
      <c r="B103" s="43">
        <v>21419</v>
      </c>
      <c r="C103" s="32" t="s">
        <v>317</v>
      </c>
      <c r="D103" s="32" t="s">
        <v>81</v>
      </c>
      <c r="E103" s="53">
        <v>25</v>
      </c>
      <c r="F103" s="53">
        <v>25</v>
      </c>
      <c r="G103" s="53">
        <v>35</v>
      </c>
      <c r="H103" s="53">
        <f t="shared" si="7"/>
        <v>25</v>
      </c>
      <c r="I103" s="62">
        <v>42401</v>
      </c>
      <c r="J103" s="66">
        <f t="shared" si="6"/>
        <v>0</v>
      </c>
      <c r="K103" s="32" t="s">
        <v>96</v>
      </c>
      <c r="L103" s="43"/>
      <c r="M103" s="32" t="s">
        <v>176</v>
      </c>
      <c r="N103" s="32" t="s">
        <v>213</v>
      </c>
      <c r="O103" s="32"/>
      <c r="P103" s="22"/>
    </row>
    <row r="104" spans="1:16">
      <c r="A104" s="1">
        <v>853333001134</v>
      </c>
      <c r="B104" s="41">
        <v>21499</v>
      </c>
      <c r="C104" t="s">
        <v>318</v>
      </c>
      <c r="D104" t="s">
        <v>81</v>
      </c>
      <c r="E104" s="6">
        <v>4</v>
      </c>
      <c r="F104" s="53">
        <v>7</v>
      </c>
      <c r="G104" s="6">
        <v>7</v>
      </c>
      <c r="H104" s="64">
        <f t="shared" si="7"/>
        <v>7</v>
      </c>
      <c r="I104" s="48">
        <v>42401</v>
      </c>
      <c r="J104" s="66">
        <f t="shared" si="6"/>
        <v>3</v>
      </c>
      <c r="K104" t="s">
        <v>184</v>
      </c>
      <c r="M104" t="s">
        <v>176</v>
      </c>
      <c r="N104" t="s">
        <v>319</v>
      </c>
      <c r="P104" s="22"/>
    </row>
    <row r="105" spans="1:16">
      <c r="A105" s="1">
        <v>853333001141</v>
      </c>
      <c r="B105" s="41">
        <v>21500</v>
      </c>
      <c r="C105" s="10" t="s">
        <v>320</v>
      </c>
      <c r="D105" t="s">
        <v>81</v>
      </c>
      <c r="E105" s="6">
        <v>4</v>
      </c>
      <c r="F105" s="53">
        <v>6</v>
      </c>
      <c r="G105" s="6">
        <v>7</v>
      </c>
      <c r="H105" s="64">
        <f t="shared" si="7"/>
        <v>6</v>
      </c>
      <c r="I105" s="48">
        <v>42401</v>
      </c>
      <c r="J105" s="66">
        <f t="shared" si="6"/>
        <v>2</v>
      </c>
      <c r="K105" t="s">
        <v>184</v>
      </c>
      <c r="M105" t="s">
        <v>176</v>
      </c>
      <c r="N105" t="s">
        <v>319</v>
      </c>
      <c r="P105" s="22"/>
    </row>
    <row r="106" spans="1:16">
      <c r="A106" s="1">
        <v>730865530236</v>
      </c>
      <c r="B106" s="41">
        <v>21577</v>
      </c>
      <c r="C106" s="10" t="s">
        <v>321</v>
      </c>
      <c r="D106" s="10" t="s">
        <v>105</v>
      </c>
      <c r="E106" s="6">
        <v>40</v>
      </c>
      <c r="F106" s="68">
        <v>54</v>
      </c>
      <c r="G106" s="68">
        <v>55</v>
      </c>
      <c r="H106" s="64">
        <f t="shared" si="7"/>
        <v>54</v>
      </c>
      <c r="I106" s="48">
        <v>42401</v>
      </c>
      <c r="J106" s="66">
        <f t="shared" si="6"/>
        <v>14</v>
      </c>
      <c r="K106" s="10" t="s">
        <v>96</v>
      </c>
      <c r="M106" s="10" t="s">
        <v>176</v>
      </c>
      <c r="N106" s="10"/>
      <c r="P106" s="22"/>
    </row>
    <row r="107" spans="1:16">
      <c r="A107" s="1">
        <v>31719270118</v>
      </c>
      <c r="B107" s="41">
        <v>21633</v>
      </c>
      <c r="C107" s="10" t="s">
        <v>322</v>
      </c>
      <c r="D107" s="10" t="s">
        <v>81</v>
      </c>
      <c r="E107" s="6">
        <v>5</v>
      </c>
      <c r="F107" s="6">
        <v>13</v>
      </c>
      <c r="G107" s="6">
        <v>8</v>
      </c>
      <c r="H107" s="64">
        <f t="shared" si="7"/>
        <v>8</v>
      </c>
      <c r="I107" s="48">
        <v>42401</v>
      </c>
      <c r="J107" s="66">
        <f t="shared" si="6"/>
        <v>3</v>
      </c>
      <c r="K107" s="10" t="s">
        <v>181</v>
      </c>
      <c r="M107" s="10"/>
      <c r="N107" s="10"/>
      <c r="P107" s="22"/>
    </row>
    <row r="108" spans="1:16">
      <c r="A108" s="1">
        <v>722674100694</v>
      </c>
      <c r="B108" s="41">
        <v>21727</v>
      </c>
      <c r="C108" s="10" t="s">
        <v>323</v>
      </c>
      <c r="D108" s="10" t="s">
        <v>81</v>
      </c>
      <c r="E108" s="6">
        <v>4</v>
      </c>
      <c r="F108" s="6">
        <v>17</v>
      </c>
      <c r="G108" s="6">
        <v>28</v>
      </c>
      <c r="H108" s="64">
        <f t="shared" si="7"/>
        <v>17</v>
      </c>
      <c r="I108" s="62">
        <v>42401</v>
      </c>
      <c r="J108" s="66">
        <f t="shared" si="6"/>
        <v>13</v>
      </c>
      <c r="K108" s="10" t="s">
        <v>96</v>
      </c>
      <c r="M108" s="10" t="s">
        <v>176</v>
      </c>
      <c r="N108" s="10" t="s">
        <v>240</v>
      </c>
      <c r="P108" s="22"/>
    </row>
    <row r="109" spans="1:16">
      <c r="A109" s="1">
        <v>857823001420</v>
      </c>
      <c r="B109" s="41">
        <v>21735</v>
      </c>
      <c r="C109" s="10" t="s">
        <v>324</v>
      </c>
      <c r="D109" s="10" t="s">
        <v>105</v>
      </c>
      <c r="E109" s="6">
        <v>55</v>
      </c>
      <c r="F109" s="66">
        <v>75</v>
      </c>
      <c r="G109" s="66">
        <v>75</v>
      </c>
      <c r="H109" s="64">
        <f t="shared" si="7"/>
        <v>75</v>
      </c>
      <c r="I109" s="48">
        <v>42401</v>
      </c>
      <c r="J109" s="66">
        <f t="shared" si="6"/>
        <v>20</v>
      </c>
      <c r="K109" s="10" t="s">
        <v>165</v>
      </c>
      <c r="M109" s="10" t="s">
        <v>176</v>
      </c>
      <c r="N109" s="10" t="s">
        <v>244</v>
      </c>
      <c r="O109" t="s">
        <v>283</v>
      </c>
      <c r="P109" s="22"/>
    </row>
    <row r="110" spans="1:16">
      <c r="A110" s="1">
        <v>23272333362</v>
      </c>
      <c r="B110" s="41">
        <v>21759</v>
      </c>
      <c r="C110" s="10" t="s">
        <v>325</v>
      </c>
      <c r="D110" s="10" t="s">
        <v>81</v>
      </c>
      <c r="E110" s="6">
        <v>4</v>
      </c>
      <c r="F110" s="6">
        <v>12</v>
      </c>
      <c r="G110" s="6">
        <v>15</v>
      </c>
      <c r="H110" s="64">
        <f t="shared" si="7"/>
        <v>12</v>
      </c>
      <c r="I110" s="48">
        <v>42401</v>
      </c>
      <c r="J110" s="66">
        <f t="shared" si="6"/>
        <v>8</v>
      </c>
      <c r="K110" s="10" t="s">
        <v>61</v>
      </c>
      <c r="M110" s="10" t="s">
        <v>176</v>
      </c>
      <c r="N110" s="10" t="s">
        <v>215</v>
      </c>
      <c r="P110" s="22"/>
    </row>
    <row r="111" spans="1:16">
      <c r="A111" s="17">
        <v>62248908250</v>
      </c>
      <c r="B111" s="43">
        <v>21799</v>
      </c>
      <c r="C111" s="32" t="s">
        <v>326</v>
      </c>
      <c r="D111" s="32" t="s">
        <v>81</v>
      </c>
      <c r="E111" s="53">
        <v>12</v>
      </c>
      <c r="F111" s="53">
        <v>18</v>
      </c>
      <c r="G111" s="53">
        <v>30</v>
      </c>
      <c r="H111" s="64">
        <f t="shared" si="7"/>
        <v>18</v>
      </c>
      <c r="I111" s="48">
        <v>42401</v>
      </c>
      <c r="J111" s="66">
        <f t="shared" si="6"/>
        <v>6</v>
      </c>
      <c r="K111" s="32"/>
      <c r="L111" s="43"/>
      <c r="M111" s="32"/>
      <c r="N111" s="32" t="s">
        <v>213</v>
      </c>
      <c r="O111" s="32"/>
      <c r="P111" s="22"/>
    </row>
    <row r="112" spans="1:16">
      <c r="A112" s="17">
        <v>857823001321</v>
      </c>
      <c r="B112" s="43">
        <v>21890</v>
      </c>
      <c r="C112" s="32" t="s">
        <v>327</v>
      </c>
      <c r="D112" s="32" t="s">
        <v>105</v>
      </c>
      <c r="E112" s="53">
        <v>87</v>
      </c>
      <c r="F112" s="68">
        <v>154</v>
      </c>
      <c r="G112" s="53" t="s">
        <v>89</v>
      </c>
      <c r="H112" s="64">
        <f t="shared" si="7"/>
        <v>154</v>
      </c>
      <c r="I112" s="62">
        <v>42401</v>
      </c>
      <c r="J112" s="66">
        <f t="shared" si="6"/>
        <v>67</v>
      </c>
      <c r="K112" s="32" t="s">
        <v>165</v>
      </c>
      <c r="L112" s="43"/>
      <c r="M112" s="32" t="s">
        <v>176</v>
      </c>
      <c r="N112" s="32" t="s">
        <v>244</v>
      </c>
      <c r="O112" s="32"/>
      <c r="P112" s="22"/>
    </row>
    <row r="113" spans="1:16">
      <c r="A113" s="17" t="s">
        <v>328</v>
      </c>
      <c r="B113" s="43">
        <v>21909</v>
      </c>
      <c r="C113" s="32" t="s">
        <v>329</v>
      </c>
      <c r="D113" s="32" t="s">
        <v>81</v>
      </c>
      <c r="E113" s="53">
        <v>4</v>
      </c>
      <c r="F113" s="53">
        <v>9</v>
      </c>
      <c r="G113" s="53">
        <v>11</v>
      </c>
      <c r="H113" s="64">
        <f t="shared" si="7"/>
        <v>9</v>
      </c>
      <c r="I113" s="62">
        <v>42401</v>
      </c>
      <c r="J113" s="66">
        <f t="shared" si="6"/>
        <v>5</v>
      </c>
      <c r="K113" s="32" t="s">
        <v>184</v>
      </c>
      <c r="L113" s="43"/>
      <c r="M113" s="32" t="s">
        <v>176</v>
      </c>
      <c r="N113" s="32" t="s">
        <v>227</v>
      </c>
      <c r="O113" s="32" t="s">
        <v>330</v>
      </c>
      <c r="P113" s="22"/>
    </row>
    <row r="114" spans="1:16">
      <c r="A114" s="1">
        <v>18946010205</v>
      </c>
      <c r="B114" s="41">
        <v>20190</v>
      </c>
      <c r="C114" t="s">
        <v>331</v>
      </c>
      <c r="D114" t="s">
        <v>105</v>
      </c>
      <c r="E114" s="6">
        <v>20</v>
      </c>
      <c r="F114" s="55" t="s">
        <v>89</v>
      </c>
      <c r="G114" s="67">
        <v>140</v>
      </c>
      <c r="H114" s="64">
        <f t="shared" si="7"/>
        <v>140</v>
      </c>
      <c r="I114" s="48">
        <v>42415</v>
      </c>
      <c r="J114" s="66">
        <f t="shared" si="6"/>
        <v>120</v>
      </c>
      <c r="K114" s="10" t="s">
        <v>165</v>
      </c>
      <c r="M114" s="10" t="s">
        <v>176</v>
      </c>
      <c r="N114" t="s">
        <v>303</v>
      </c>
      <c r="P114" s="22"/>
    </row>
    <row r="115" spans="1:16">
      <c r="A115" s="1">
        <v>45557180119</v>
      </c>
      <c r="B115" s="41">
        <v>20267</v>
      </c>
      <c r="C115" t="s">
        <v>332</v>
      </c>
      <c r="D115" t="s">
        <v>81</v>
      </c>
      <c r="E115" s="6">
        <v>20</v>
      </c>
      <c r="F115" s="68">
        <v>31</v>
      </c>
      <c r="G115" s="66">
        <v>55</v>
      </c>
      <c r="H115" s="64">
        <f t="shared" si="7"/>
        <v>31</v>
      </c>
      <c r="I115" s="48">
        <v>42415</v>
      </c>
      <c r="J115" s="66">
        <f t="shared" si="6"/>
        <v>11</v>
      </c>
      <c r="K115" s="32" t="s">
        <v>96</v>
      </c>
      <c r="M115" t="s">
        <v>176</v>
      </c>
      <c r="N115" t="s">
        <v>333</v>
      </c>
      <c r="P115" s="22"/>
    </row>
    <row r="116" spans="1:16">
      <c r="A116" s="1">
        <v>14633143317</v>
      </c>
      <c r="B116" s="41">
        <v>20281</v>
      </c>
      <c r="C116" s="10" t="s">
        <v>334</v>
      </c>
      <c r="D116" s="10" t="s">
        <v>81</v>
      </c>
      <c r="E116" s="6">
        <v>50</v>
      </c>
      <c r="F116" s="67">
        <v>6</v>
      </c>
      <c r="G116" s="6">
        <v>6</v>
      </c>
      <c r="H116" s="64">
        <f t="shared" si="7"/>
        <v>6</v>
      </c>
      <c r="I116" s="48">
        <v>42415</v>
      </c>
      <c r="J116" s="66">
        <f t="shared" si="6"/>
        <v>-44</v>
      </c>
      <c r="K116" s="32" t="s">
        <v>184</v>
      </c>
      <c r="M116" s="10" t="s">
        <v>176</v>
      </c>
      <c r="N116" s="10" t="s">
        <v>122</v>
      </c>
      <c r="P116" s="22"/>
    </row>
    <row r="117" spans="1:16">
      <c r="A117" s="1">
        <v>14633147810</v>
      </c>
      <c r="B117" s="41">
        <v>20926</v>
      </c>
      <c r="C117" s="10" t="s">
        <v>335</v>
      </c>
      <c r="D117" t="s">
        <v>81</v>
      </c>
      <c r="E117" s="6">
        <v>0</v>
      </c>
      <c r="F117" s="6">
        <v>12</v>
      </c>
      <c r="G117" s="66">
        <v>20</v>
      </c>
      <c r="H117" s="64">
        <f t="shared" si="7"/>
        <v>12</v>
      </c>
      <c r="I117" s="48">
        <v>42415</v>
      </c>
      <c r="J117" s="66">
        <f t="shared" si="6"/>
        <v>12</v>
      </c>
      <c r="K117" t="s">
        <v>184</v>
      </c>
      <c r="M117" t="s">
        <v>176</v>
      </c>
      <c r="N117" t="s">
        <v>185</v>
      </c>
      <c r="P117" s="22"/>
    </row>
    <row r="118" spans="1:16">
      <c r="A118" s="1">
        <v>662248905013</v>
      </c>
      <c r="B118" s="41">
        <v>21207</v>
      </c>
      <c r="C118" t="s">
        <v>336</v>
      </c>
      <c r="D118" t="s">
        <v>105</v>
      </c>
      <c r="E118" s="6">
        <v>60</v>
      </c>
      <c r="F118" s="64" t="s">
        <v>89</v>
      </c>
      <c r="G118" s="6">
        <v>106</v>
      </c>
      <c r="H118" s="64">
        <f t="shared" si="7"/>
        <v>106</v>
      </c>
      <c r="I118" s="48">
        <v>42415</v>
      </c>
      <c r="J118" s="66">
        <f t="shared" si="6"/>
        <v>46</v>
      </c>
      <c r="K118" s="10" t="s">
        <v>165</v>
      </c>
      <c r="M118" t="s">
        <v>176</v>
      </c>
      <c r="N118" t="s">
        <v>213</v>
      </c>
      <c r="O118" t="s">
        <v>337</v>
      </c>
      <c r="P118" s="22"/>
    </row>
    <row r="119" spans="1:16">
      <c r="A119" s="1">
        <v>730865530168</v>
      </c>
      <c r="B119" s="41">
        <v>21221</v>
      </c>
      <c r="C119" t="s">
        <v>338</v>
      </c>
      <c r="D119" t="s">
        <v>105</v>
      </c>
      <c r="E119" s="6">
        <v>50</v>
      </c>
      <c r="F119" s="67">
        <v>130</v>
      </c>
      <c r="G119" s="67">
        <v>172</v>
      </c>
      <c r="H119" s="64">
        <f t="shared" si="7"/>
        <v>130</v>
      </c>
      <c r="I119" s="48">
        <v>42415</v>
      </c>
      <c r="J119" s="66">
        <f t="shared" si="6"/>
        <v>80</v>
      </c>
      <c r="K119" s="10" t="s">
        <v>165</v>
      </c>
      <c r="M119" t="s">
        <v>176</v>
      </c>
      <c r="N119" t="s">
        <v>177</v>
      </c>
      <c r="P119" s="22"/>
    </row>
    <row r="120" spans="1:16">
      <c r="A120" s="1">
        <v>83717201366</v>
      </c>
      <c r="B120" s="41">
        <v>21245</v>
      </c>
      <c r="C120" t="s">
        <v>58</v>
      </c>
      <c r="D120" t="s">
        <v>81</v>
      </c>
      <c r="E120" s="6">
        <v>40</v>
      </c>
      <c r="F120" s="67">
        <v>30</v>
      </c>
      <c r="G120" s="6">
        <v>18</v>
      </c>
      <c r="H120" s="64">
        <f t="shared" si="7"/>
        <v>18</v>
      </c>
      <c r="I120" s="48">
        <v>42415</v>
      </c>
      <c r="J120" s="66">
        <f t="shared" si="6"/>
        <v>-22</v>
      </c>
      <c r="K120" s="37" t="s">
        <v>125</v>
      </c>
      <c r="M120" t="s">
        <v>176</v>
      </c>
      <c r="N120" t="s">
        <v>182</v>
      </c>
      <c r="P120" s="22"/>
    </row>
    <row r="121" spans="1:16">
      <c r="A121" s="1">
        <v>662248905099</v>
      </c>
      <c r="B121" s="41">
        <v>21262</v>
      </c>
      <c r="C121" t="s">
        <v>339</v>
      </c>
      <c r="D121" t="s">
        <v>81</v>
      </c>
      <c r="E121" s="6">
        <v>35</v>
      </c>
      <c r="F121" s="67">
        <v>40</v>
      </c>
      <c r="G121" s="6">
        <v>45</v>
      </c>
      <c r="H121" s="64">
        <f t="shared" si="7"/>
        <v>40</v>
      </c>
      <c r="I121" s="48">
        <v>42415</v>
      </c>
      <c r="J121" s="66">
        <f t="shared" si="6"/>
        <v>5</v>
      </c>
      <c r="K121" t="s">
        <v>96</v>
      </c>
      <c r="M121" t="s">
        <v>176</v>
      </c>
      <c r="N121" t="s">
        <v>213</v>
      </c>
      <c r="O121" t="s">
        <v>198</v>
      </c>
      <c r="P121" s="22"/>
    </row>
    <row r="122" spans="1:16">
      <c r="A122" s="1">
        <v>719593080091</v>
      </c>
      <c r="B122" s="41">
        <v>21275</v>
      </c>
      <c r="C122" s="10" t="s">
        <v>340</v>
      </c>
      <c r="D122" t="s">
        <v>105</v>
      </c>
      <c r="E122" s="6">
        <v>20</v>
      </c>
      <c r="F122" s="67">
        <v>53</v>
      </c>
      <c r="G122" s="67">
        <v>49</v>
      </c>
      <c r="H122" s="64">
        <f t="shared" si="7"/>
        <v>49</v>
      </c>
      <c r="I122" s="48">
        <v>42415</v>
      </c>
      <c r="J122" s="66">
        <f t="shared" si="6"/>
        <v>29</v>
      </c>
      <c r="K122" s="10" t="s">
        <v>181</v>
      </c>
      <c r="M122" s="10" t="s">
        <v>176</v>
      </c>
      <c r="N122" t="s">
        <v>151</v>
      </c>
      <c r="P122" s="22"/>
    </row>
    <row r="123" spans="1:16">
      <c r="A123" s="1">
        <v>85782300102</v>
      </c>
      <c r="B123" s="41">
        <v>21327</v>
      </c>
      <c r="C123" s="10" t="s">
        <v>341</v>
      </c>
      <c r="D123" s="10" t="s">
        <v>81</v>
      </c>
      <c r="E123" s="6">
        <v>20</v>
      </c>
      <c r="F123" s="6">
        <v>43</v>
      </c>
      <c r="G123" s="6">
        <v>40</v>
      </c>
      <c r="H123" s="64">
        <f t="shared" si="7"/>
        <v>40</v>
      </c>
      <c r="I123" s="48">
        <v>42415</v>
      </c>
      <c r="J123" s="66">
        <f t="shared" si="6"/>
        <v>20</v>
      </c>
      <c r="K123" s="10" t="s">
        <v>61</v>
      </c>
      <c r="M123" s="10" t="s">
        <v>176</v>
      </c>
      <c r="N123" s="10" t="s">
        <v>295</v>
      </c>
      <c r="P123" s="22"/>
    </row>
    <row r="124" spans="1:16" s="3" customFormat="1">
      <c r="A124" s="1">
        <v>722674100557</v>
      </c>
      <c r="B124" s="41">
        <v>21389</v>
      </c>
      <c r="C124" t="s">
        <v>342</v>
      </c>
      <c r="D124" t="s">
        <v>105</v>
      </c>
      <c r="E124" s="6">
        <v>40</v>
      </c>
      <c r="F124" s="64" t="s">
        <v>89</v>
      </c>
      <c r="G124" s="6">
        <v>145</v>
      </c>
      <c r="H124" s="64">
        <f t="shared" si="7"/>
        <v>145</v>
      </c>
      <c r="I124" s="48">
        <v>42415</v>
      </c>
      <c r="J124" s="66">
        <f t="shared" si="6"/>
        <v>105</v>
      </c>
      <c r="K124" s="10" t="s">
        <v>165</v>
      </c>
      <c r="L124" s="41"/>
      <c r="M124" t="s">
        <v>176</v>
      </c>
      <c r="N124" t="s">
        <v>240</v>
      </c>
      <c r="O124" t="s">
        <v>198</v>
      </c>
      <c r="P124" s="24"/>
    </row>
    <row r="125" spans="1:16" s="32" customFormat="1">
      <c r="A125" s="1">
        <v>857823001062</v>
      </c>
      <c r="B125" s="41">
        <v>21397</v>
      </c>
      <c r="C125" t="s">
        <v>343</v>
      </c>
      <c r="D125" t="s">
        <v>81</v>
      </c>
      <c r="E125" s="6">
        <v>60</v>
      </c>
      <c r="F125" s="66">
        <v>43</v>
      </c>
      <c r="G125" s="6">
        <v>28</v>
      </c>
      <c r="H125" s="64">
        <f t="shared" si="7"/>
        <v>28</v>
      </c>
      <c r="I125" s="48">
        <v>42415</v>
      </c>
      <c r="J125" s="66">
        <f t="shared" si="6"/>
        <v>-32</v>
      </c>
      <c r="K125" t="s">
        <v>61</v>
      </c>
      <c r="L125" s="41">
        <v>10</v>
      </c>
      <c r="M125" t="s">
        <v>176</v>
      </c>
      <c r="N125" t="s">
        <v>295</v>
      </c>
      <c r="O125" t="s">
        <v>198</v>
      </c>
      <c r="P125" s="36"/>
    </row>
    <row r="126" spans="1:16" s="10" customFormat="1">
      <c r="A126" s="1">
        <v>857823001192</v>
      </c>
      <c r="B126" s="41">
        <v>21564</v>
      </c>
      <c r="C126" t="s">
        <v>344</v>
      </c>
      <c r="D126" t="s">
        <v>81</v>
      </c>
      <c r="E126" s="6">
        <v>25</v>
      </c>
      <c r="F126" s="6">
        <v>40</v>
      </c>
      <c r="G126" s="6">
        <v>50</v>
      </c>
      <c r="H126" s="64">
        <f t="shared" si="7"/>
        <v>40</v>
      </c>
      <c r="I126" s="48">
        <v>42415</v>
      </c>
      <c r="J126" s="66">
        <f t="shared" si="6"/>
        <v>15</v>
      </c>
      <c r="K126" s="10" t="s">
        <v>96</v>
      </c>
      <c r="L126" s="41"/>
      <c r="M126" t="s">
        <v>176</v>
      </c>
      <c r="N126" t="s">
        <v>295</v>
      </c>
      <c r="O126"/>
      <c r="P126" s="65"/>
    </row>
    <row r="127" spans="1:16" s="32" customFormat="1">
      <c r="A127" s="1">
        <v>730865530212</v>
      </c>
      <c r="B127" s="41">
        <v>21569</v>
      </c>
      <c r="C127" t="s">
        <v>345</v>
      </c>
      <c r="D127" t="s">
        <v>105</v>
      </c>
      <c r="E127" s="6">
        <v>55</v>
      </c>
      <c r="F127" s="67">
        <v>145</v>
      </c>
      <c r="G127" s="6">
        <v>95</v>
      </c>
      <c r="H127" s="64">
        <f t="shared" si="7"/>
        <v>95</v>
      </c>
      <c r="I127" s="48">
        <v>42415</v>
      </c>
      <c r="J127" s="66">
        <f t="shared" si="6"/>
        <v>40</v>
      </c>
      <c r="K127" s="10" t="s">
        <v>165</v>
      </c>
      <c r="L127" s="41"/>
      <c r="M127" t="s">
        <v>176</v>
      </c>
      <c r="N127" t="s">
        <v>177</v>
      </c>
      <c r="O127" t="s">
        <v>198</v>
      </c>
      <c r="P127" s="36"/>
    </row>
    <row r="128" spans="1:16">
      <c r="A128" s="1">
        <v>14633359008</v>
      </c>
      <c r="B128" s="41">
        <v>21596</v>
      </c>
      <c r="C128" t="s">
        <v>346</v>
      </c>
      <c r="D128" t="s">
        <v>105</v>
      </c>
      <c r="E128" s="6">
        <v>20</v>
      </c>
      <c r="F128" s="66">
        <v>60</v>
      </c>
      <c r="G128" s="6">
        <v>96</v>
      </c>
      <c r="H128" s="64">
        <f t="shared" si="7"/>
        <v>60</v>
      </c>
      <c r="I128" s="48">
        <v>42415</v>
      </c>
      <c r="J128" s="66">
        <f t="shared" si="6"/>
        <v>40</v>
      </c>
      <c r="K128" s="10" t="s">
        <v>181</v>
      </c>
      <c r="M128" s="10" t="s">
        <v>176</v>
      </c>
      <c r="N128" t="s">
        <v>122</v>
      </c>
      <c r="P128" s="22"/>
    </row>
    <row r="129" spans="1:16">
      <c r="A129" s="1">
        <v>857823001840</v>
      </c>
      <c r="B129" s="41">
        <v>21603</v>
      </c>
      <c r="C129" s="10" t="s">
        <v>347</v>
      </c>
      <c r="D129" s="10" t="s">
        <v>81</v>
      </c>
      <c r="E129" s="6">
        <v>25</v>
      </c>
      <c r="F129" s="66">
        <v>51</v>
      </c>
      <c r="G129" s="6">
        <v>52</v>
      </c>
      <c r="H129" s="64">
        <f t="shared" si="7"/>
        <v>51</v>
      </c>
      <c r="I129" s="48">
        <v>42415</v>
      </c>
      <c r="J129" s="66">
        <f t="shared" ref="J129:J146" si="8">MIN(F129:G129)-E129</f>
        <v>26</v>
      </c>
      <c r="K129" s="32" t="s">
        <v>61</v>
      </c>
      <c r="M129" s="10" t="s">
        <v>176</v>
      </c>
      <c r="N129" s="10" t="s">
        <v>244</v>
      </c>
      <c r="P129" s="22"/>
    </row>
    <row r="130" spans="1:16">
      <c r="A130" s="1">
        <v>730865530298</v>
      </c>
      <c r="B130" s="41">
        <v>21779</v>
      </c>
      <c r="C130" s="10" t="s">
        <v>348</v>
      </c>
      <c r="D130" s="10" t="s">
        <v>81</v>
      </c>
      <c r="E130" s="6">
        <v>40</v>
      </c>
      <c r="F130" s="67">
        <v>56</v>
      </c>
      <c r="G130" s="6">
        <v>66</v>
      </c>
      <c r="H130" s="64">
        <f t="shared" ref="H130:H160" si="9">MIN(F130:G130)</f>
        <v>56</v>
      </c>
      <c r="I130" s="48">
        <v>42415</v>
      </c>
      <c r="J130" s="66">
        <f t="shared" si="8"/>
        <v>16</v>
      </c>
      <c r="K130" s="10" t="s">
        <v>96</v>
      </c>
      <c r="M130" s="10" t="s">
        <v>176</v>
      </c>
      <c r="N130" s="10" t="s">
        <v>177</v>
      </c>
      <c r="P130" s="22"/>
    </row>
    <row r="131" spans="1:16">
      <c r="A131" s="1">
        <v>711719726821</v>
      </c>
      <c r="B131" s="41">
        <v>97268</v>
      </c>
      <c r="C131" s="10" t="s">
        <v>349</v>
      </c>
      <c r="D131" t="s">
        <v>81</v>
      </c>
      <c r="E131" s="6">
        <v>25</v>
      </c>
      <c r="F131" s="67">
        <v>28</v>
      </c>
      <c r="G131" s="55">
        <v>20</v>
      </c>
      <c r="H131" s="64">
        <f t="shared" si="9"/>
        <v>20</v>
      </c>
      <c r="I131" s="48">
        <v>42415</v>
      </c>
      <c r="J131" s="66">
        <f t="shared" si="8"/>
        <v>-5</v>
      </c>
      <c r="K131" t="s">
        <v>61</v>
      </c>
      <c r="L131" s="41">
        <v>9</v>
      </c>
      <c r="M131" t="s">
        <v>176</v>
      </c>
      <c r="N131" t="s">
        <v>82</v>
      </c>
      <c r="P131" s="22"/>
    </row>
    <row r="132" spans="1:16">
      <c r="A132" s="1">
        <v>711719727927</v>
      </c>
      <c r="B132" s="41">
        <v>97279</v>
      </c>
      <c r="C132" t="s">
        <v>350</v>
      </c>
      <c r="D132" t="s">
        <v>81</v>
      </c>
      <c r="E132" s="6">
        <v>20</v>
      </c>
      <c r="F132" s="67">
        <v>15</v>
      </c>
      <c r="G132" s="67">
        <v>10</v>
      </c>
      <c r="H132" s="64">
        <f t="shared" si="9"/>
        <v>10</v>
      </c>
      <c r="I132" s="48">
        <v>42416</v>
      </c>
      <c r="J132" s="66">
        <f t="shared" si="8"/>
        <v>-10</v>
      </c>
      <c r="K132" t="s">
        <v>61</v>
      </c>
      <c r="L132" s="41">
        <v>7</v>
      </c>
      <c r="M132" t="s">
        <v>176</v>
      </c>
      <c r="N132" t="s">
        <v>82</v>
      </c>
      <c r="P132" s="22"/>
    </row>
    <row r="133" spans="1:16">
      <c r="A133" s="17">
        <v>13388260676</v>
      </c>
      <c r="B133" s="43">
        <v>27004</v>
      </c>
      <c r="C133" s="32" t="s">
        <v>351</v>
      </c>
      <c r="D133" s="32" t="s">
        <v>81</v>
      </c>
      <c r="E133" s="53">
        <v>30</v>
      </c>
      <c r="F133" s="67">
        <v>37</v>
      </c>
      <c r="G133" s="53">
        <v>36</v>
      </c>
      <c r="H133" s="53">
        <f t="shared" si="9"/>
        <v>36</v>
      </c>
      <c r="I133" s="62">
        <v>42498</v>
      </c>
      <c r="J133" s="66">
        <f t="shared" si="8"/>
        <v>6</v>
      </c>
      <c r="K133" s="32" t="s">
        <v>352</v>
      </c>
      <c r="L133" s="43"/>
      <c r="M133" s="32" t="s">
        <v>176</v>
      </c>
      <c r="N133" s="32" t="s">
        <v>255</v>
      </c>
      <c r="O133" s="32"/>
      <c r="P133" s="22"/>
    </row>
    <row r="134" spans="1:16">
      <c r="A134" s="1">
        <v>662248907024</v>
      </c>
      <c r="B134" s="41">
        <v>21574</v>
      </c>
      <c r="C134" t="s">
        <v>353</v>
      </c>
      <c r="D134" t="s">
        <v>81</v>
      </c>
      <c r="E134" s="6">
        <v>25</v>
      </c>
      <c r="F134" s="67">
        <v>30</v>
      </c>
      <c r="G134" s="6">
        <v>25</v>
      </c>
      <c r="H134" s="64">
        <f t="shared" si="9"/>
        <v>25</v>
      </c>
      <c r="I134" s="48">
        <v>42498</v>
      </c>
      <c r="J134" s="66">
        <f t="shared" si="8"/>
        <v>0</v>
      </c>
      <c r="K134" s="10" t="s">
        <v>96</v>
      </c>
      <c r="M134" s="10" t="s">
        <v>176</v>
      </c>
      <c r="N134" s="10" t="s">
        <v>213</v>
      </c>
      <c r="P134" s="22"/>
    </row>
    <row r="135" spans="1:16">
      <c r="A135" s="1">
        <v>873469003048</v>
      </c>
      <c r="B135" s="41">
        <v>21722</v>
      </c>
      <c r="C135" s="10" t="s">
        <v>354</v>
      </c>
      <c r="D135" s="10" t="s">
        <v>105</v>
      </c>
      <c r="E135" s="6">
        <v>35</v>
      </c>
      <c r="F135" s="64" t="s">
        <v>89</v>
      </c>
      <c r="G135" s="6">
        <v>35</v>
      </c>
      <c r="H135" s="64">
        <f t="shared" si="9"/>
        <v>35</v>
      </c>
      <c r="I135" s="62">
        <v>42498</v>
      </c>
      <c r="J135" s="66">
        <f t="shared" si="8"/>
        <v>0</v>
      </c>
      <c r="K135" s="10" t="s">
        <v>165</v>
      </c>
      <c r="M135" s="10" t="s">
        <v>176</v>
      </c>
      <c r="N135" s="10" t="s">
        <v>355</v>
      </c>
      <c r="P135" s="22"/>
    </row>
    <row r="136" spans="1:16">
      <c r="A136" s="1">
        <v>730865530267</v>
      </c>
      <c r="B136" s="41">
        <v>21621</v>
      </c>
      <c r="C136" s="10" t="s">
        <v>356</v>
      </c>
      <c r="D136" s="10" t="s">
        <v>81</v>
      </c>
      <c r="E136" s="6">
        <v>35</v>
      </c>
      <c r="F136" s="68">
        <v>29</v>
      </c>
      <c r="G136" s="6">
        <v>22</v>
      </c>
      <c r="H136" s="64">
        <f t="shared" si="9"/>
        <v>22</v>
      </c>
      <c r="I136" s="48">
        <v>42498</v>
      </c>
      <c r="J136" s="66">
        <f t="shared" si="8"/>
        <v>-13</v>
      </c>
      <c r="K136" s="10" t="s">
        <v>61</v>
      </c>
      <c r="L136" s="41">
        <v>10</v>
      </c>
      <c r="M136" s="10" t="s">
        <v>176</v>
      </c>
      <c r="N136" s="10" t="s">
        <v>177</v>
      </c>
      <c r="P136" s="22"/>
    </row>
    <row r="137" spans="1:16">
      <c r="A137" s="17">
        <v>730865530304</v>
      </c>
      <c r="B137" s="43">
        <v>21782</v>
      </c>
      <c r="C137" s="32" t="s">
        <v>357</v>
      </c>
      <c r="D137" s="32" t="s">
        <v>105</v>
      </c>
      <c r="E137" s="53">
        <v>40</v>
      </c>
      <c r="F137" s="53">
        <v>33</v>
      </c>
      <c r="G137" s="53">
        <v>22</v>
      </c>
      <c r="H137" s="64">
        <f t="shared" si="9"/>
        <v>22</v>
      </c>
      <c r="I137" s="48">
        <v>42498</v>
      </c>
      <c r="J137" s="66">
        <f t="shared" si="8"/>
        <v>-18</v>
      </c>
      <c r="K137" s="32" t="s">
        <v>61</v>
      </c>
      <c r="L137" s="43">
        <v>10</v>
      </c>
      <c r="M137" s="32" t="s">
        <v>176</v>
      </c>
      <c r="N137" s="32" t="s">
        <v>177</v>
      </c>
      <c r="O137" s="32"/>
      <c r="P137" s="22"/>
    </row>
    <row r="138" spans="1:16">
      <c r="A138" s="1">
        <v>178946010465</v>
      </c>
      <c r="B138" s="41">
        <v>21393</v>
      </c>
      <c r="C138" t="s">
        <v>358</v>
      </c>
      <c r="D138" t="s">
        <v>81</v>
      </c>
      <c r="E138" s="6">
        <v>20</v>
      </c>
      <c r="F138" s="68">
        <v>24</v>
      </c>
      <c r="G138" s="6">
        <v>29</v>
      </c>
      <c r="H138" s="64">
        <f t="shared" si="9"/>
        <v>24</v>
      </c>
      <c r="I138" s="48">
        <v>42498</v>
      </c>
      <c r="J138" s="66">
        <f t="shared" si="8"/>
        <v>4</v>
      </c>
      <c r="K138" s="10" t="s">
        <v>96</v>
      </c>
      <c r="M138" t="s">
        <v>176</v>
      </c>
      <c r="N138" t="s">
        <v>303</v>
      </c>
      <c r="P138" s="22"/>
    </row>
    <row r="139" spans="1:16">
      <c r="A139" s="125">
        <v>45557180126</v>
      </c>
      <c r="B139" s="126">
        <v>20562</v>
      </c>
      <c r="C139" s="32" t="s">
        <v>359</v>
      </c>
      <c r="D139" s="127" t="s">
        <v>105</v>
      </c>
      <c r="E139" s="128">
        <v>100</v>
      </c>
      <c r="F139" s="53" t="s">
        <v>89</v>
      </c>
      <c r="G139" s="128">
        <v>159</v>
      </c>
      <c r="H139" s="6">
        <f t="shared" si="9"/>
        <v>159</v>
      </c>
      <c r="I139" s="48">
        <v>42498</v>
      </c>
      <c r="J139" s="130">
        <f t="shared" si="8"/>
        <v>59</v>
      </c>
      <c r="K139" s="127" t="s">
        <v>165</v>
      </c>
      <c r="L139" s="126"/>
      <c r="M139" s="127" t="s">
        <v>176</v>
      </c>
      <c r="N139" t="s">
        <v>333</v>
      </c>
      <c r="O139" s="127"/>
      <c r="P139" s="22"/>
    </row>
    <row r="140" spans="1:16">
      <c r="A140" s="125">
        <v>93992092108</v>
      </c>
      <c r="B140" s="126">
        <v>20937</v>
      </c>
      <c r="C140" s="32" t="s">
        <v>360</v>
      </c>
      <c r="D140" s="127" t="s">
        <v>81</v>
      </c>
      <c r="E140" s="128">
        <v>110</v>
      </c>
      <c r="F140" s="6">
        <v>115</v>
      </c>
      <c r="G140" s="128">
        <v>305</v>
      </c>
      <c r="H140" s="6">
        <f t="shared" si="9"/>
        <v>115</v>
      </c>
      <c r="I140" s="48">
        <v>42498</v>
      </c>
      <c r="J140" s="130">
        <f t="shared" si="8"/>
        <v>5</v>
      </c>
      <c r="K140" s="127" t="s">
        <v>96</v>
      </c>
      <c r="L140" s="126"/>
      <c r="M140" s="127" t="s">
        <v>176</v>
      </c>
      <c r="N140" s="127" t="s">
        <v>361</v>
      </c>
      <c r="O140" s="127"/>
      <c r="P140" s="22"/>
    </row>
    <row r="141" spans="1:16">
      <c r="A141" s="1" t="s">
        <v>362</v>
      </c>
      <c r="B141" s="41">
        <v>20216</v>
      </c>
      <c r="C141" t="s">
        <v>363</v>
      </c>
      <c r="D141" t="s">
        <v>81</v>
      </c>
      <c r="E141" s="6">
        <v>0</v>
      </c>
      <c r="F141" s="64" t="s">
        <v>89</v>
      </c>
      <c r="G141" s="64" t="s">
        <v>89</v>
      </c>
      <c r="H141" s="64">
        <f t="shared" si="9"/>
        <v>0</v>
      </c>
      <c r="I141" s="122" t="s">
        <v>364</v>
      </c>
      <c r="J141" s="66">
        <f t="shared" si="8"/>
        <v>0</v>
      </c>
      <c r="K141" t="s">
        <v>96</v>
      </c>
      <c r="M141" t="s">
        <v>176</v>
      </c>
      <c r="N141" t="s">
        <v>255</v>
      </c>
      <c r="O141" t="s">
        <v>365</v>
      </c>
      <c r="P141" s="22"/>
    </row>
    <row r="142" spans="1:16">
      <c r="A142" s="1" t="s">
        <v>362</v>
      </c>
      <c r="B142" s="41">
        <v>20484</v>
      </c>
      <c r="C142" t="s">
        <v>366</v>
      </c>
      <c r="D142" t="s">
        <v>105</v>
      </c>
      <c r="E142" s="6">
        <v>0</v>
      </c>
      <c r="F142" s="64" t="s">
        <v>89</v>
      </c>
      <c r="G142" s="64" t="s">
        <v>89</v>
      </c>
      <c r="H142" s="64">
        <f t="shared" si="9"/>
        <v>0</v>
      </c>
      <c r="I142" s="122" t="s">
        <v>364</v>
      </c>
      <c r="J142" s="66">
        <f t="shared" si="8"/>
        <v>0</v>
      </c>
      <c r="K142" s="10" t="s">
        <v>165</v>
      </c>
      <c r="M142" t="s">
        <v>176</v>
      </c>
      <c r="N142" t="s">
        <v>255</v>
      </c>
      <c r="P142" s="22"/>
    </row>
    <row r="143" spans="1:16">
      <c r="A143" s="2" t="s">
        <v>362</v>
      </c>
      <c r="B143" s="42">
        <v>20627</v>
      </c>
      <c r="C143" s="3" t="s">
        <v>366</v>
      </c>
      <c r="D143" s="3" t="s">
        <v>105</v>
      </c>
      <c r="E143" s="52">
        <v>0</v>
      </c>
      <c r="F143" s="52">
        <v>0</v>
      </c>
      <c r="G143" s="52">
        <v>0</v>
      </c>
      <c r="H143" s="64">
        <f t="shared" si="9"/>
        <v>0</v>
      </c>
      <c r="I143" s="123" t="s">
        <v>364</v>
      </c>
      <c r="J143" s="66">
        <f t="shared" si="8"/>
        <v>0</v>
      </c>
      <c r="K143" s="3"/>
      <c r="L143" s="42"/>
      <c r="M143" s="3"/>
      <c r="N143" s="3" t="s">
        <v>255</v>
      </c>
      <c r="O143" s="3" t="s">
        <v>367</v>
      </c>
      <c r="P143" s="22"/>
    </row>
    <row r="144" spans="1:16">
      <c r="A144" s="2" t="s">
        <v>368</v>
      </c>
      <c r="B144" s="42">
        <v>20759</v>
      </c>
      <c r="C144" s="120" t="s">
        <v>232</v>
      </c>
      <c r="D144" s="3" t="s">
        <v>81</v>
      </c>
      <c r="E144" s="52">
        <v>0</v>
      </c>
      <c r="F144" s="52">
        <v>0</v>
      </c>
      <c r="G144" s="52">
        <v>0</v>
      </c>
      <c r="H144" s="64">
        <f t="shared" si="9"/>
        <v>0</v>
      </c>
      <c r="I144" s="123" t="s">
        <v>364</v>
      </c>
      <c r="J144" s="66">
        <f t="shared" si="8"/>
        <v>0</v>
      </c>
      <c r="K144" s="3" t="s">
        <v>125</v>
      </c>
      <c r="L144" s="42"/>
      <c r="M144" s="3" t="s">
        <v>176</v>
      </c>
      <c r="N144" s="3" t="s">
        <v>148</v>
      </c>
      <c r="P144" s="22"/>
    </row>
    <row r="145" spans="1:16">
      <c r="A145" s="2" t="s">
        <v>368</v>
      </c>
      <c r="B145" s="42">
        <v>21044</v>
      </c>
      <c r="C145" s="3" t="s">
        <v>199</v>
      </c>
      <c r="D145" s="3" t="s">
        <v>105</v>
      </c>
      <c r="E145" s="52">
        <v>0</v>
      </c>
      <c r="F145" s="52">
        <v>0</v>
      </c>
      <c r="G145" s="52"/>
      <c r="H145" s="64">
        <f t="shared" si="9"/>
        <v>0</v>
      </c>
      <c r="I145" s="123" t="s">
        <v>364</v>
      </c>
      <c r="J145" s="66">
        <f t="shared" si="8"/>
        <v>0</v>
      </c>
      <c r="K145" s="3"/>
      <c r="L145" s="42"/>
      <c r="M145" s="3" t="s">
        <v>176</v>
      </c>
      <c r="N145" s="3" t="s">
        <v>200</v>
      </c>
      <c r="O145" s="3" t="s">
        <v>369</v>
      </c>
      <c r="P145" s="22"/>
    </row>
    <row r="146" spans="1:16" s="120" customFormat="1">
      <c r="A146" s="2" t="s">
        <v>368</v>
      </c>
      <c r="B146" s="42">
        <v>21133</v>
      </c>
      <c r="C146" s="3" t="s">
        <v>370</v>
      </c>
      <c r="D146" s="3" t="s">
        <v>81</v>
      </c>
      <c r="E146" s="52">
        <v>0</v>
      </c>
      <c r="F146" s="52">
        <v>0</v>
      </c>
      <c r="G146" s="52"/>
      <c r="H146" s="64">
        <f t="shared" si="9"/>
        <v>0</v>
      </c>
      <c r="I146" s="123" t="s">
        <v>364</v>
      </c>
      <c r="J146" s="66">
        <f t="shared" si="8"/>
        <v>0</v>
      </c>
      <c r="K146" s="3"/>
      <c r="L146" s="42">
        <v>5</v>
      </c>
      <c r="M146" s="3" t="s">
        <v>176</v>
      </c>
      <c r="N146" s="3" t="s">
        <v>211</v>
      </c>
      <c r="O146" s="3" t="s">
        <v>371</v>
      </c>
      <c r="P146" s="136"/>
    </row>
    <row r="147" spans="1:16">
      <c r="A147" s="132" t="s">
        <v>368</v>
      </c>
      <c r="B147" s="133">
        <v>21345</v>
      </c>
      <c r="C147" s="120" t="s">
        <v>306</v>
      </c>
      <c r="D147" s="120" t="s">
        <v>81</v>
      </c>
      <c r="E147" s="134">
        <v>0</v>
      </c>
      <c r="F147" s="134">
        <v>0</v>
      </c>
      <c r="G147" s="134">
        <v>0</v>
      </c>
      <c r="H147" s="134">
        <f t="shared" si="9"/>
        <v>0</v>
      </c>
      <c r="I147" s="135" t="s">
        <v>364</v>
      </c>
      <c r="J147" s="134"/>
      <c r="K147" s="120"/>
      <c r="L147" s="133"/>
      <c r="M147" s="120" t="s">
        <v>176</v>
      </c>
      <c r="N147" s="120"/>
      <c r="O147" s="120"/>
      <c r="P147" s="22"/>
    </row>
    <row r="148" spans="1:16">
      <c r="A148" s="132" t="s">
        <v>362</v>
      </c>
      <c r="B148" s="133">
        <v>21361</v>
      </c>
      <c r="C148" s="120" t="s">
        <v>372</v>
      </c>
      <c r="D148" s="120" t="s">
        <v>105</v>
      </c>
      <c r="E148" s="134">
        <v>0</v>
      </c>
      <c r="F148" s="134">
        <v>0</v>
      </c>
      <c r="G148" s="134"/>
      <c r="H148" s="134">
        <f t="shared" si="9"/>
        <v>0</v>
      </c>
      <c r="I148" s="135" t="s">
        <v>364</v>
      </c>
      <c r="J148" s="134">
        <f t="shared" ref="J148:J160" si="10">MIN(F148:G148)-E148</f>
        <v>0</v>
      </c>
      <c r="K148" s="120" t="s">
        <v>165</v>
      </c>
      <c r="L148" s="133"/>
      <c r="M148" s="120" t="s">
        <v>176</v>
      </c>
      <c r="N148" s="120" t="s">
        <v>255</v>
      </c>
      <c r="O148" s="120"/>
      <c r="P148" s="22"/>
    </row>
    <row r="149" spans="1:16">
      <c r="A149" s="2" t="s">
        <v>368</v>
      </c>
      <c r="B149" s="42">
        <v>21417</v>
      </c>
      <c r="C149" s="3" t="s">
        <v>342</v>
      </c>
      <c r="D149" s="3" t="s">
        <v>105</v>
      </c>
      <c r="E149" s="52">
        <v>0</v>
      </c>
      <c r="F149" s="52">
        <v>0</v>
      </c>
      <c r="G149" s="52"/>
      <c r="H149" s="64">
        <f t="shared" si="9"/>
        <v>0</v>
      </c>
      <c r="I149" s="123" t="s">
        <v>364</v>
      </c>
      <c r="J149" s="66">
        <f t="shared" si="10"/>
        <v>0</v>
      </c>
      <c r="K149" s="3"/>
      <c r="L149" s="42"/>
      <c r="M149" s="3" t="s">
        <v>176</v>
      </c>
      <c r="N149" s="3" t="s">
        <v>373</v>
      </c>
      <c r="O149" s="3" t="s">
        <v>374</v>
      </c>
      <c r="P149" s="22"/>
    </row>
    <row r="150" spans="1:16">
      <c r="A150" s="125">
        <v>14633143850</v>
      </c>
      <c r="B150" s="126">
        <v>20305</v>
      </c>
      <c r="C150" s="32" t="s">
        <v>375</v>
      </c>
      <c r="D150" s="127" t="s">
        <v>81</v>
      </c>
      <c r="E150" s="128">
        <v>12</v>
      </c>
      <c r="G150" s="128"/>
      <c r="H150" s="6">
        <f t="shared" si="9"/>
        <v>0</v>
      </c>
      <c r="I150" s="129"/>
      <c r="J150" s="130">
        <f t="shared" si="10"/>
        <v>-12</v>
      </c>
      <c r="K150" s="127" t="s">
        <v>96</v>
      </c>
      <c r="L150" s="126"/>
      <c r="M150" s="127" t="s">
        <v>176</v>
      </c>
      <c r="N150" s="127" t="s">
        <v>376</v>
      </c>
      <c r="O150" s="127"/>
      <c r="P150" s="22"/>
    </row>
    <row r="151" spans="1:16" s="32" customFormat="1">
      <c r="A151" s="125">
        <v>13388260157</v>
      </c>
      <c r="B151" s="126">
        <v>20499</v>
      </c>
      <c r="C151" s="127" t="s">
        <v>377</v>
      </c>
      <c r="D151" s="127" t="s">
        <v>81</v>
      </c>
      <c r="E151" s="128">
        <v>21</v>
      </c>
      <c r="F151" s="6"/>
      <c r="G151" s="128"/>
      <c r="H151" s="6">
        <f t="shared" si="9"/>
        <v>0</v>
      </c>
      <c r="I151" s="129"/>
      <c r="J151" s="130">
        <f t="shared" si="10"/>
        <v>-21</v>
      </c>
      <c r="K151" s="127" t="s">
        <v>96</v>
      </c>
      <c r="L151" s="126"/>
      <c r="M151" s="127" t="s">
        <v>176</v>
      </c>
      <c r="N151" s="127" t="s">
        <v>255</v>
      </c>
      <c r="O151" s="127"/>
      <c r="P151" s="36"/>
    </row>
    <row r="152" spans="1:16" s="32" customFormat="1">
      <c r="A152" s="125">
        <v>45557180133</v>
      </c>
      <c r="B152" s="126">
        <v>20563</v>
      </c>
      <c r="C152" s="127" t="s">
        <v>378</v>
      </c>
      <c r="D152" s="127" t="s">
        <v>105</v>
      </c>
      <c r="E152" s="128">
        <v>100</v>
      </c>
      <c r="F152" s="68"/>
      <c r="G152" s="128"/>
      <c r="H152" s="6">
        <f t="shared" si="9"/>
        <v>0</v>
      </c>
      <c r="I152" s="129"/>
      <c r="J152" s="130">
        <f t="shared" si="10"/>
        <v>-100</v>
      </c>
      <c r="K152" s="127" t="s">
        <v>165</v>
      </c>
      <c r="L152" s="126"/>
      <c r="M152" s="127" t="s">
        <v>176</v>
      </c>
      <c r="N152" t="s">
        <v>333</v>
      </c>
      <c r="O152" s="127"/>
      <c r="P152" s="36"/>
    </row>
    <row r="153" spans="1:16" s="32" customFormat="1">
      <c r="A153" s="125">
        <v>13388260300</v>
      </c>
      <c r="B153" s="126">
        <v>20833</v>
      </c>
      <c r="C153" s="127" t="s">
        <v>379</v>
      </c>
      <c r="D153" s="127" t="s">
        <v>81</v>
      </c>
      <c r="E153" s="128">
        <v>20</v>
      </c>
      <c r="F153" s="67"/>
      <c r="G153" s="128"/>
      <c r="H153" s="6">
        <f t="shared" si="9"/>
        <v>0</v>
      </c>
      <c r="I153" s="129"/>
      <c r="J153" s="130">
        <f t="shared" si="10"/>
        <v>-20</v>
      </c>
      <c r="K153" s="127" t="s">
        <v>96</v>
      </c>
      <c r="L153" s="126"/>
      <c r="M153" s="127" t="s">
        <v>176</v>
      </c>
      <c r="N153" s="127" t="s">
        <v>255</v>
      </c>
      <c r="O153" s="127"/>
      <c r="P153" s="36"/>
    </row>
    <row r="154" spans="1:16" s="32" customFormat="1">
      <c r="A154" s="125">
        <v>40198001342</v>
      </c>
      <c r="B154" s="126">
        <v>20879</v>
      </c>
      <c r="C154" s="127" t="s">
        <v>380</v>
      </c>
      <c r="D154" s="127" t="s">
        <v>81</v>
      </c>
      <c r="E154" s="128">
        <v>50</v>
      </c>
      <c r="F154" s="67"/>
      <c r="G154" s="128"/>
      <c r="H154" s="6">
        <f t="shared" si="9"/>
        <v>0</v>
      </c>
      <c r="I154" s="129"/>
      <c r="J154" s="130">
        <f t="shared" si="10"/>
        <v>-50</v>
      </c>
      <c r="K154" s="127" t="s">
        <v>181</v>
      </c>
      <c r="L154" s="126"/>
      <c r="M154" s="127" t="s">
        <v>176</v>
      </c>
      <c r="N154" s="127" t="s">
        <v>136</v>
      </c>
      <c r="O154" s="127"/>
      <c r="P154" s="36"/>
    </row>
    <row r="155" spans="1:16" s="32" customFormat="1">
      <c r="A155" s="125">
        <v>10086630893</v>
      </c>
      <c r="B155" s="126">
        <v>21206</v>
      </c>
      <c r="C155" s="127" t="s">
        <v>381</v>
      </c>
      <c r="D155" s="127" t="s">
        <v>81</v>
      </c>
      <c r="E155" s="128">
        <v>33</v>
      </c>
      <c r="F155" s="67"/>
      <c r="G155" s="128"/>
      <c r="H155" s="6">
        <f t="shared" si="9"/>
        <v>0</v>
      </c>
      <c r="I155" s="129"/>
      <c r="J155" s="130">
        <f t="shared" si="10"/>
        <v>-33</v>
      </c>
      <c r="K155" s="127" t="s">
        <v>96</v>
      </c>
      <c r="L155" s="126"/>
      <c r="M155" s="127" t="s">
        <v>176</v>
      </c>
      <c r="N155" s="127" t="s">
        <v>258</v>
      </c>
      <c r="O155" s="127"/>
      <c r="P155" s="36"/>
    </row>
    <row r="156" spans="1:16" s="32" customFormat="1">
      <c r="A156" s="125">
        <v>662248905051</v>
      </c>
      <c r="B156" s="126">
        <v>21263</v>
      </c>
      <c r="C156" s="127" t="s">
        <v>382</v>
      </c>
      <c r="D156" s="127" t="s">
        <v>81</v>
      </c>
      <c r="E156" s="128">
        <v>40</v>
      </c>
      <c r="F156" s="67"/>
      <c r="G156" s="128"/>
      <c r="H156" s="6">
        <f t="shared" si="9"/>
        <v>0</v>
      </c>
      <c r="I156" s="129"/>
      <c r="J156" s="130">
        <f t="shared" si="10"/>
        <v>-40</v>
      </c>
      <c r="K156" s="127" t="s">
        <v>96</v>
      </c>
      <c r="L156" s="126"/>
      <c r="M156" s="127" t="s">
        <v>176</v>
      </c>
      <c r="N156" s="127" t="s">
        <v>213</v>
      </c>
      <c r="O156" s="127"/>
      <c r="P156" s="36"/>
    </row>
    <row r="157" spans="1:16" s="32" customFormat="1">
      <c r="A157" s="125">
        <v>13388260539</v>
      </c>
      <c r="B157" s="126">
        <v>21370</v>
      </c>
      <c r="C157" s="127" t="s">
        <v>383</v>
      </c>
      <c r="D157" s="127" t="s">
        <v>105</v>
      </c>
      <c r="E157" s="128">
        <v>25</v>
      </c>
      <c r="F157" s="6"/>
      <c r="G157" s="128"/>
      <c r="H157" s="6">
        <f t="shared" si="9"/>
        <v>0</v>
      </c>
      <c r="I157" s="131"/>
      <c r="J157" s="130">
        <f t="shared" si="10"/>
        <v>-25</v>
      </c>
      <c r="K157" s="127" t="s">
        <v>165</v>
      </c>
      <c r="L157" s="126"/>
      <c r="M157" s="127" t="s">
        <v>176</v>
      </c>
      <c r="N157" s="127" t="s">
        <v>255</v>
      </c>
      <c r="O157" s="127"/>
      <c r="P157" s="36"/>
    </row>
    <row r="158" spans="1:16" s="3" customFormat="1" ht="13.5" thickBot="1">
      <c r="A158" s="125">
        <v>8888323068</v>
      </c>
      <c r="B158" s="126">
        <v>21373</v>
      </c>
      <c r="C158" s="127" t="s">
        <v>384</v>
      </c>
      <c r="D158" s="127" t="s">
        <v>81</v>
      </c>
      <c r="E158" s="128">
        <v>17</v>
      </c>
      <c r="F158" s="6"/>
      <c r="G158" s="128"/>
      <c r="H158" s="6">
        <f t="shared" si="9"/>
        <v>0</v>
      </c>
      <c r="I158" s="129"/>
      <c r="J158" s="130">
        <f t="shared" si="10"/>
        <v>-17</v>
      </c>
      <c r="K158" s="127" t="s">
        <v>96</v>
      </c>
      <c r="L158" s="126"/>
      <c r="M158" s="127" t="s">
        <v>176</v>
      </c>
      <c r="N158" s="127" t="s">
        <v>213</v>
      </c>
      <c r="O158" s="127"/>
      <c r="P158" s="25"/>
    </row>
    <row r="159" spans="1:16" s="3" customFormat="1">
      <c r="A159" s="125">
        <v>40198001670</v>
      </c>
      <c r="B159" s="126">
        <v>21584</v>
      </c>
      <c r="C159" s="127" t="s">
        <v>385</v>
      </c>
      <c r="D159" s="127" t="s">
        <v>81</v>
      </c>
      <c r="E159" s="128">
        <v>30</v>
      </c>
      <c r="F159" s="6"/>
      <c r="G159" s="128"/>
      <c r="H159" s="6">
        <f t="shared" si="9"/>
        <v>0</v>
      </c>
      <c r="I159" s="129"/>
      <c r="J159" s="130">
        <f t="shared" si="10"/>
        <v>-30</v>
      </c>
      <c r="K159" s="127" t="s">
        <v>181</v>
      </c>
      <c r="L159" s="126"/>
      <c r="M159" s="127" t="s">
        <v>176</v>
      </c>
      <c r="N159" s="127" t="s">
        <v>136</v>
      </c>
      <c r="O159" s="127"/>
      <c r="P159" s="32"/>
    </row>
    <row r="160" spans="1:16" s="32" customFormat="1">
      <c r="A160" s="125">
        <v>40198001779</v>
      </c>
      <c r="B160" s="126">
        <v>21721</v>
      </c>
      <c r="C160" s="32" t="s">
        <v>386</v>
      </c>
      <c r="D160" s="127" t="s">
        <v>81</v>
      </c>
      <c r="E160" s="128">
        <v>12</v>
      </c>
      <c r="F160" s="53" t="s">
        <v>89</v>
      </c>
      <c r="G160" s="128">
        <v>55</v>
      </c>
      <c r="H160" s="6">
        <f t="shared" si="9"/>
        <v>55</v>
      </c>
      <c r="I160" s="48">
        <v>42498</v>
      </c>
      <c r="J160" s="130">
        <f t="shared" si="10"/>
        <v>43</v>
      </c>
      <c r="K160" s="127" t="s">
        <v>96</v>
      </c>
      <c r="L160" s="126"/>
      <c r="M160" s="127" t="s">
        <v>176</v>
      </c>
      <c r="N160" s="127" t="s">
        <v>136</v>
      </c>
      <c r="O160" s="127"/>
    </row>
    <row r="161" spans="1:17" s="19" customFormat="1">
      <c r="A161" s="20"/>
      <c r="B161" s="44"/>
      <c r="C161" s="10"/>
      <c r="E161" s="54"/>
      <c r="F161" s="54"/>
      <c r="G161" s="54"/>
      <c r="H161" s="54"/>
      <c r="I161" s="57"/>
      <c r="J161" s="44"/>
      <c r="L161" s="44"/>
      <c r="Q161" s="39"/>
    </row>
    <row r="162" spans="1:17">
      <c r="A162" s="20"/>
      <c r="C162" s="10" t="s">
        <v>387</v>
      </c>
    </row>
    <row r="163" spans="1:17">
      <c r="A163" s="20"/>
      <c r="C163" s="10"/>
    </row>
    <row r="165" spans="1:17">
      <c r="A165" s="14" t="s">
        <v>388</v>
      </c>
    </row>
    <row r="166" spans="1:17">
      <c r="A166" s="8">
        <f>COUNT(B:B)-6</f>
        <v>220</v>
      </c>
    </row>
    <row r="167" spans="1:17">
      <c r="A167" s="14" t="s">
        <v>389</v>
      </c>
    </row>
    <row r="168" spans="1:17">
      <c r="A168" s="8">
        <f>SUM(A166,-A212)</f>
        <v>152</v>
      </c>
    </row>
    <row r="169" spans="1:17">
      <c r="A169" s="1" t="s">
        <v>390</v>
      </c>
    </row>
    <row r="170" spans="1:17">
      <c r="A170" s="6">
        <f>SUM(J:J)</f>
        <v>1243</v>
      </c>
    </row>
    <row r="171" spans="1:17">
      <c r="A171" s="64" t="s">
        <v>391</v>
      </c>
    </row>
    <row r="172" spans="1:17">
      <c r="A172" s="6">
        <f>SUM(H:H)</f>
        <v>5120</v>
      </c>
    </row>
    <row r="173" spans="1:17">
      <c r="A173" s="64" t="s">
        <v>392</v>
      </c>
    </row>
    <row r="174" spans="1:17">
      <c r="A174" s="10">
        <f>(A172-(A166*5))*0.85</f>
        <v>3417</v>
      </c>
    </row>
    <row r="175" spans="1:17">
      <c r="A175" s="14" t="s">
        <v>161</v>
      </c>
    </row>
    <row r="176" spans="1:17">
      <c r="A176"/>
    </row>
    <row r="177" spans="1:1">
      <c r="A177" s="1" t="s">
        <v>393</v>
      </c>
    </row>
    <row r="178" spans="1:1">
      <c r="A178" s="7">
        <f>(COUNTBLANK(F8:G160)-2)</f>
        <v>22</v>
      </c>
    </row>
    <row r="179" spans="1:1">
      <c r="A179" s="1" t="s">
        <v>162</v>
      </c>
    </row>
    <row r="180" spans="1:1">
      <c r="A180" s="2">
        <f>COUNTIF(K:K,"Completed")</f>
        <v>56</v>
      </c>
    </row>
    <row r="181" spans="1:1">
      <c r="A181" s="1" t="s">
        <v>163</v>
      </c>
    </row>
    <row r="182" spans="1:1">
      <c r="A182" s="2">
        <f>COUNTIF(K:K,"CBD")</f>
        <v>39</v>
      </c>
    </row>
    <row r="183" spans="1:1">
      <c r="A183" s="17" t="s">
        <v>394</v>
      </c>
    </row>
    <row r="184" spans="1:1">
      <c r="A184" s="2">
        <f>COUNTIF(K:K,"LP")</f>
        <v>3</v>
      </c>
    </row>
    <row r="185" spans="1:1">
      <c r="A185" s="17" t="s">
        <v>395</v>
      </c>
    </row>
    <row r="186" spans="1:1">
      <c r="A186" s="2">
        <f>COUNTIF(K:K,"SBC")</f>
        <v>46</v>
      </c>
    </row>
    <row r="187" spans="1:1">
      <c r="A187" s="1" t="s">
        <v>164</v>
      </c>
    </row>
    <row r="188" spans="1:1">
      <c r="A188" s="1">
        <f>SUM(A180,A182,A194)</f>
        <v>98</v>
      </c>
    </row>
    <row r="189" spans="1:1">
      <c r="A189" s="1" t="s">
        <v>96</v>
      </c>
    </row>
    <row r="190" spans="1:1">
      <c r="A190" s="2">
        <f>COUNTIF(K:K,"Undone")</f>
        <v>34</v>
      </c>
    </row>
    <row r="191" spans="1:1">
      <c r="A191" s="17" t="s">
        <v>165</v>
      </c>
    </row>
    <row r="192" spans="1:1">
      <c r="A192" s="2">
        <f>COUNTIF(K:K,"Sealed")</f>
        <v>24</v>
      </c>
    </row>
    <row r="193" spans="1:1">
      <c r="A193" s="4" t="s">
        <v>166</v>
      </c>
    </row>
    <row r="194" spans="1:1">
      <c r="A194" s="2">
        <f>COUNTIF(K:K,"Never")</f>
        <v>3</v>
      </c>
    </row>
    <row r="195" spans="1:1">
      <c r="A195" s="1" t="s">
        <v>125</v>
      </c>
    </row>
    <row r="196" spans="1:1">
      <c r="A196" s="2">
        <f>COUNTIF(K:K,"Pending")</f>
        <v>5</v>
      </c>
    </row>
    <row r="197" spans="1:1">
      <c r="A197" s="1" t="s">
        <v>167</v>
      </c>
    </row>
    <row r="198" spans="1:1">
      <c r="A198" s="1">
        <f>SUM(A190,A196,A192)</f>
        <v>63</v>
      </c>
    </row>
    <row r="199" spans="1:1">
      <c r="A199" s="1" t="s">
        <v>168</v>
      </c>
    </row>
    <row r="200" spans="1:1">
      <c r="A200" s="11">
        <f>(A180)/(A180+A196+A190)</f>
        <v>0.58947368421052626</v>
      </c>
    </row>
    <row r="201" spans="1:1">
      <c r="A201" s="14" t="s">
        <v>396</v>
      </c>
    </row>
    <row r="202" spans="1:1">
      <c r="A202" s="11">
        <f>(A180)/(A180+A196+A190+A192)</f>
        <v>0.47058823529411764</v>
      </c>
    </row>
    <row r="203" spans="1:1">
      <c r="A203" s="1" t="s">
        <v>81</v>
      </c>
    </row>
    <row r="204" spans="1:1">
      <c r="A204" s="1">
        <f>COUNTIF(D:D,"Used")</f>
        <v>172</v>
      </c>
    </row>
    <row r="207" spans="1:1">
      <c r="A207" s="1" t="s">
        <v>397</v>
      </c>
    </row>
    <row r="208" spans="1:1">
      <c r="A208" s="1">
        <f>COUNTIF(M:M,"Sell")</f>
        <v>0</v>
      </c>
    </row>
    <row r="209" spans="1:1">
      <c r="A209" s="14" t="s">
        <v>398</v>
      </c>
    </row>
    <row r="210" spans="1:1">
      <c r="A210" s="1">
        <f>COUNTIF(M:M,"Selling")</f>
        <v>0</v>
      </c>
    </row>
    <row r="211" spans="1:1">
      <c r="A211" s="14" t="s">
        <v>174</v>
      </c>
    </row>
    <row r="212" spans="1:1">
      <c r="A212" s="1">
        <f>COUNTIF(M:M,"Sold")</f>
        <v>68</v>
      </c>
    </row>
    <row r="213" spans="1:1">
      <c r="A213" s="14" t="s">
        <v>399</v>
      </c>
    </row>
    <row r="214" spans="1:1">
      <c r="A214">
        <f>SUM(P:P)</f>
        <v>918.3</v>
      </c>
    </row>
    <row r="215" spans="1:1">
      <c r="A215" s="14" t="s">
        <v>400</v>
      </c>
    </row>
    <row r="216" spans="1:1">
      <c r="A216">
        <f>(A172-(A168*4))*0.85</f>
        <v>3835.2</v>
      </c>
    </row>
    <row r="217" spans="1:1">
      <c r="A217" s="14" t="s">
        <v>401</v>
      </c>
    </row>
    <row r="218" spans="1:1">
      <c r="A218">
        <f>SUM(A214/A212)</f>
        <v>13.504411764705882</v>
      </c>
    </row>
    <row r="219" spans="1:1">
      <c r="A219" s="1" t="s">
        <v>169</v>
      </c>
    </row>
    <row r="220" spans="1:1">
      <c r="A220">
        <f>SUM(E:E)</f>
        <v>5252</v>
      </c>
    </row>
    <row r="221" spans="1:1">
      <c r="A221" s="6" t="s">
        <v>170</v>
      </c>
    </row>
    <row r="222" spans="1:1">
      <c r="A222">
        <f>AVERAGE(E:E)</f>
        <v>22.637931034482758</v>
      </c>
    </row>
    <row r="223" spans="1:1">
      <c r="A223" s="1" t="s">
        <v>402</v>
      </c>
    </row>
    <row r="224" spans="1:1">
      <c r="A224">
        <f>SUM(E231:E298)</f>
        <v>1305</v>
      </c>
    </row>
    <row r="225" spans="1:17">
      <c r="A225" s="14" t="s">
        <v>403</v>
      </c>
    </row>
    <row r="226" spans="1:17">
      <c r="A226">
        <f>SUM(A214,-A224)</f>
        <v>-386.70000000000005</v>
      </c>
    </row>
    <row r="231" spans="1:17" s="19" customFormat="1">
      <c r="A231" s="18" t="s">
        <v>404</v>
      </c>
      <c r="B231" s="44">
        <v>97113</v>
      </c>
      <c r="C231" s="19" t="s">
        <v>405</v>
      </c>
      <c r="D231" s="19" t="s">
        <v>105</v>
      </c>
      <c r="E231" s="54">
        <v>10</v>
      </c>
      <c r="F231" s="54">
        <v>0</v>
      </c>
      <c r="G231" s="54"/>
      <c r="H231" s="54"/>
      <c r="I231" s="57"/>
      <c r="J231" s="44"/>
      <c r="K231" s="19" t="s">
        <v>181</v>
      </c>
      <c r="L231" s="44"/>
      <c r="M231" s="19" t="s">
        <v>174</v>
      </c>
      <c r="N231" s="19" t="s">
        <v>82</v>
      </c>
      <c r="P231" s="23">
        <v>105</v>
      </c>
      <c r="Q231" s="39">
        <f t="shared" ref="Q231:Q304" si="11">SUM(P231-E231)</f>
        <v>95</v>
      </c>
    </row>
    <row r="232" spans="1:17" s="19" customFormat="1">
      <c r="A232" s="20">
        <v>711719712428</v>
      </c>
      <c r="B232" s="44">
        <v>97124</v>
      </c>
      <c r="C232" s="19" t="s">
        <v>406</v>
      </c>
      <c r="D232" s="19" t="s">
        <v>81</v>
      </c>
      <c r="E232" s="54">
        <v>20</v>
      </c>
      <c r="F232" s="54">
        <v>0</v>
      </c>
      <c r="G232" s="54"/>
      <c r="H232" s="54"/>
      <c r="I232" s="57"/>
      <c r="J232" s="44"/>
      <c r="K232" s="19" t="s">
        <v>61</v>
      </c>
      <c r="L232" s="44">
        <v>6</v>
      </c>
      <c r="M232" s="19" t="s">
        <v>174</v>
      </c>
      <c r="N232" s="19" t="s">
        <v>82</v>
      </c>
      <c r="P232" s="23">
        <v>7</v>
      </c>
      <c r="Q232" s="19">
        <f t="shared" si="11"/>
        <v>-13</v>
      </c>
    </row>
    <row r="233" spans="1:17" s="19" customFormat="1">
      <c r="A233" s="20">
        <v>711719717720</v>
      </c>
      <c r="B233" s="44">
        <v>97177</v>
      </c>
      <c r="C233" s="19" t="s">
        <v>407</v>
      </c>
      <c r="D233" s="19" t="s">
        <v>105</v>
      </c>
      <c r="E233" s="54">
        <v>10</v>
      </c>
      <c r="F233" s="54">
        <v>0</v>
      </c>
      <c r="G233" s="54"/>
      <c r="H233" s="54"/>
      <c r="I233" s="57"/>
      <c r="J233" s="44"/>
      <c r="K233" s="19" t="s">
        <v>184</v>
      </c>
      <c r="L233" s="44"/>
      <c r="M233" s="19" t="s">
        <v>174</v>
      </c>
      <c r="N233" s="19" t="s">
        <v>82</v>
      </c>
      <c r="P233" s="23">
        <v>22</v>
      </c>
      <c r="Q233" s="39">
        <f t="shared" si="11"/>
        <v>12</v>
      </c>
    </row>
    <row r="234" spans="1:17" s="19" customFormat="1">
      <c r="A234" s="20">
        <v>711719719823</v>
      </c>
      <c r="B234" s="44">
        <v>97198</v>
      </c>
      <c r="C234" s="19" t="s">
        <v>408</v>
      </c>
      <c r="D234" s="19" t="s">
        <v>81</v>
      </c>
      <c r="E234" s="54">
        <v>10</v>
      </c>
      <c r="F234" s="54">
        <v>0</v>
      </c>
      <c r="G234" s="54"/>
      <c r="H234" s="54"/>
      <c r="I234" s="57"/>
      <c r="J234" s="44"/>
      <c r="K234" s="19" t="s">
        <v>61</v>
      </c>
      <c r="L234" s="44">
        <v>7</v>
      </c>
      <c r="M234" s="19" t="s">
        <v>174</v>
      </c>
      <c r="N234" s="19" t="s">
        <v>82</v>
      </c>
      <c r="P234" s="23">
        <v>10</v>
      </c>
      <c r="Q234" s="19">
        <f t="shared" si="11"/>
        <v>0</v>
      </c>
    </row>
    <row r="235" spans="1:17" s="19" customFormat="1">
      <c r="A235" s="20">
        <v>711719725824</v>
      </c>
      <c r="B235" s="44">
        <v>97258</v>
      </c>
      <c r="C235" s="19" t="s">
        <v>409</v>
      </c>
      <c r="D235" s="19" t="s">
        <v>81</v>
      </c>
      <c r="E235" s="54">
        <v>10</v>
      </c>
      <c r="F235" s="54">
        <v>0</v>
      </c>
      <c r="G235" s="54"/>
      <c r="H235" s="54"/>
      <c r="I235" s="57"/>
      <c r="J235" s="44"/>
      <c r="K235" s="19" t="s">
        <v>184</v>
      </c>
      <c r="L235" s="44">
        <v>6</v>
      </c>
      <c r="M235" s="19" t="s">
        <v>174</v>
      </c>
      <c r="N235" s="19" t="s">
        <v>82</v>
      </c>
      <c r="P235" s="23">
        <v>10</v>
      </c>
      <c r="Q235" s="19">
        <f t="shared" si="11"/>
        <v>0</v>
      </c>
    </row>
    <row r="236" spans="1:17" s="19" customFormat="1">
      <c r="A236" s="20">
        <v>711719726524</v>
      </c>
      <c r="B236" s="44">
        <v>97265</v>
      </c>
      <c r="C236" s="19" t="s">
        <v>410</v>
      </c>
      <c r="D236" s="19" t="s">
        <v>81</v>
      </c>
      <c r="E236" s="54">
        <v>25</v>
      </c>
      <c r="F236" s="54">
        <v>0</v>
      </c>
      <c r="G236" s="54"/>
      <c r="H236" s="54"/>
      <c r="I236" s="57"/>
      <c r="J236" s="44"/>
      <c r="K236" s="19" t="s">
        <v>181</v>
      </c>
      <c r="L236" s="44"/>
      <c r="M236" s="19" t="s">
        <v>174</v>
      </c>
      <c r="N236" s="19" t="s">
        <v>82</v>
      </c>
      <c r="P236" s="23">
        <v>6.75</v>
      </c>
      <c r="Q236" s="19">
        <f t="shared" si="11"/>
        <v>-18.25</v>
      </c>
    </row>
    <row r="237" spans="1:17" s="19" customFormat="1">
      <c r="A237" s="20">
        <v>711719731627</v>
      </c>
      <c r="B237" s="44">
        <v>97316</v>
      </c>
      <c r="C237" s="19" t="s">
        <v>411</v>
      </c>
      <c r="D237" s="19" t="s">
        <v>81</v>
      </c>
      <c r="E237" s="54">
        <v>25</v>
      </c>
      <c r="F237" s="54">
        <v>0</v>
      </c>
      <c r="G237" s="54"/>
      <c r="H237" s="54"/>
      <c r="I237" s="57"/>
      <c r="J237" s="44"/>
      <c r="K237" s="19" t="s">
        <v>61</v>
      </c>
      <c r="L237" s="44">
        <v>7</v>
      </c>
      <c r="M237" s="19" t="s">
        <v>174</v>
      </c>
      <c r="N237" s="19" t="s">
        <v>82</v>
      </c>
      <c r="P237" s="23">
        <v>9</v>
      </c>
      <c r="Q237" s="19">
        <f t="shared" si="11"/>
        <v>-16</v>
      </c>
    </row>
    <row r="238" spans="1:17" s="19" customFormat="1">
      <c r="A238" s="20">
        <v>711719732822</v>
      </c>
      <c r="B238" s="44">
        <v>97328</v>
      </c>
      <c r="C238" s="19" t="s">
        <v>316</v>
      </c>
      <c r="D238" s="19" t="s">
        <v>81</v>
      </c>
      <c r="E238" s="54">
        <v>25</v>
      </c>
      <c r="F238" s="54">
        <v>0</v>
      </c>
      <c r="G238" s="54"/>
      <c r="H238" s="54"/>
      <c r="I238" s="57"/>
      <c r="J238" s="44"/>
      <c r="K238" s="19" t="s">
        <v>181</v>
      </c>
      <c r="L238" s="44">
        <v>7</v>
      </c>
      <c r="M238" s="19" t="s">
        <v>174</v>
      </c>
      <c r="N238" s="19" t="s">
        <v>82</v>
      </c>
      <c r="P238" s="23">
        <v>16</v>
      </c>
      <c r="Q238" s="19">
        <f t="shared" si="11"/>
        <v>-9</v>
      </c>
    </row>
    <row r="239" spans="1:17" s="19" customFormat="1">
      <c r="A239" s="20">
        <v>711719733027</v>
      </c>
      <c r="B239" s="44">
        <v>97330</v>
      </c>
      <c r="C239" s="19" t="s">
        <v>412</v>
      </c>
      <c r="D239" s="19" t="s">
        <v>105</v>
      </c>
      <c r="E239" s="54">
        <v>25</v>
      </c>
      <c r="F239" s="54">
        <v>0</v>
      </c>
      <c r="G239" s="54"/>
      <c r="H239" s="54"/>
      <c r="I239" s="57"/>
      <c r="J239" s="44"/>
      <c r="K239" s="19" t="s">
        <v>181</v>
      </c>
      <c r="L239" s="44"/>
      <c r="M239" s="19" t="s">
        <v>174</v>
      </c>
      <c r="N239" s="19" t="s">
        <v>82</v>
      </c>
      <c r="P239" s="23">
        <v>33</v>
      </c>
      <c r="Q239" s="19">
        <f t="shared" si="11"/>
        <v>8</v>
      </c>
    </row>
    <row r="240" spans="1:17" s="19" customFormat="1">
      <c r="A240" s="20">
        <v>711719735526</v>
      </c>
      <c r="B240" s="44">
        <v>97355</v>
      </c>
      <c r="C240" s="19" t="s">
        <v>413</v>
      </c>
      <c r="D240" s="19" t="s">
        <v>81</v>
      </c>
      <c r="E240" s="54">
        <v>15</v>
      </c>
      <c r="F240" s="54">
        <v>10</v>
      </c>
      <c r="G240" s="54"/>
      <c r="H240" s="54"/>
      <c r="I240" s="57"/>
      <c r="J240" s="44"/>
      <c r="K240" s="19" t="s">
        <v>181</v>
      </c>
      <c r="L240" s="44"/>
      <c r="M240" s="19" t="s">
        <v>414</v>
      </c>
      <c r="N240" s="19" t="s">
        <v>82</v>
      </c>
      <c r="P240" s="23"/>
    </row>
    <row r="241" spans="1:17" s="19" customFormat="1">
      <c r="A241" s="20">
        <v>711719740223</v>
      </c>
      <c r="B241" s="44">
        <v>97402</v>
      </c>
      <c r="C241" s="19" t="s">
        <v>415</v>
      </c>
      <c r="D241" s="19" t="s">
        <v>81</v>
      </c>
      <c r="E241" s="54">
        <v>25</v>
      </c>
      <c r="F241" s="54">
        <v>0</v>
      </c>
      <c r="G241" s="54"/>
      <c r="H241" s="54"/>
      <c r="I241" s="57"/>
      <c r="J241" s="44"/>
      <c r="K241" s="19" t="s">
        <v>181</v>
      </c>
      <c r="L241" s="44"/>
      <c r="M241" s="19" t="s">
        <v>174</v>
      </c>
      <c r="N241" s="19" t="s">
        <v>82</v>
      </c>
      <c r="P241" s="23">
        <v>15</v>
      </c>
      <c r="Q241" s="19">
        <f t="shared" si="11"/>
        <v>-10</v>
      </c>
    </row>
    <row r="242" spans="1:17" s="19" customFormat="1">
      <c r="A242" s="20">
        <v>711719741626</v>
      </c>
      <c r="B242" s="44">
        <v>97416</v>
      </c>
      <c r="C242" s="19" t="s">
        <v>416</v>
      </c>
      <c r="D242" s="19" t="s">
        <v>105</v>
      </c>
      <c r="E242" s="54">
        <v>25</v>
      </c>
      <c r="F242" s="54">
        <v>0</v>
      </c>
      <c r="G242" s="54"/>
      <c r="H242" s="54"/>
      <c r="I242" s="57"/>
      <c r="J242" s="44"/>
      <c r="K242" s="19" t="s">
        <v>181</v>
      </c>
      <c r="L242" s="44"/>
      <c r="M242" s="19" t="s">
        <v>174</v>
      </c>
      <c r="N242" s="19" t="s">
        <v>82</v>
      </c>
      <c r="P242" s="23">
        <v>5</v>
      </c>
      <c r="Q242" s="19">
        <f t="shared" si="11"/>
        <v>-20</v>
      </c>
    </row>
    <row r="243" spans="1:17" s="19" customFormat="1">
      <c r="A243" s="20">
        <v>711719746423</v>
      </c>
      <c r="B243" s="44">
        <v>97464</v>
      </c>
      <c r="C243" s="19" t="s">
        <v>417</v>
      </c>
      <c r="D243" s="19" t="s">
        <v>81</v>
      </c>
      <c r="E243" s="54">
        <v>40</v>
      </c>
      <c r="F243" s="54">
        <v>0</v>
      </c>
      <c r="G243" s="54"/>
      <c r="H243" s="54"/>
      <c r="I243" s="57"/>
      <c r="J243" s="44"/>
      <c r="K243" s="19" t="s">
        <v>181</v>
      </c>
      <c r="L243" s="44"/>
      <c r="M243" s="19" t="s">
        <v>174</v>
      </c>
      <c r="N243" s="19" t="s">
        <v>82</v>
      </c>
      <c r="P243" s="23">
        <v>7</v>
      </c>
      <c r="Q243" s="19">
        <f t="shared" si="11"/>
        <v>-33</v>
      </c>
    </row>
    <row r="244" spans="1:17" s="19" customFormat="1">
      <c r="A244" s="20">
        <v>790561512912</v>
      </c>
      <c r="B244" s="44">
        <v>20003</v>
      </c>
      <c r="C244" s="19" t="s">
        <v>418</v>
      </c>
      <c r="D244" s="19" t="s">
        <v>105</v>
      </c>
      <c r="E244" s="54">
        <v>10</v>
      </c>
      <c r="F244" s="54">
        <v>0</v>
      </c>
      <c r="G244" s="54"/>
      <c r="H244" s="54"/>
      <c r="I244" s="57"/>
      <c r="J244" s="44"/>
      <c r="K244" s="19" t="s">
        <v>181</v>
      </c>
      <c r="L244" s="44"/>
      <c r="M244" s="19" t="s">
        <v>174</v>
      </c>
      <c r="N244" s="19" t="s">
        <v>419</v>
      </c>
      <c r="P244" s="23">
        <v>20</v>
      </c>
      <c r="Q244" s="40">
        <f t="shared" si="11"/>
        <v>10</v>
      </c>
    </row>
    <row r="245" spans="1:17">
      <c r="A245" s="20">
        <v>13388260010</v>
      </c>
      <c r="B245" s="44">
        <v>20018</v>
      </c>
      <c r="C245" s="19" t="s">
        <v>420</v>
      </c>
      <c r="D245" s="19" t="s">
        <v>81</v>
      </c>
      <c r="E245" s="54">
        <v>10</v>
      </c>
      <c r="F245" s="54">
        <v>0</v>
      </c>
      <c r="G245" s="54"/>
      <c r="H245" s="54"/>
      <c r="I245" s="57"/>
      <c r="J245" s="44"/>
      <c r="K245" s="19" t="s">
        <v>181</v>
      </c>
      <c r="L245" s="44"/>
      <c r="M245" s="19" t="s">
        <v>174</v>
      </c>
      <c r="N245" s="19" t="s">
        <v>255</v>
      </c>
      <c r="O245" s="19"/>
      <c r="P245" s="23">
        <v>8</v>
      </c>
      <c r="Q245" s="40">
        <f t="shared" si="11"/>
        <v>-2</v>
      </c>
    </row>
    <row r="246" spans="1:17" s="19" customFormat="1">
      <c r="A246" s="20">
        <v>710425270796</v>
      </c>
      <c r="B246" s="44">
        <v>20062</v>
      </c>
      <c r="C246" s="19" t="s">
        <v>421</v>
      </c>
      <c r="D246" s="19" t="s">
        <v>81</v>
      </c>
      <c r="E246" s="54">
        <v>0</v>
      </c>
      <c r="F246" s="54">
        <v>0</v>
      </c>
      <c r="G246" s="54"/>
      <c r="H246" s="54"/>
      <c r="I246" s="57"/>
      <c r="J246" s="44"/>
      <c r="K246" s="19" t="s">
        <v>181</v>
      </c>
      <c r="L246" s="44">
        <v>9</v>
      </c>
      <c r="M246" s="19" t="s">
        <v>174</v>
      </c>
      <c r="N246" s="19" t="s">
        <v>218</v>
      </c>
      <c r="P246" s="23">
        <v>3</v>
      </c>
      <c r="Q246" s="39">
        <f t="shared" si="11"/>
        <v>3</v>
      </c>
    </row>
    <row r="247" spans="1:17" s="19" customFormat="1">
      <c r="A247" s="20">
        <v>2062671457</v>
      </c>
      <c r="B247" s="44">
        <v>20035</v>
      </c>
      <c r="C247" s="19" t="s">
        <v>422</v>
      </c>
      <c r="D247" s="19" t="s">
        <v>81</v>
      </c>
      <c r="E247" s="54">
        <v>0</v>
      </c>
      <c r="F247" s="54">
        <v>0</v>
      </c>
      <c r="G247" s="54"/>
      <c r="H247" s="54"/>
      <c r="I247" s="57"/>
      <c r="J247" s="44"/>
      <c r="K247" s="19" t="s">
        <v>181</v>
      </c>
      <c r="L247" s="44"/>
      <c r="M247" s="19" t="s">
        <v>174</v>
      </c>
      <c r="N247" s="19" t="s">
        <v>423</v>
      </c>
      <c r="P247" s="23">
        <v>13</v>
      </c>
      <c r="Q247" s="39">
        <f t="shared" si="11"/>
        <v>13</v>
      </c>
    </row>
    <row r="248" spans="1:17" s="19" customFormat="1">
      <c r="A248" s="20">
        <v>18946010175</v>
      </c>
      <c r="B248" s="44">
        <v>20071</v>
      </c>
      <c r="C248" s="19" t="s">
        <v>424</v>
      </c>
      <c r="D248" s="19" t="s">
        <v>81</v>
      </c>
      <c r="E248" s="54">
        <v>20</v>
      </c>
      <c r="F248" s="54">
        <v>0</v>
      </c>
      <c r="G248" s="54"/>
      <c r="H248" s="54"/>
      <c r="I248" s="57"/>
      <c r="J248" s="44"/>
      <c r="K248" s="19" t="s">
        <v>184</v>
      </c>
      <c r="L248" s="44">
        <v>7</v>
      </c>
      <c r="M248" s="19" t="s">
        <v>174</v>
      </c>
      <c r="N248" s="19" t="s">
        <v>303</v>
      </c>
      <c r="P248" s="23">
        <v>10</v>
      </c>
      <c r="Q248" s="19">
        <f t="shared" si="11"/>
        <v>-10</v>
      </c>
    </row>
    <row r="249" spans="1:17" s="19" customFormat="1">
      <c r="A249" s="20">
        <v>8888320241</v>
      </c>
      <c r="B249" s="44">
        <v>20208</v>
      </c>
      <c r="C249" s="19" t="s">
        <v>425</v>
      </c>
      <c r="D249" s="19" t="s">
        <v>105</v>
      </c>
      <c r="E249" s="54">
        <v>10</v>
      </c>
      <c r="F249" s="54">
        <v>0</v>
      </c>
      <c r="G249" s="54"/>
      <c r="H249" s="54"/>
      <c r="I249" s="57"/>
      <c r="J249" s="44"/>
      <c r="K249" s="19" t="s">
        <v>181</v>
      </c>
      <c r="L249" s="44"/>
      <c r="M249" s="19" t="s">
        <v>174</v>
      </c>
      <c r="N249" s="19" t="s">
        <v>191</v>
      </c>
      <c r="P249" s="23">
        <v>20</v>
      </c>
      <c r="Q249" s="39">
        <f t="shared" si="11"/>
        <v>10</v>
      </c>
    </row>
    <row r="250" spans="1:17" s="19" customFormat="1">
      <c r="A250" s="20">
        <v>83717200253</v>
      </c>
      <c r="B250" s="44">
        <v>20228</v>
      </c>
      <c r="C250" s="19" t="s">
        <v>426</v>
      </c>
      <c r="D250" s="19" t="s">
        <v>81</v>
      </c>
      <c r="E250" s="54">
        <v>0</v>
      </c>
      <c r="F250" s="54">
        <v>0</v>
      </c>
      <c r="G250" s="54"/>
      <c r="H250" s="54"/>
      <c r="I250" s="57"/>
      <c r="J250" s="44"/>
      <c r="K250" s="19" t="s">
        <v>181</v>
      </c>
      <c r="L250" s="44"/>
      <c r="M250" s="19" t="s">
        <v>174</v>
      </c>
      <c r="N250" s="19" t="s">
        <v>182</v>
      </c>
      <c r="O250" s="19" t="s">
        <v>256</v>
      </c>
      <c r="P250" s="23">
        <v>7</v>
      </c>
      <c r="Q250" s="39">
        <f t="shared" si="11"/>
        <v>7</v>
      </c>
    </row>
    <row r="251" spans="1:17">
      <c r="A251" s="20">
        <v>752919460054</v>
      </c>
      <c r="B251" s="44">
        <v>20247</v>
      </c>
      <c r="C251" s="19" t="s">
        <v>427</v>
      </c>
      <c r="D251" s="19" t="s">
        <v>81</v>
      </c>
      <c r="E251" s="54">
        <v>20</v>
      </c>
      <c r="F251" s="54">
        <v>0</v>
      </c>
      <c r="G251" s="54"/>
      <c r="H251" s="54"/>
      <c r="I251" s="57"/>
      <c r="J251" s="44"/>
      <c r="K251" s="19" t="s">
        <v>184</v>
      </c>
      <c r="L251" s="44">
        <v>2</v>
      </c>
      <c r="M251" s="19" t="s">
        <v>174</v>
      </c>
      <c r="N251" s="19" t="s">
        <v>251</v>
      </c>
      <c r="O251" s="19" t="s">
        <v>428</v>
      </c>
      <c r="P251" s="23">
        <v>17</v>
      </c>
      <c r="Q251" s="19">
        <f t="shared" si="11"/>
        <v>-3</v>
      </c>
    </row>
    <row r="252" spans="1:17" s="19" customFormat="1">
      <c r="A252" s="20">
        <v>40198001144</v>
      </c>
      <c r="B252" s="44">
        <v>20277</v>
      </c>
      <c r="C252" s="19" t="s">
        <v>429</v>
      </c>
      <c r="D252" s="19" t="s">
        <v>81</v>
      </c>
      <c r="E252" s="54">
        <v>30</v>
      </c>
      <c r="F252" s="54">
        <v>0</v>
      </c>
      <c r="G252" s="54"/>
      <c r="H252" s="54"/>
      <c r="I252" s="57"/>
      <c r="J252" s="44"/>
      <c r="K252" s="19" t="s">
        <v>61</v>
      </c>
      <c r="L252" s="44">
        <v>8</v>
      </c>
      <c r="M252" s="19" t="s">
        <v>174</v>
      </c>
      <c r="N252" s="19" t="s">
        <v>136</v>
      </c>
      <c r="P252" s="23">
        <v>8</v>
      </c>
      <c r="Q252" s="19">
        <f t="shared" si="11"/>
        <v>-22</v>
      </c>
    </row>
    <row r="253" spans="1:17">
      <c r="A253" s="20">
        <v>13388260096</v>
      </c>
      <c r="B253" s="44">
        <v>20393</v>
      </c>
      <c r="C253" s="19" t="s">
        <v>260</v>
      </c>
      <c r="D253" s="19" t="s">
        <v>105</v>
      </c>
      <c r="E253" s="54">
        <v>10</v>
      </c>
      <c r="F253" s="54">
        <v>0</v>
      </c>
      <c r="G253" s="54"/>
      <c r="H253" s="54"/>
      <c r="I253" s="57"/>
      <c r="J253" s="44"/>
      <c r="K253" s="19" t="s">
        <v>165</v>
      </c>
      <c r="L253" s="44"/>
      <c r="M253" s="19" t="s">
        <v>174</v>
      </c>
      <c r="N253" s="19" t="s">
        <v>255</v>
      </c>
      <c r="O253" s="19"/>
      <c r="P253" s="23">
        <v>4</v>
      </c>
      <c r="Q253" s="19">
        <f t="shared" si="11"/>
        <v>-6</v>
      </c>
    </row>
    <row r="254" spans="1:17" s="19" customFormat="1">
      <c r="A254" s="20">
        <v>788687500128</v>
      </c>
      <c r="B254" s="44">
        <v>20414</v>
      </c>
      <c r="C254" s="19" t="s">
        <v>430</v>
      </c>
      <c r="D254" s="19" t="s">
        <v>105</v>
      </c>
      <c r="E254" s="54">
        <v>30</v>
      </c>
      <c r="F254" s="54">
        <v>0</v>
      </c>
      <c r="G254" s="54"/>
      <c r="H254" s="54"/>
      <c r="I254" s="57"/>
      <c r="J254" s="44"/>
      <c r="K254" s="19" t="s">
        <v>174</v>
      </c>
      <c r="L254" s="44"/>
      <c r="M254" s="19" t="s">
        <v>431</v>
      </c>
      <c r="N254" s="19" t="s">
        <v>208</v>
      </c>
      <c r="P254" s="23">
        <v>27</v>
      </c>
      <c r="Q254" s="19">
        <f t="shared" si="11"/>
        <v>-3</v>
      </c>
    </row>
    <row r="255" spans="1:17" s="19" customFormat="1">
      <c r="A255" s="20">
        <v>21481233145</v>
      </c>
      <c r="B255" s="44">
        <v>20497</v>
      </c>
      <c r="C255" s="19" t="s">
        <v>432</v>
      </c>
      <c r="D255" s="19" t="s">
        <v>81</v>
      </c>
      <c r="E255" s="54">
        <v>20</v>
      </c>
      <c r="F255" s="54">
        <v>0</v>
      </c>
      <c r="G255" s="54"/>
      <c r="H255" s="54"/>
      <c r="I255" s="57"/>
      <c r="J255" s="44"/>
      <c r="K255" s="19" t="s">
        <v>61</v>
      </c>
      <c r="L255" s="44">
        <v>7</v>
      </c>
      <c r="M255" s="19" t="s">
        <v>174</v>
      </c>
      <c r="N255" s="19" t="s">
        <v>222</v>
      </c>
      <c r="P255" s="23">
        <v>10</v>
      </c>
      <c r="Q255" s="19">
        <f t="shared" si="11"/>
        <v>-10</v>
      </c>
    </row>
    <row r="256" spans="1:17" s="19" customFormat="1">
      <c r="A256" s="20">
        <v>40198001205</v>
      </c>
      <c r="B256" s="44">
        <v>20521</v>
      </c>
      <c r="C256" s="19" t="s">
        <v>433</v>
      </c>
      <c r="D256" s="19" t="s">
        <v>81</v>
      </c>
      <c r="E256" s="54">
        <v>30</v>
      </c>
      <c r="F256" s="54">
        <v>0</v>
      </c>
      <c r="G256" s="54"/>
      <c r="H256" s="54"/>
      <c r="I256" s="57"/>
      <c r="J256" s="44"/>
      <c r="K256" s="19" t="s">
        <v>181</v>
      </c>
      <c r="L256" s="44"/>
      <c r="M256" s="19" t="s">
        <v>174</v>
      </c>
      <c r="N256" s="19" t="s">
        <v>136</v>
      </c>
      <c r="P256" s="23">
        <v>8</v>
      </c>
      <c r="Q256" s="19">
        <f t="shared" si="11"/>
        <v>-22</v>
      </c>
    </row>
    <row r="257" spans="1:17" s="19" customFormat="1">
      <c r="A257" s="20">
        <v>710425271458</v>
      </c>
      <c r="B257" s="44">
        <v>20552</v>
      </c>
      <c r="C257" s="19" t="s">
        <v>434</v>
      </c>
      <c r="D257" s="19" t="s">
        <v>81</v>
      </c>
      <c r="E257" s="54">
        <v>30</v>
      </c>
      <c r="F257" s="54">
        <v>0</v>
      </c>
      <c r="G257" s="54"/>
      <c r="H257" s="54"/>
      <c r="I257" s="57"/>
      <c r="J257" s="44"/>
      <c r="K257" s="19" t="s">
        <v>181</v>
      </c>
      <c r="L257" s="44"/>
      <c r="M257" s="19" t="s">
        <v>174</v>
      </c>
      <c r="N257" s="19" t="s">
        <v>218</v>
      </c>
      <c r="P257" s="23">
        <v>6</v>
      </c>
      <c r="Q257" s="19">
        <f t="shared" si="11"/>
        <v>-24</v>
      </c>
    </row>
    <row r="258" spans="1:17" s="19" customFormat="1">
      <c r="A258" s="20">
        <v>93992090302</v>
      </c>
      <c r="B258" s="44">
        <v>20561</v>
      </c>
      <c r="C258" s="19" t="s">
        <v>435</v>
      </c>
      <c r="D258" s="19" t="s">
        <v>81</v>
      </c>
      <c r="E258" s="54">
        <v>20</v>
      </c>
      <c r="F258" s="54">
        <v>0</v>
      </c>
      <c r="G258" s="54"/>
      <c r="H258" s="54"/>
      <c r="I258" s="57"/>
      <c r="J258" s="44"/>
      <c r="K258" s="19" t="s">
        <v>181</v>
      </c>
      <c r="L258" s="44"/>
      <c r="M258" s="19" t="s">
        <v>174</v>
      </c>
      <c r="N258" s="19" t="s">
        <v>361</v>
      </c>
      <c r="P258" s="23">
        <v>15</v>
      </c>
      <c r="Q258" s="19">
        <f t="shared" si="11"/>
        <v>-5</v>
      </c>
    </row>
    <row r="259" spans="1:17" s="19" customFormat="1">
      <c r="A259" s="20">
        <v>722674100120</v>
      </c>
      <c r="B259" s="44">
        <v>20582</v>
      </c>
      <c r="C259" s="19" t="s">
        <v>436</v>
      </c>
      <c r="D259" s="19" t="s">
        <v>81</v>
      </c>
      <c r="E259" s="54">
        <v>20</v>
      </c>
      <c r="F259" s="54">
        <v>0</v>
      </c>
      <c r="G259" s="54"/>
      <c r="H259" s="54"/>
      <c r="I259" s="57"/>
      <c r="J259" s="44"/>
      <c r="K259" s="19" t="s">
        <v>184</v>
      </c>
      <c r="L259" s="44"/>
      <c r="M259" s="19" t="s">
        <v>174</v>
      </c>
      <c r="N259" s="19" t="s">
        <v>211</v>
      </c>
      <c r="P259" s="23">
        <v>6</v>
      </c>
      <c r="Q259" s="19">
        <f t="shared" si="11"/>
        <v>-14</v>
      </c>
    </row>
    <row r="260" spans="1:17" s="19" customFormat="1">
      <c r="A260" s="20">
        <v>47875804937</v>
      </c>
      <c r="B260" s="44">
        <v>20588</v>
      </c>
      <c r="C260" s="19" t="s">
        <v>437</v>
      </c>
      <c r="D260" s="19" t="s">
        <v>81</v>
      </c>
      <c r="E260" s="54">
        <v>10</v>
      </c>
      <c r="F260" s="54">
        <v>0</v>
      </c>
      <c r="G260" s="54"/>
      <c r="H260" s="54"/>
      <c r="I260" s="57"/>
      <c r="J260" s="44"/>
      <c r="K260" s="19" t="s">
        <v>184</v>
      </c>
      <c r="L260" s="44">
        <v>4</v>
      </c>
      <c r="M260" s="19" t="s">
        <v>174</v>
      </c>
      <c r="N260" s="19" t="s">
        <v>227</v>
      </c>
      <c r="P260" s="23">
        <v>6.75</v>
      </c>
      <c r="Q260" s="19">
        <f t="shared" si="11"/>
        <v>-3.25</v>
      </c>
    </row>
    <row r="261" spans="1:17" s="19" customFormat="1">
      <c r="A261" s="20">
        <v>40198001229</v>
      </c>
      <c r="B261" s="44">
        <v>20617</v>
      </c>
      <c r="C261" s="19" t="s">
        <v>438</v>
      </c>
      <c r="D261" s="19" t="s">
        <v>81</v>
      </c>
      <c r="E261" s="54">
        <v>30</v>
      </c>
      <c r="F261" s="54">
        <v>0</v>
      </c>
      <c r="G261" s="54"/>
      <c r="H261" s="54"/>
      <c r="I261" s="57"/>
      <c r="J261" s="44"/>
      <c r="K261" s="19" t="s">
        <v>61</v>
      </c>
      <c r="L261" s="44">
        <v>7</v>
      </c>
      <c r="M261" s="19" t="s">
        <v>174</v>
      </c>
      <c r="N261" s="19" t="s">
        <v>136</v>
      </c>
      <c r="P261" s="23">
        <v>18</v>
      </c>
      <c r="Q261" s="19">
        <f t="shared" si="11"/>
        <v>-12</v>
      </c>
    </row>
    <row r="262" spans="1:17" s="19" customFormat="1">
      <c r="A262" s="20">
        <v>74478801126</v>
      </c>
      <c r="B262" s="44">
        <v>20619</v>
      </c>
      <c r="C262" s="19" t="s">
        <v>439</v>
      </c>
      <c r="D262" s="19" t="s">
        <v>81</v>
      </c>
      <c r="E262" s="54">
        <v>20</v>
      </c>
      <c r="F262" s="54">
        <v>0</v>
      </c>
      <c r="G262" s="54"/>
      <c r="H262" s="54"/>
      <c r="I262" s="57"/>
      <c r="J262" s="44"/>
      <c r="K262" s="19" t="s">
        <v>181</v>
      </c>
      <c r="L262" s="44"/>
      <c r="M262" s="19" t="s">
        <v>174</v>
      </c>
      <c r="N262" s="19" t="s">
        <v>440</v>
      </c>
      <c r="P262" s="23">
        <v>2</v>
      </c>
      <c r="Q262" s="19">
        <f t="shared" si="11"/>
        <v>-18</v>
      </c>
    </row>
    <row r="263" spans="1:17" s="19" customFormat="1">
      <c r="A263" s="20">
        <v>40198001212</v>
      </c>
      <c r="B263" s="44">
        <v>20653</v>
      </c>
      <c r="C263" s="19" t="s">
        <v>441</v>
      </c>
      <c r="D263" s="19" t="s">
        <v>81</v>
      </c>
      <c r="E263" s="54">
        <v>35</v>
      </c>
      <c r="F263" s="54">
        <v>0</v>
      </c>
      <c r="G263" s="54"/>
      <c r="H263" s="54"/>
      <c r="I263" s="57"/>
      <c r="J263" s="44"/>
      <c r="K263" s="19" t="s">
        <v>61</v>
      </c>
      <c r="L263" s="44">
        <v>7</v>
      </c>
      <c r="M263" s="19" t="s">
        <v>174</v>
      </c>
      <c r="N263" s="19" t="s">
        <v>136</v>
      </c>
      <c r="P263" s="23">
        <v>10</v>
      </c>
      <c r="Q263" s="19">
        <f t="shared" si="11"/>
        <v>-25</v>
      </c>
    </row>
    <row r="264" spans="1:17" s="19" customFormat="1">
      <c r="A264" s="20">
        <v>18946010311</v>
      </c>
      <c r="B264" s="44">
        <v>20662</v>
      </c>
      <c r="C264" s="19" t="s">
        <v>442</v>
      </c>
      <c r="D264" s="19" t="s">
        <v>81</v>
      </c>
      <c r="E264" s="54">
        <v>20</v>
      </c>
      <c r="F264" s="54">
        <v>0</v>
      </c>
      <c r="G264" s="54"/>
      <c r="H264" s="54"/>
      <c r="I264" s="57"/>
      <c r="J264" s="44"/>
      <c r="K264" s="19" t="s">
        <v>181</v>
      </c>
      <c r="L264" s="44"/>
      <c r="M264" s="19" t="s">
        <v>174</v>
      </c>
      <c r="N264" s="19" t="s">
        <v>303</v>
      </c>
      <c r="P264" s="23">
        <v>14</v>
      </c>
      <c r="Q264" s="19">
        <f t="shared" si="11"/>
        <v>-6</v>
      </c>
    </row>
    <row r="265" spans="1:17" s="19" customFormat="1">
      <c r="A265" s="20">
        <v>66224890303</v>
      </c>
      <c r="B265" s="44">
        <v>20678</v>
      </c>
      <c r="C265" s="19" t="s">
        <v>443</v>
      </c>
      <c r="D265" s="19" t="s">
        <v>81</v>
      </c>
      <c r="E265" s="54">
        <v>30</v>
      </c>
      <c r="F265" s="54">
        <v>0</v>
      </c>
      <c r="G265" s="54"/>
      <c r="H265" s="54"/>
      <c r="I265" s="57"/>
      <c r="J265" s="44"/>
      <c r="K265" s="19" t="s">
        <v>181</v>
      </c>
      <c r="L265" s="44"/>
      <c r="M265" s="19" t="s">
        <v>174</v>
      </c>
      <c r="N265" s="19" t="s">
        <v>213</v>
      </c>
      <c r="P265" s="23">
        <v>4</v>
      </c>
      <c r="Q265" s="19">
        <f t="shared" si="11"/>
        <v>-26</v>
      </c>
    </row>
    <row r="266" spans="1:17" s="19" customFormat="1">
      <c r="A266" s="20">
        <v>13388260249</v>
      </c>
      <c r="B266" s="44">
        <v>20694</v>
      </c>
      <c r="C266" s="19" t="s">
        <v>444</v>
      </c>
      <c r="D266" s="19" t="s">
        <v>81</v>
      </c>
      <c r="E266" s="54">
        <v>25</v>
      </c>
      <c r="F266" s="54">
        <v>0</v>
      </c>
      <c r="G266" s="54"/>
      <c r="H266" s="54"/>
      <c r="I266" s="57"/>
      <c r="J266" s="44"/>
      <c r="K266" s="19" t="s">
        <v>61</v>
      </c>
      <c r="L266" s="44"/>
      <c r="M266" s="19" t="s">
        <v>174</v>
      </c>
      <c r="N266" s="19" t="s">
        <v>255</v>
      </c>
      <c r="P266" s="23">
        <v>4</v>
      </c>
      <c r="Q266" s="19">
        <f t="shared" si="11"/>
        <v>-21</v>
      </c>
    </row>
    <row r="267" spans="1:17" s="19" customFormat="1">
      <c r="A267" s="20">
        <v>47875806399</v>
      </c>
      <c r="B267" s="44">
        <v>20731</v>
      </c>
      <c r="C267" s="19" t="s">
        <v>445</v>
      </c>
      <c r="D267" s="19" t="s">
        <v>81</v>
      </c>
      <c r="E267" s="54">
        <v>25</v>
      </c>
      <c r="F267" s="54">
        <v>0</v>
      </c>
      <c r="G267" s="54"/>
      <c r="H267" s="54"/>
      <c r="I267" s="57"/>
      <c r="J267" s="44"/>
      <c r="K267" s="19" t="s">
        <v>61</v>
      </c>
      <c r="L267" s="44">
        <v>8</v>
      </c>
      <c r="M267" s="19" t="s">
        <v>174</v>
      </c>
      <c r="N267" s="19" t="s">
        <v>227</v>
      </c>
      <c r="P267" s="23">
        <v>3.7</v>
      </c>
      <c r="Q267" s="19">
        <f t="shared" si="11"/>
        <v>-21.3</v>
      </c>
    </row>
    <row r="268" spans="1:17" s="19" customFormat="1">
      <c r="A268" s="20">
        <v>9033189</v>
      </c>
      <c r="B268" s="44">
        <v>20732</v>
      </c>
      <c r="C268" s="19" t="s">
        <v>446</v>
      </c>
      <c r="D268" s="19" t="s">
        <v>81</v>
      </c>
      <c r="E268" s="54">
        <v>30</v>
      </c>
      <c r="F268" s="54">
        <v>0</v>
      </c>
      <c r="G268" s="54"/>
      <c r="H268" s="54"/>
      <c r="I268" s="57"/>
      <c r="J268" s="44"/>
      <c r="K268" s="19" t="s">
        <v>181</v>
      </c>
      <c r="L268" s="44"/>
      <c r="M268" s="19" t="s">
        <v>174</v>
      </c>
      <c r="N268" s="19" t="s">
        <v>213</v>
      </c>
      <c r="P268" s="23">
        <v>7.6</v>
      </c>
      <c r="Q268" s="19">
        <f t="shared" si="11"/>
        <v>-22.4</v>
      </c>
    </row>
    <row r="269" spans="1:17" s="19" customFormat="1">
      <c r="A269" s="20">
        <v>8888321590</v>
      </c>
      <c r="B269" s="44">
        <v>20743</v>
      </c>
      <c r="C269" s="19" t="s">
        <v>447</v>
      </c>
      <c r="D269" s="19" t="s">
        <v>81</v>
      </c>
      <c r="E269" s="54">
        <v>20</v>
      </c>
      <c r="F269" s="54">
        <v>0</v>
      </c>
      <c r="G269" s="54"/>
      <c r="H269" s="54"/>
      <c r="I269" s="57"/>
      <c r="J269" s="44"/>
      <c r="K269" s="19" t="s">
        <v>181</v>
      </c>
      <c r="L269" s="44"/>
      <c r="M269" s="19" t="s">
        <v>174</v>
      </c>
      <c r="N269" s="19" t="s">
        <v>191</v>
      </c>
      <c r="P269" s="23">
        <v>9</v>
      </c>
      <c r="Q269" s="19">
        <f t="shared" si="11"/>
        <v>-11</v>
      </c>
    </row>
    <row r="270" spans="1:17" s="19" customFormat="1">
      <c r="A270" s="20">
        <v>14633146448</v>
      </c>
      <c r="B270" s="44">
        <v>20756</v>
      </c>
      <c r="C270" s="19" t="s">
        <v>448</v>
      </c>
      <c r="D270" s="19" t="s">
        <v>81</v>
      </c>
      <c r="E270" s="54">
        <v>20</v>
      </c>
      <c r="F270" s="54">
        <v>0</v>
      </c>
      <c r="G270" s="54"/>
      <c r="H270" s="54"/>
      <c r="I270" s="57"/>
      <c r="J270" s="44"/>
      <c r="K270" s="19" t="s">
        <v>184</v>
      </c>
      <c r="L270" s="44">
        <v>6</v>
      </c>
      <c r="M270" s="19" t="s">
        <v>174</v>
      </c>
      <c r="N270" s="19" t="s">
        <v>122</v>
      </c>
      <c r="P270" s="23">
        <v>1</v>
      </c>
      <c r="Q270" s="19">
        <f t="shared" si="11"/>
        <v>-19</v>
      </c>
    </row>
    <row r="271" spans="1:17" s="19" customFormat="1">
      <c r="A271" s="20">
        <v>788687500166</v>
      </c>
      <c r="B271" s="44">
        <v>20773</v>
      </c>
      <c r="C271" s="19" t="s">
        <v>449</v>
      </c>
      <c r="D271" s="19" t="s">
        <v>81</v>
      </c>
      <c r="E271" s="54">
        <v>20</v>
      </c>
      <c r="F271" s="54">
        <v>0</v>
      </c>
      <c r="G271" s="54"/>
      <c r="H271" s="54"/>
      <c r="I271" s="57"/>
      <c r="J271" s="44"/>
      <c r="K271" s="19" t="s">
        <v>166</v>
      </c>
      <c r="L271" s="44"/>
      <c r="M271" s="19" t="s">
        <v>174</v>
      </c>
      <c r="N271" s="19" t="s">
        <v>208</v>
      </c>
      <c r="P271" s="23">
        <v>12</v>
      </c>
      <c r="Q271" s="19">
        <f t="shared" si="11"/>
        <v>-8</v>
      </c>
    </row>
    <row r="272" spans="1:17" s="19" customFormat="1">
      <c r="A272" s="20">
        <v>710425222894</v>
      </c>
      <c r="B272" s="44">
        <v>20788</v>
      </c>
      <c r="C272" s="19" t="s">
        <v>450</v>
      </c>
      <c r="D272" s="19" t="s">
        <v>81</v>
      </c>
      <c r="E272" s="54">
        <v>20</v>
      </c>
      <c r="F272" s="54">
        <v>0</v>
      </c>
      <c r="G272" s="54"/>
      <c r="H272" s="54"/>
      <c r="I272" s="57"/>
      <c r="J272" s="44"/>
      <c r="K272" s="19" t="s">
        <v>184</v>
      </c>
      <c r="L272" s="44"/>
      <c r="M272" s="19" t="s">
        <v>174</v>
      </c>
      <c r="N272" s="19" t="s">
        <v>451</v>
      </c>
      <c r="P272" s="23">
        <v>1.5</v>
      </c>
      <c r="Q272" s="19">
        <f t="shared" si="11"/>
        <v>-18.5</v>
      </c>
    </row>
    <row r="273" spans="1:17" s="19" customFormat="1">
      <c r="A273" s="20">
        <v>83717200642</v>
      </c>
      <c r="B273" s="44">
        <v>20795</v>
      </c>
      <c r="C273" s="19" t="s">
        <v>452</v>
      </c>
      <c r="D273" s="19" t="s">
        <v>81</v>
      </c>
      <c r="E273" s="54">
        <v>20</v>
      </c>
      <c r="F273" s="54">
        <v>0</v>
      </c>
      <c r="G273" s="54"/>
      <c r="H273" s="54"/>
      <c r="I273" s="57"/>
      <c r="J273" s="44"/>
      <c r="K273" s="19" t="s">
        <v>184</v>
      </c>
      <c r="L273" s="44">
        <v>7</v>
      </c>
      <c r="M273" s="19" t="s">
        <v>174</v>
      </c>
      <c r="N273" s="19" t="s">
        <v>453</v>
      </c>
      <c r="P273" s="23">
        <v>28</v>
      </c>
      <c r="Q273" s="39">
        <f t="shared" si="11"/>
        <v>8</v>
      </c>
    </row>
    <row r="274" spans="1:17" s="19" customFormat="1">
      <c r="A274" s="20">
        <v>14633148152</v>
      </c>
      <c r="B274" s="44">
        <v>20878</v>
      </c>
      <c r="C274" s="19" t="s">
        <v>454</v>
      </c>
      <c r="D274" s="19" t="s">
        <v>81</v>
      </c>
      <c r="E274" s="54">
        <v>30</v>
      </c>
      <c r="F274" s="54">
        <v>0</v>
      </c>
      <c r="G274" s="54"/>
      <c r="H274" s="54"/>
      <c r="I274" s="57"/>
      <c r="J274" s="44"/>
      <c r="K274" s="19" t="s">
        <v>181</v>
      </c>
      <c r="L274" s="44">
        <v>7</v>
      </c>
      <c r="M274" s="19" t="s">
        <v>174</v>
      </c>
      <c r="N274" s="19" t="s">
        <v>136</v>
      </c>
      <c r="P274" s="23">
        <v>16</v>
      </c>
      <c r="Q274" s="19">
        <f t="shared" si="11"/>
        <v>-14</v>
      </c>
    </row>
    <row r="275" spans="1:17" s="19" customFormat="1">
      <c r="A275" s="20">
        <v>10086630619</v>
      </c>
      <c r="B275" s="44">
        <v>20917</v>
      </c>
      <c r="C275" s="19" t="s">
        <v>455</v>
      </c>
      <c r="D275" s="19" t="s">
        <v>81</v>
      </c>
      <c r="E275" s="54">
        <v>20</v>
      </c>
      <c r="F275" s="54">
        <v>0</v>
      </c>
      <c r="G275" s="54"/>
      <c r="H275" s="54"/>
      <c r="I275" s="57"/>
      <c r="J275" s="44"/>
      <c r="K275" s="19" t="s">
        <v>184</v>
      </c>
      <c r="L275" s="44">
        <v>5</v>
      </c>
      <c r="M275" s="19" t="s">
        <v>174</v>
      </c>
      <c r="N275" s="19" t="s">
        <v>258</v>
      </c>
      <c r="P275" s="23">
        <v>10</v>
      </c>
      <c r="Q275" s="19">
        <f t="shared" si="11"/>
        <v>-10</v>
      </c>
    </row>
    <row r="276" spans="1:17" s="19" customFormat="1">
      <c r="A276" s="20">
        <v>13388260355</v>
      </c>
      <c r="B276" s="44">
        <v>20951</v>
      </c>
      <c r="C276" s="19" t="s">
        <v>456</v>
      </c>
      <c r="D276" s="19" t="s">
        <v>105</v>
      </c>
      <c r="E276" s="54">
        <v>20</v>
      </c>
      <c r="F276" s="54">
        <v>0</v>
      </c>
      <c r="G276" s="54"/>
      <c r="H276" s="54"/>
      <c r="I276" s="57"/>
      <c r="J276" s="44"/>
      <c r="K276" s="19" t="s">
        <v>181</v>
      </c>
      <c r="L276" s="44"/>
      <c r="M276" s="19" t="s">
        <v>174</v>
      </c>
      <c r="N276" s="19" t="s">
        <v>255</v>
      </c>
      <c r="P276" s="23">
        <v>9.5</v>
      </c>
      <c r="Q276" s="19">
        <f t="shared" si="11"/>
        <v>-10.5</v>
      </c>
    </row>
    <row r="277" spans="1:17" s="19" customFormat="1">
      <c r="A277" s="20">
        <v>710425277252</v>
      </c>
      <c r="B277" s="44">
        <v>20976</v>
      </c>
      <c r="C277" s="19" t="s">
        <v>457</v>
      </c>
      <c r="D277" s="19" t="s">
        <v>105</v>
      </c>
      <c r="E277" s="54">
        <v>20</v>
      </c>
      <c r="F277" s="54">
        <v>0</v>
      </c>
      <c r="G277" s="54"/>
      <c r="H277" s="54"/>
      <c r="I277" s="57"/>
      <c r="J277" s="44"/>
      <c r="K277" s="19" t="s">
        <v>181</v>
      </c>
      <c r="L277" s="44"/>
      <c r="M277" s="19" t="s">
        <v>174</v>
      </c>
      <c r="N277" s="19" t="s">
        <v>189</v>
      </c>
      <c r="P277" s="23">
        <v>5</v>
      </c>
      <c r="Q277" s="19">
        <f t="shared" si="11"/>
        <v>-15</v>
      </c>
    </row>
    <row r="278" spans="1:17" s="19" customFormat="1">
      <c r="A278" s="20">
        <v>72267410024</v>
      </c>
      <c r="B278" s="44">
        <v>21008</v>
      </c>
      <c r="C278" s="19" t="s">
        <v>458</v>
      </c>
      <c r="D278" s="19" t="s">
        <v>81</v>
      </c>
      <c r="E278" s="54">
        <v>25</v>
      </c>
      <c r="F278" s="54">
        <v>0</v>
      </c>
      <c r="G278" s="54"/>
      <c r="H278" s="54"/>
      <c r="I278" s="57"/>
      <c r="J278" s="44"/>
      <c r="K278" s="19" t="s">
        <v>61</v>
      </c>
      <c r="L278" s="44">
        <v>7</v>
      </c>
      <c r="M278" s="19" t="s">
        <v>174</v>
      </c>
      <c r="N278" s="19" t="s">
        <v>211</v>
      </c>
      <c r="P278" s="23">
        <v>13.5</v>
      </c>
      <c r="Q278" s="19">
        <f t="shared" si="11"/>
        <v>-11.5</v>
      </c>
    </row>
    <row r="279" spans="1:17" s="19" customFormat="1">
      <c r="A279" s="20">
        <v>8888321989</v>
      </c>
      <c r="B279" s="44">
        <v>21022</v>
      </c>
      <c r="C279" s="19" t="s">
        <v>459</v>
      </c>
      <c r="D279" s="19" t="s">
        <v>105</v>
      </c>
      <c r="E279" s="54">
        <v>20</v>
      </c>
      <c r="F279" s="54">
        <v>0</v>
      </c>
      <c r="G279" s="54"/>
      <c r="H279" s="54"/>
      <c r="I279" s="57"/>
      <c r="J279" s="44"/>
      <c r="K279" s="19" t="s">
        <v>181</v>
      </c>
      <c r="L279" s="44"/>
      <c r="M279" s="19" t="s">
        <v>174</v>
      </c>
      <c r="N279" s="19" t="s">
        <v>191</v>
      </c>
      <c r="P279" s="23">
        <v>23</v>
      </c>
      <c r="Q279" s="39">
        <f t="shared" si="11"/>
        <v>3</v>
      </c>
    </row>
    <row r="280" spans="1:17" s="19" customFormat="1">
      <c r="A280" s="20">
        <v>710425274466</v>
      </c>
      <c r="B280" s="44">
        <v>21030</v>
      </c>
      <c r="C280" s="19" t="s">
        <v>460</v>
      </c>
      <c r="D280" s="19" t="s">
        <v>81</v>
      </c>
      <c r="E280" s="54">
        <v>25</v>
      </c>
      <c r="F280" s="54">
        <v>0</v>
      </c>
      <c r="G280" s="54"/>
      <c r="H280" s="54"/>
      <c r="I280" s="57"/>
      <c r="J280" s="44"/>
      <c r="K280" s="19" t="s">
        <v>181</v>
      </c>
      <c r="L280" s="44"/>
      <c r="M280" s="19" t="s">
        <v>174</v>
      </c>
      <c r="N280" s="19" t="s">
        <v>440</v>
      </c>
      <c r="P280" s="23">
        <v>4</v>
      </c>
      <c r="Q280" s="19">
        <f t="shared" si="11"/>
        <v>-21</v>
      </c>
    </row>
    <row r="281" spans="1:17" s="19" customFormat="1">
      <c r="A281" s="20">
        <v>71042527437</v>
      </c>
      <c r="B281" s="44">
        <v>21049</v>
      </c>
      <c r="C281" s="19" t="s">
        <v>461</v>
      </c>
      <c r="D281" s="19" t="s">
        <v>81</v>
      </c>
      <c r="E281" s="54">
        <v>25</v>
      </c>
      <c r="F281" s="54">
        <v>0</v>
      </c>
      <c r="G281" s="54"/>
      <c r="H281" s="54"/>
      <c r="I281" s="57"/>
      <c r="J281" s="44"/>
      <c r="K281" s="19" t="s">
        <v>181</v>
      </c>
      <c r="L281" s="44"/>
      <c r="M281" s="19" t="s">
        <v>174</v>
      </c>
      <c r="N281" s="19" t="s">
        <v>440</v>
      </c>
      <c r="P281" s="23">
        <v>4</v>
      </c>
      <c r="Q281" s="19">
        <f t="shared" si="11"/>
        <v>-21</v>
      </c>
    </row>
    <row r="282" spans="1:17" s="19" customFormat="1">
      <c r="A282" s="20">
        <v>14633353440</v>
      </c>
      <c r="B282" s="44">
        <v>21057</v>
      </c>
      <c r="C282" s="19" t="s">
        <v>462</v>
      </c>
      <c r="D282" s="19" t="s">
        <v>105</v>
      </c>
      <c r="E282" s="54">
        <v>20</v>
      </c>
      <c r="F282" s="54">
        <v>0</v>
      </c>
      <c r="G282" s="54"/>
      <c r="H282" s="54"/>
      <c r="I282" s="57"/>
      <c r="J282" s="44"/>
      <c r="K282" s="19" t="s">
        <v>181</v>
      </c>
      <c r="L282" s="44"/>
      <c r="M282" s="19" t="s">
        <v>174</v>
      </c>
      <c r="N282" s="19" t="s">
        <v>122</v>
      </c>
      <c r="P282" s="23">
        <v>32</v>
      </c>
      <c r="Q282" s="39">
        <f t="shared" si="11"/>
        <v>12</v>
      </c>
    </row>
    <row r="283" spans="1:17" s="19" customFormat="1">
      <c r="A283" s="20">
        <v>722674100229</v>
      </c>
      <c r="B283" s="44">
        <v>21059</v>
      </c>
      <c r="C283" s="19" t="s">
        <v>463</v>
      </c>
      <c r="D283" s="19" t="s">
        <v>81</v>
      </c>
      <c r="E283" s="54">
        <v>30</v>
      </c>
      <c r="F283" s="54">
        <v>0</v>
      </c>
      <c r="G283" s="54"/>
      <c r="H283" s="54"/>
      <c r="I283" s="57"/>
      <c r="J283" s="44"/>
      <c r="K283" s="19" t="s">
        <v>61</v>
      </c>
      <c r="L283" s="44">
        <v>7</v>
      </c>
      <c r="M283" s="19" t="s">
        <v>174</v>
      </c>
      <c r="N283" s="19" t="s">
        <v>211</v>
      </c>
      <c r="P283" s="23">
        <v>24</v>
      </c>
      <c r="Q283" s="19">
        <f t="shared" si="11"/>
        <v>-6</v>
      </c>
    </row>
    <row r="284" spans="1:17" s="19" customFormat="1">
      <c r="A284" s="20">
        <v>677990105208</v>
      </c>
      <c r="B284" s="44">
        <v>21099</v>
      </c>
      <c r="C284" s="19" t="s">
        <v>464</v>
      </c>
      <c r="D284" s="19" t="s">
        <v>105</v>
      </c>
      <c r="E284" s="54">
        <v>5</v>
      </c>
      <c r="F284" s="54">
        <v>0</v>
      </c>
      <c r="G284" s="54"/>
      <c r="H284" s="54"/>
      <c r="I284" s="57"/>
      <c r="J284" s="44"/>
      <c r="K284" s="19" t="s">
        <v>181</v>
      </c>
      <c r="L284" s="44"/>
      <c r="M284" s="19" t="s">
        <v>174</v>
      </c>
      <c r="N284" s="19" t="s">
        <v>187</v>
      </c>
      <c r="P284" s="23">
        <v>9</v>
      </c>
      <c r="Q284" s="39">
        <f t="shared" si="11"/>
        <v>4</v>
      </c>
    </row>
    <row r="285" spans="1:17" s="19" customFormat="1">
      <c r="A285" s="20">
        <v>13388260560</v>
      </c>
      <c r="B285" s="44">
        <v>21134</v>
      </c>
      <c r="C285" s="19" t="s">
        <v>465</v>
      </c>
      <c r="D285" s="19" t="s">
        <v>81</v>
      </c>
      <c r="E285" s="54">
        <v>30</v>
      </c>
      <c r="F285" s="54">
        <v>0</v>
      </c>
      <c r="G285" s="54"/>
      <c r="H285" s="54"/>
      <c r="I285" s="57"/>
      <c r="J285" s="44"/>
      <c r="K285" s="19" t="s">
        <v>181</v>
      </c>
      <c r="L285" s="44"/>
      <c r="M285" s="19" t="s">
        <v>174</v>
      </c>
      <c r="N285" s="19" t="s">
        <v>255</v>
      </c>
      <c r="P285" s="23">
        <v>11</v>
      </c>
      <c r="Q285" s="39">
        <f t="shared" si="11"/>
        <v>-19</v>
      </c>
    </row>
    <row r="286" spans="1:17" s="19" customFormat="1">
      <c r="A286" s="20">
        <v>14633353808</v>
      </c>
      <c r="B286" s="44">
        <v>21148</v>
      </c>
      <c r="C286" s="19" t="s">
        <v>466</v>
      </c>
      <c r="D286" s="19" t="s">
        <v>105</v>
      </c>
      <c r="E286" s="54">
        <v>20</v>
      </c>
      <c r="F286" s="54">
        <v>0</v>
      </c>
      <c r="G286" s="54"/>
      <c r="H286" s="54"/>
      <c r="I286" s="57"/>
      <c r="J286" s="44"/>
      <c r="K286" s="19" t="s">
        <v>181</v>
      </c>
      <c r="L286" s="44"/>
      <c r="M286" s="19" t="s">
        <v>174</v>
      </c>
      <c r="N286" s="19" t="s">
        <v>122</v>
      </c>
      <c r="P286" s="23">
        <v>30</v>
      </c>
      <c r="Q286" s="19">
        <f t="shared" si="11"/>
        <v>10</v>
      </c>
    </row>
    <row r="287" spans="1:17" s="19" customFormat="1">
      <c r="A287" s="20">
        <v>722674100380</v>
      </c>
      <c r="B287" s="44">
        <v>21230</v>
      </c>
      <c r="C287" s="19" t="s">
        <v>467</v>
      </c>
      <c r="D287" s="19" t="s">
        <v>81</v>
      </c>
      <c r="E287" s="54">
        <v>35</v>
      </c>
      <c r="F287" s="54">
        <v>0</v>
      </c>
      <c r="G287" s="54"/>
      <c r="H287" s="54"/>
      <c r="I287" s="57"/>
      <c r="J287" s="44"/>
      <c r="K287" s="19" t="s">
        <v>61</v>
      </c>
      <c r="L287" s="44"/>
      <c r="M287" s="19" t="s">
        <v>174</v>
      </c>
      <c r="N287" s="19" t="s">
        <v>211</v>
      </c>
      <c r="P287" s="23">
        <v>17.5</v>
      </c>
      <c r="Q287" s="19">
        <f t="shared" si="11"/>
        <v>-17.5</v>
      </c>
    </row>
    <row r="288" spans="1:17" s="19" customFormat="1">
      <c r="A288" s="20">
        <v>1493315103</v>
      </c>
      <c r="B288" s="44">
        <v>21242</v>
      </c>
      <c r="C288" s="19" t="s">
        <v>468</v>
      </c>
      <c r="D288" s="19" t="s">
        <v>81</v>
      </c>
      <c r="E288" s="54">
        <v>25</v>
      </c>
      <c r="F288" s="54">
        <v>0</v>
      </c>
      <c r="G288" s="54"/>
      <c r="H288" s="54"/>
      <c r="I288" s="57"/>
      <c r="J288" s="44"/>
      <c r="K288" s="19" t="s">
        <v>61</v>
      </c>
      <c r="L288" s="44">
        <v>9</v>
      </c>
      <c r="M288" s="19" t="s">
        <v>174</v>
      </c>
      <c r="N288" s="19" t="s">
        <v>122</v>
      </c>
      <c r="P288" s="23">
        <v>11</v>
      </c>
      <c r="Q288" s="19">
        <f t="shared" si="11"/>
        <v>-14</v>
      </c>
    </row>
    <row r="289" spans="1:17" s="19" customFormat="1">
      <c r="A289" s="20">
        <v>8888322825</v>
      </c>
      <c r="B289" s="44">
        <v>21287</v>
      </c>
      <c r="C289" s="19" t="s">
        <v>469</v>
      </c>
      <c r="D289" s="19" t="s">
        <v>105</v>
      </c>
      <c r="E289" s="54">
        <v>20</v>
      </c>
      <c r="F289" s="54">
        <v>0</v>
      </c>
      <c r="G289" s="54"/>
      <c r="H289" s="54"/>
      <c r="I289" s="57"/>
      <c r="J289" s="44"/>
      <c r="K289" s="19" t="s">
        <v>181</v>
      </c>
      <c r="L289" s="44"/>
      <c r="M289" s="19" t="s">
        <v>174</v>
      </c>
      <c r="N289" s="19" t="s">
        <v>191</v>
      </c>
      <c r="P289" s="23">
        <v>17</v>
      </c>
      <c r="Q289" s="19">
        <f t="shared" si="11"/>
        <v>-3</v>
      </c>
    </row>
    <row r="290" spans="1:17" s="19" customFormat="1">
      <c r="A290" s="20"/>
      <c r="B290" s="44">
        <v>21393</v>
      </c>
      <c r="C290" s="19" t="s">
        <v>358</v>
      </c>
      <c r="D290" s="19" t="s">
        <v>105</v>
      </c>
      <c r="E290" s="54">
        <v>10</v>
      </c>
      <c r="F290" s="54"/>
      <c r="G290" s="54"/>
      <c r="H290" s="54"/>
      <c r="I290" s="57"/>
      <c r="J290" s="44"/>
      <c r="K290" s="19" t="s">
        <v>181</v>
      </c>
      <c r="L290" s="44"/>
      <c r="M290" s="19" t="s">
        <v>174</v>
      </c>
      <c r="P290" s="19">
        <v>20</v>
      </c>
      <c r="Q290" s="40">
        <f t="shared" si="11"/>
        <v>10</v>
      </c>
    </row>
    <row r="291" spans="1:17" s="19" customFormat="1">
      <c r="A291" s="20">
        <v>40198001502</v>
      </c>
      <c r="B291" s="44">
        <v>21398</v>
      </c>
      <c r="C291" s="19" t="s">
        <v>470</v>
      </c>
      <c r="D291" s="19" t="s">
        <v>81</v>
      </c>
      <c r="E291" s="54">
        <v>50</v>
      </c>
      <c r="F291" s="54">
        <v>0</v>
      </c>
      <c r="G291" s="54"/>
      <c r="H291" s="54"/>
      <c r="I291" s="57"/>
      <c r="J291" s="44"/>
      <c r="K291" s="19" t="s">
        <v>61</v>
      </c>
      <c r="L291" s="44">
        <v>7</v>
      </c>
      <c r="M291" s="19" t="s">
        <v>174</v>
      </c>
      <c r="N291" s="19" t="s">
        <v>136</v>
      </c>
      <c r="P291" s="23">
        <v>22</v>
      </c>
      <c r="Q291" s="19">
        <f t="shared" si="11"/>
        <v>-28</v>
      </c>
    </row>
    <row r="292" spans="1:17" s="19" customFormat="1">
      <c r="A292" s="20">
        <v>73086553025</v>
      </c>
      <c r="B292" s="44">
        <v>21714</v>
      </c>
      <c r="C292" s="19" t="s">
        <v>471</v>
      </c>
      <c r="D292" s="19" t="s">
        <v>81</v>
      </c>
      <c r="E292" s="54">
        <v>0</v>
      </c>
      <c r="F292" s="54">
        <v>0</v>
      </c>
      <c r="G292" s="54"/>
      <c r="H292" s="54"/>
      <c r="I292" s="57"/>
      <c r="J292" s="44"/>
      <c r="K292" s="19" t="s">
        <v>166</v>
      </c>
      <c r="L292" s="44"/>
      <c r="M292" s="19" t="s">
        <v>174</v>
      </c>
      <c r="N292" s="19" t="s">
        <v>177</v>
      </c>
      <c r="P292" s="23">
        <v>7</v>
      </c>
      <c r="Q292" s="19">
        <f t="shared" si="11"/>
        <v>7</v>
      </c>
    </row>
    <row r="293" spans="1:17" s="19" customFormat="1">
      <c r="A293" s="20"/>
      <c r="B293" s="44">
        <v>21853</v>
      </c>
      <c r="C293" s="19" t="s">
        <v>472</v>
      </c>
      <c r="D293" s="19" t="s">
        <v>105</v>
      </c>
      <c r="E293" s="54">
        <v>1</v>
      </c>
      <c r="F293" s="54"/>
      <c r="G293" s="54"/>
      <c r="H293" s="54"/>
      <c r="I293" s="57"/>
      <c r="J293" s="44"/>
      <c r="K293" s="19" t="s">
        <v>181</v>
      </c>
      <c r="L293" s="44"/>
      <c r="M293" s="19" t="s">
        <v>174</v>
      </c>
      <c r="P293" s="19">
        <v>7</v>
      </c>
      <c r="Q293" s="39">
        <f t="shared" si="11"/>
        <v>6</v>
      </c>
    </row>
    <row r="294" spans="1:17" s="19" customFormat="1">
      <c r="A294" s="20"/>
      <c r="B294" s="44">
        <v>21853</v>
      </c>
      <c r="C294" s="19" t="s">
        <v>472</v>
      </c>
      <c r="D294" s="19" t="s">
        <v>105</v>
      </c>
      <c r="E294" s="54">
        <v>1</v>
      </c>
      <c r="F294" s="54"/>
      <c r="G294" s="54"/>
      <c r="H294" s="54"/>
      <c r="I294" s="57"/>
      <c r="J294" s="44"/>
      <c r="K294" s="19" t="s">
        <v>181</v>
      </c>
      <c r="L294" s="44"/>
      <c r="M294" s="19" t="s">
        <v>174</v>
      </c>
      <c r="P294" s="19">
        <v>5.5</v>
      </c>
      <c r="Q294" s="39">
        <f t="shared" si="11"/>
        <v>4.5</v>
      </c>
    </row>
    <row r="295" spans="1:17" s="19" customFormat="1">
      <c r="A295" s="20"/>
      <c r="B295" s="44">
        <v>21853</v>
      </c>
      <c r="C295" s="19" t="s">
        <v>472</v>
      </c>
      <c r="D295" s="19" t="s">
        <v>105</v>
      </c>
      <c r="E295" s="54">
        <v>1</v>
      </c>
      <c r="F295" s="54"/>
      <c r="G295" s="54"/>
      <c r="H295" s="54"/>
      <c r="I295" s="57"/>
      <c r="J295" s="44"/>
      <c r="K295" s="19" t="s">
        <v>181</v>
      </c>
      <c r="L295" s="44"/>
      <c r="M295" s="19" t="s">
        <v>174</v>
      </c>
      <c r="P295" s="19">
        <v>5.5</v>
      </c>
      <c r="Q295" s="39">
        <f t="shared" si="11"/>
        <v>4.5</v>
      </c>
    </row>
    <row r="296" spans="1:17" s="19" customFormat="1">
      <c r="A296" s="20"/>
      <c r="B296" s="44">
        <v>21853</v>
      </c>
      <c r="C296" s="19" t="s">
        <v>472</v>
      </c>
      <c r="D296" s="19" t="s">
        <v>105</v>
      </c>
      <c r="E296" s="54">
        <v>1</v>
      </c>
      <c r="F296" s="54"/>
      <c r="G296" s="54"/>
      <c r="H296" s="54"/>
      <c r="I296" s="57"/>
      <c r="J296" s="44"/>
      <c r="K296" s="19" t="s">
        <v>181</v>
      </c>
      <c r="L296" s="44"/>
      <c r="M296" s="19" t="s">
        <v>174</v>
      </c>
      <c r="P296" s="19">
        <v>4</v>
      </c>
      <c r="Q296" s="46">
        <f t="shared" si="11"/>
        <v>3</v>
      </c>
    </row>
    <row r="297" spans="1:17" s="19" customFormat="1">
      <c r="A297" s="20"/>
      <c r="B297" s="44">
        <v>21682</v>
      </c>
      <c r="C297" s="19" t="s">
        <v>473</v>
      </c>
      <c r="D297" s="19" t="s">
        <v>81</v>
      </c>
      <c r="E297" s="54">
        <v>1</v>
      </c>
      <c r="F297" s="54"/>
      <c r="G297" s="54"/>
      <c r="H297" s="54"/>
      <c r="I297" s="57"/>
      <c r="J297" s="44"/>
      <c r="K297" s="19" t="s">
        <v>181</v>
      </c>
      <c r="L297" s="44"/>
      <c r="M297" s="19" t="s">
        <v>174</v>
      </c>
      <c r="P297" s="19">
        <v>8</v>
      </c>
      <c r="Q297" s="39">
        <f t="shared" si="11"/>
        <v>7</v>
      </c>
    </row>
    <row r="298" spans="1:17" s="19" customFormat="1">
      <c r="A298" s="20"/>
      <c r="B298" s="44"/>
      <c r="C298" s="19" t="s">
        <v>474</v>
      </c>
      <c r="D298" s="19" t="s">
        <v>105</v>
      </c>
      <c r="E298" s="54">
        <v>20</v>
      </c>
      <c r="F298" s="54">
        <v>0</v>
      </c>
      <c r="G298" s="54"/>
      <c r="H298" s="54"/>
      <c r="I298" s="57"/>
      <c r="J298" s="44"/>
      <c r="K298" s="19" t="s">
        <v>184</v>
      </c>
      <c r="L298" s="44"/>
      <c r="M298" s="19" t="s">
        <v>174</v>
      </c>
      <c r="P298" s="19">
        <v>4</v>
      </c>
      <c r="Q298" s="39">
        <f t="shared" si="11"/>
        <v>-16</v>
      </c>
    </row>
    <row r="299" spans="1:17" s="19" customFormat="1">
      <c r="A299" s="20"/>
      <c r="B299" s="44"/>
      <c r="C299" s="19" t="s">
        <v>475</v>
      </c>
      <c r="E299" s="54">
        <v>75</v>
      </c>
      <c r="F299" s="54"/>
      <c r="G299" s="54"/>
      <c r="H299" s="54"/>
      <c r="I299" s="57"/>
      <c r="J299" s="44"/>
      <c r="L299" s="44"/>
      <c r="Q299" s="39">
        <v>-75</v>
      </c>
    </row>
    <row r="300" spans="1:17" s="19" customFormat="1">
      <c r="A300" s="20"/>
      <c r="B300" s="44"/>
      <c r="C300" s="19" t="s">
        <v>217</v>
      </c>
      <c r="E300" s="54">
        <v>0</v>
      </c>
      <c r="F300" s="54"/>
      <c r="G300" s="54"/>
      <c r="H300" s="54"/>
      <c r="I300" s="57"/>
      <c r="J300" s="44"/>
      <c r="L300" s="44"/>
      <c r="P300" s="19">
        <v>2.5</v>
      </c>
      <c r="Q300" s="39">
        <f t="shared" si="11"/>
        <v>2.5</v>
      </c>
    </row>
    <row r="301" spans="1:17" s="19" customFormat="1">
      <c r="A301" s="20"/>
      <c r="B301" s="44"/>
      <c r="C301" s="19" t="s">
        <v>316</v>
      </c>
      <c r="E301" s="54">
        <v>0</v>
      </c>
      <c r="F301" s="54"/>
      <c r="G301" s="54"/>
      <c r="H301" s="54"/>
      <c r="I301" s="57"/>
      <c r="J301" s="44"/>
      <c r="L301" s="44"/>
      <c r="P301" s="19">
        <v>5.25</v>
      </c>
      <c r="Q301" s="39">
        <f t="shared" si="11"/>
        <v>5.25</v>
      </c>
    </row>
    <row r="302" spans="1:17" s="19" customFormat="1">
      <c r="A302" s="20"/>
      <c r="B302" s="44"/>
      <c r="C302" s="19" t="s">
        <v>476</v>
      </c>
      <c r="E302" s="54">
        <v>0</v>
      </c>
      <c r="F302" s="54"/>
      <c r="G302" s="54"/>
      <c r="H302" s="54"/>
      <c r="I302" s="57"/>
      <c r="J302" s="44"/>
      <c r="L302" s="44"/>
      <c r="P302" s="19">
        <v>2</v>
      </c>
      <c r="Q302" s="39">
        <f t="shared" si="11"/>
        <v>2</v>
      </c>
    </row>
    <row r="303" spans="1:17" s="19" customFormat="1">
      <c r="A303" s="20"/>
      <c r="B303" s="44"/>
      <c r="C303" s="19" t="s">
        <v>477</v>
      </c>
      <c r="E303" s="54">
        <v>0</v>
      </c>
      <c r="F303" s="54"/>
      <c r="G303" s="54"/>
      <c r="H303" s="54"/>
      <c r="I303" s="57"/>
      <c r="J303" s="44"/>
      <c r="L303" s="44"/>
      <c r="P303" s="19">
        <v>9.75</v>
      </c>
      <c r="Q303" s="39">
        <f t="shared" si="11"/>
        <v>9.75</v>
      </c>
    </row>
    <row r="304" spans="1:17" s="19" customFormat="1">
      <c r="A304" s="20"/>
      <c r="B304" s="44"/>
      <c r="C304" s="19" t="s">
        <v>478</v>
      </c>
      <c r="E304" s="54"/>
      <c r="F304" s="54"/>
      <c r="G304" s="54"/>
      <c r="H304" s="54"/>
      <c r="I304" s="57"/>
      <c r="J304" s="44"/>
      <c r="L304" s="44"/>
      <c r="P304" s="19">
        <v>30</v>
      </c>
      <c r="Q304" s="39">
        <f t="shared" si="11"/>
        <v>30</v>
      </c>
    </row>
  </sheetData>
  <phoneticPr fontId="2" type="noConversion"/>
  <conditionalFormatting sqref="I2:I160">
    <cfRule type="cellIs" dxfId="29" priority="3" operator="lessThan">
      <formula>TODAY()-365*2</formula>
    </cfRule>
  </conditionalFormatting>
  <pageMargins left="0.75" right="0.75" top="1" bottom="1" header="0.4921259845" footer="0.4921259845"/>
  <pageSetup orientation="portrait" horizontalDpi="4294967293" r:id="rId1"/>
  <headerFooter alignWithMargins="0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A396CD2E-33D0-4A4F-B58B-33D89674CC2A}">
            <xm:f>MAIN!$N$4-365</xm:f>
            <x14:dxf/>
          </x14:cfRule>
          <xm:sqref>I2:I160</xm:sqref>
        </x14:conditionalFormatting>
        <x14:conditionalFormatting xmlns:xm="http://schemas.microsoft.com/office/excel/2006/main">
          <x14:cfRule type="cellIs" priority="2" operator="lessThan" id="{CD95235D-C5F3-4F05-8828-CA196C08E9A2}">
            <xm:f>MAIN!N137-365</xm:f>
            <x14:dxf>
              <fill>
                <patternFill>
                  <bgColor theme="5" tint="0.39994506668294322"/>
                </patternFill>
              </fill>
            </x14:dxf>
          </x14:cfRule>
          <xm:sqref>I167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7"/>
  </sheetPr>
  <dimension ref="A1:N227"/>
  <sheetViews>
    <sheetView topLeftCell="A91" workbookViewId="0" xr3:uid="{F9CF3CF3-643B-5BE6-8B46-32C596A47465}">
      <selection activeCell="M114" sqref="M114"/>
    </sheetView>
  </sheetViews>
  <sheetFormatPr defaultColWidth="11.42578125" defaultRowHeight="12.75"/>
  <cols>
    <col min="1" max="1" width="18.7109375" bestFit="1" customWidth="1"/>
    <col min="2" max="2" width="11.28515625" style="41" bestFit="1" customWidth="1"/>
    <col min="3" max="3" width="43.28515625" bestFit="1" customWidth="1"/>
    <col min="4" max="4" width="8.85546875" customWidth="1"/>
    <col min="10" max="10" width="12.85546875" style="48" customWidth="1"/>
    <col min="12" max="12" width="11.5703125" style="1" customWidth="1"/>
    <col min="13" max="13" width="13.28515625" customWidth="1"/>
  </cols>
  <sheetData>
    <row r="1" spans="1:14">
      <c r="A1" s="1" t="s">
        <v>63</v>
      </c>
      <c r="B1" s="41" t="s">
        <v>64</v>
      </c>
      <c r="C1" t="s">
        <v>65</v>
      </c>
      <c r="D1" t="s">
        <v>479</v>
      </c>
      <c r="E1" t="s">
        <v>66</v>
      </c>
      <c r="F1" t="s">
        <v>67</v>
      </c>
      <c r="G1" t="s">
        <v>68</v>
      </c>
      <c r="H1" s="10" t="s">
        <v>69</v>
      </c>
      <c r="I1" s="10" t="s">
        <v>0</v>
      </c>
      <c r="J1" s="58" t="s">
        <v>71</v>
      </c>
      <c r="K1" t="s">
        <v>73</v>
      </c>
      <c r="L1" s="1" t="s">
        <v>74</v>
      </c>
      <c r="M1" t="s">
        <v>1</v>
      </c>
      <c r="N1" s="10" t="s">
        <v>480</v>
      </c>
    </row>
    <row r="2" spans="1:14">
      <c r="A2" s="1">
        <v>730865001347</v>
      </c>
      <c r="B2" s="41">
        <v>30490</v>
      </c>
      <c r="C2" s="10" t="s">
        <v>481</v>
      </c>
      <c r="D2" s="10"/>
      <c r="E2" s="10" t="s">
        <v>81</v>
      </c>
      <c r="F2">
        <v>7.5</v>
      </c>
      <c r="G2">
        <v>36</v>
      </c>
      <c r="H2">
        <v>35</v>
      </c>
      <c r="I2" s="64">
        <f t="shared" ref="I2:I33" si="0">MIN(G2:H2)</f>
        <v>35</v>
      </c>
      <c r="J2" s="48">
        <v>42351</v>
      </c>
      <c r="K2" s="10" t="s">
        <v>125</v>
      </c>
      <c r="M2" s="10" t="s">
        <v>177</v>
      </c>
    </row>
    <row r="3" spans="1:14">
      <c r="A3" s="1"/>
      <c r="B3" s="41">
        <v>31478</v>
      </c>
      <c r="C3" s="10" t="s">
        <v>482</v>
      </c>
      <c r="D3" s="10"/>
      <c r="E3" s="10" t="s">
        <v>105</v>
      </c>
      <c r="F3">
        <v>70</v>
      </c>
      <c r="G3" s="87">
        <v>135</v>
      </c>
      <c r="H3" s="32">
        <v>130</v>
      </c>
      <c r="I3" s="64">
        <f t="shared" si="0"/>
        <v>130</v>
      </c>
      <c r="J3" s="48">
        <v>42378</v>
      </c>
      <c r="K3" s="10" t="s">
        <v>86</v>
      </c>
      <c r="M3" s="10" t="s">
        <v>244</v>
      </c>
    </row>
    <row r="4" spans="1:14">
      <c r="A4" s="1">
        <v>813633010663</v>
      </c>
      <c r="B4" s="41">
        <v>30639</v>
      </c>
      <c r="C4" t="s">
        <v>483</v>
      </c>
      <c r="E4" t="s">
        <v>105</v>
      </c>
      <c r="F4">
        <v>37</v>
      </c>
      <c r="G4" s="32" t="s">
        <v>89</v>
      </c>
      <c r="H4" s="32">
        <v>37</v>
      </c>
      <c r="I4" s="64">
        <f t="shared" si="0"/>
        <v>37</v>
      </c>
      <c r="J4" s="48">
        <v>42428</v>
      </c>
      <c r="K4" s="10" t="s">
        <v>86</v>
      </c>
      <c r="M4" t="s">
        <v>295</v>
      </c>
    </row>
    <row r="5" spans="1:14">
      <c r="A5" s="1">
        <v>8888343394</v>
      </c>
      <c r="B5" s="41">
        <v>30089</v>
      </c>
      <c r="C5" s="10" t="s">
        <v>484</v>
      </c>
      <c r="D5" s="10"/>
      <c r="E5" s="10" t="s">
        <v>81</v>
      </c>
      <c r="F5">
        <v>4</v>
      </c>
      <c r="G5" s="10">
        <v>10</v>
      </c>
      <c r="H5">
        <v>10</v>
      </c>
      <c r="I5" s="64">
        <f t="shared" si="0"/>
        <v>10</v>
      </c>
      <c r="J5" s="58">
        <v>42378</v>
      </c>
      <c r="K5" s="10" t="s">
        <v>86</v>
      </c>
      <c r="M5" s="10" t="s">
        <v>191</v>
      </c>
    </row>
    <row r="6" spans="1:14">
      <c r="A6" s="1">
        <v>8888347910</v>
      </c>
      <c r="B6" s="41">
        <v>31145</v>
      </c>
      <c r="C6" s="10" t="s">
        <v>485</v>
      </c>
      <c r="D6" s="10"/>
      <c r="E6" s="10" t="s">
        <v>81</v>
      </c>
      <c r="F6">
        <v>4</v>
      </c>
      <c r="G6">
        <v>35</v>
      </c>
      <c r="H6" s="10" t="s">
        <v>89</v>
      </c>
      <c r="I6" s="64">
        <f t="shared" si="0"/>
        <v>35</v>
      </c>
      <c r="J6" s="48">
        <v>42378</v>
      </c>
      <c r="K6" s="10" t="s">
        <v>86</v>
      </c>
      <c r="M6" s="10" t="s">
        <v>191</v>
      </c>
    </row>
    <row r="7" spans="1:14">
      <c r="A7" s="1">
        <v>8888397373</v>
      </c>
      <c r="B7" s="41">
        <v>30991</v>
      </c>
      <c r="C7" s="10" t="s">
        <v>486</v>
      </c>
      <c r="D7" s="10"/>
      <c r="E7" s="10" t="s">
        <v>81</v>
      </c>
      <c r="F7">
        <v>4</v>
      </c>
      <c r="G7" s="10" t="s">
        <v>89</v>
      </c>
      <c r="H7" s="32">
        <v>10</v>
      </c>
      <c r="I7" s="64">
        <f t="shared" si="0"/>
        <v>10</v>
      </c>
      <c r="J7" s="48">
        <v>42378</v>
      </c>
      <c r="K7" s="10" t="s">
        <v>86</v>
      </c>
      <c r="M7" s="10" t="s">
        <v>191</v>
      </c>
    </row>
    <row r="8" spans="1:14">
      <c r="A8" s="1">
        <v>8888348429</v>
      </c>
      <c r="B8" s="41">
        <v>31193</v>
      </c>
      <c r="C8" s="10" t="s">
        <v>487</v>
      </c>
      <c r="D8" s="10"/>
      <c r="E8" s="10" t="s">
        <v>105</v>
      </c>
      <c r="F8">
        <v>4</v>
      </c>
      <c r="G8" s="87">
        <v>44</v>
      </c>
      <c r="H8" s="10" t="s">
        <v>89</v>
      </c>
      <c r="I8" s="64">
        <f t="shared" si="0"/>
        <v>44</v>
      </c>
      <c r="J8" s="48">
        <v>42378</v>
      </c>
      <c r="K8" s="10" t="s">
        <v>86</v>
      </c>
      <c r="M8" s="10" t="s">
        <v>191</v>
      </c>
    </row>
    <row r="9" spans="1:14">
      <c r="A9" s="1">
        <v>40198002318</v>
      </c>
      <c r="B9" s="41">
        <v>31152</v>
      </c>
      <c r="C9" s="10" t="s">
        <v>488</v>
      </c>
      <c r="D9" s="10"/>
      <c r="E9" s="10" t="s">
        <v>105</v>
      </c>
      <c r="F9">
        <v>55</v>
      </c>
      <c r="G9">
        <v>36</v>
      </c>
      <c r="I9" s="64">
        <f t="shared" si="0"/>
        <v>36</v>
      </c>
      <c r="J9" s="48">
        <v>41903</v>
      </c>
      <c r="K9" s="10" t="s">
        <v>86</v>
      </c>
      <c r="M9" s="10" t="s">
        <v>489</v>
      </c>
    </row>
    <row r="10" spans="1:14">
      <c r="A10" s="1">
        <v>40198002455</v>
      </c>
      <c r="B10" s="41">
        <v>31391</v>
      </c>
      <c r="C10" s="10" t="s">
        <v>490</v>
      </c>
      <c r="D10" s="10"/>
      <c r="E10" s="10" t="s">
        <v>105</v>
      </c>
      <c r="F10">
        <v>50</v>
      </c>
      <c r="G10" s="46">
        <v>90</v>
      </c>
      <c r="H10">
        <v>44</v>
      </c>
      <c r="I10" s="64">
        <f t="shared" si="0"/>
        <v>44</v>
      </c>
      <c r="J10" s="48">
        <v>42406</v>
      </c>
      <c r="K10" s="10" t="s">
        <v>86</v>
      </c>
      <c r="M10" s="10" t="s">
        <v>489</v>
      </c>
    </row>
    <row r="11" spans="1:14">
      <c r="A11" s="1">
        <v>813633011752</v>
      </c>
      <c r="B11" s="41">
        <v>30941</v>
      </c>
      <c r="C11" s="10" t="s">
        <v>491</v>
      </c>
      <c r="D11" s="10"/>
      <c r="E11" s="10" t="s">
        <v>105</v>
      </c>
      <c r="F11">
        <v>50</v>
      </c>
      <c r="G11" s="40">
        <v>70</v>
      </c>
      <c r="H11">
        <v>40</v>
      </c>
      <c r="I11" s="64">
        <f t="shared" si="0"/>
        <v>40</v>
      </c>
      <c r="J11" s="48">
        <v>42415</v>
      </c>
      <c r="K11" s="10" t="s">
        <v>86</v>
      </c>
      <c r="M11" s="10" t="s">
        <v>244</v>
      </c>
    </row>
    <row r="12" spans="1:14">
      <c r="A12" s="1">
        <v>813633010953</v>
      </c>
      <c r="B12" s="41">
        <v>30465</v>
      </c>
      <c r="C12" s="10" t="s">
        <v>492</v>
      </c>
      <c r="D12" s="10"/>
      <c r="E12" s="10" t="s">
        <v>81</v>
      </c>
      <c r="F12">
        <v>45</v>
      </c>
      <c r="G12" s="37">
        <v>30</v>
      </c>
      <c r="H12" s="32">
        <v>25</v>
      </c>
      <c r="I12" s="64">
        <f t="shared" si="0"/>
        <v>25</v>
      </c>
      <c r="J12" s="48">
        <v>42162</v>
      </c>
      <c r="K12" s="10" t="s">
        <v>61</v>
      </c>
      <c r="M12" s="10" t="s">
        <v>244</v>
      </c>
    </row>
    <row r="13" spans="1:14">
      <c r="A13" s="1">
        <v>40198002547</v>
      </c>
      <c r="B13" s="41">
        <v>31449</v>
      </c>
      <c r="C13" t="s">
        <v>493</v>
      </c>
      <c r="E13" t="s">
        <v>105</v>
      </c>
      <c r="F13">
        <v>33</v>
      </c>
      <c r="G13" s="32" t="s">
        <v>89</v>
      </c>
      <c r="H13" s="10">
        <v>33</v>
      </c>
      <c r="I13" s="64">
        <f t="shared" si="0"/>
        <v>33</v>
      </c>
      <c r="J13" s="48">
        <v>42428</v>
      </c>
      <c r="K13" s="10" t="s">
        <v>86</v>
      </c>
      <c r="M13" t="s">
        <v>489</v>
      </c>
    </row>
    <row r="14" spans="1:14">
      <c r="A14" s="1"/>
      <c r="B14" s="41">
        <v>31525</v>
      </c>
      <c r="C14" s="10" t="s">
        <v>494</v>
      </c>
      <c r="D14" s="10"/>
      <c r="E14" s="10" t="s">
        <v>105</v>
      </c>
      <c r="F14">
        <v>80</v>
      </c>
      <c r="G14" s="32">
        <v>160</v>
      </c>
      <c r="H14" s="32">
        <v>155</v>
      </c>
      <c r="I14" s="64">
        <f t="shared" si="0"/>
        <v>155</v>
      </c>
      <c r="J14" s="48">
        <v>42169</v>
      </c>
      <c r="K14" s="10" t="s">
        <v>86</v>
      </c>
      <c r="M14" s="10" t="s">
        <v>295</v>
      </c>
    </row>
    <row r="15" spans="1:14">
      <c r="A15" s="1">
        <v>813633011233</v>
      </c>
      <c r="B15" s="41">
        <v>30735</v>
      </c>
      <c r="C15" t="s">
        <v>495</v>
      </c>
      <c r="E15" s="10" t="s">
        <v>105</v>
      </c>
      <c r="F15">
        <v>40</v>
      </c>
      <c r="G15" s="39">
        <v>55</v>
      </c>
      <c r="H15">
        <v>54</v>
      </c>
      <c r="I15" s="64">
        <f t="shared" si="0"/>
        <v>54</v>
      </c>
      <c r="J15" s="58">
        <v>42169</v>
      </c>
      <c r="K15" s="10" t="s">
        <v>86</v>
      </c>
      <c r="M15" t="s">
        <v>244</v>
      </c>
    </row>
    <row r="16" spans="1:14">
      <c r="A16" s="1">
        <v>788687500883</v>
      </c>
      <c r="B16" s="41">
        <v>30279</v>
      </c>
      <c r="C16" t="s">
        <v>496</v>
      </c>
      <c r="E16" t="s">
        <v>81</v>
      </c>
      <c r="F16">
        <v>10</v>
      </c>
      <c r="G16" s="37">
        <v>10</v>
      </c>
      <c r="H16" s="32" t="s">
        <v>89</v>
      </c>
      <c r="I16" s="64">
        <f t="shared" si="0"/>
        <v>10</v>
      </c>
      <c r="J16" s="58">
        <v>42022</v>
      </c>
      <c r="K16" t="s">
        <v>61</v>
      </c>
      <c r="M16" t="s">
        <v>208</v>
      </c>
      <c r="N16" s="10"/>
    </row>
    <row r="17" spans="1:13">
      <c r="A17" s="1">
        <v>10086690248</v>
      </c>
      <c r="B17" s="41">
        <v>30367</v>
      </c>
      <c r="C17" s="10" t="s">
        <v>497</v>
      </c>
      <c r="D17" s="10"/>
      <c r="E17" s="10" t="s">
        <v>81</v>
      </c>
      <c r="F17">
        <v>20</v>
      </c>
      <c r="G17" s="39">
        <v>26</v>
      </c>
      <c r="H17" s="32">
        <v>21</v>
      </c>
      <c r="I17" s="64">
        <f t="shared" si="0"/>
        <v>21</v>
      </c>
      <c r="J17" s="58">
        <v>42022</v>
      </c>
      <c r="K17" s="10" t="s">
        <v>86</v>
      </c>
      <c r="M17" s="10" t="s">
        <v>258</v>
      </c>
    </row>
    <row r="18" spans="1:13">
      <c r="A18" s="1">
        <v>710425374944</v>
      </c>
      <c r="B18" s="41">
        <v>30166</v>
      </c>
      <c r="C18" t="s">
        <v>498</v>
      </c>
      <c r="E18" s="10" t="s">
        <v>81</v>
      </c>
      <c r="F18">
        <v>30</v>
      </c>
      <c r="G18" s="46">
        <v>12</v>
      </c>
      <c r="H18" s="32">
        <v>18</v>
      </c>
      <c r="I18" s="64">
        <f t="shared" si="0"/>
        <v>12</v>
      </c>
      <c r="J18" s="58">
        <v>42022</v>
      </c>
      <c r="K18" s="10" t="s">
        <v>125</v>
      </c>
      <c r="L18" s="1">
        <v>8</v>
      </c>
      <c r="M18" t="s">
        <v>189</v>
      </c>
    </row>
    <row r="19" spans="1:13">
      <c r="A19" s="1">
        <v>71042537552</v>
      </c>
      <c r="B19" s="41">
        <v>30420</v>
      </c>
      <c r="C19" s="10" t="s">
        <v>499</v>
      </c>
      <c r="D19" s="10"/>
      <c r="E19" s="10" t="s">
        <v>105</v>
      </c>
      <c r="F19">
        <v>20</v>
      </c>
      <c r="G19" s="32">
        <v>16</v>
      </c>
      <c r="H19" s="32">
        <v>15</v>
      </c>
      <c r="I19" s="64">
        <f t="shared" si="0"/>
        <v>15</v>
      </c>
      <c r="J19" s="58">
        <v>42022</v>
      </c>
      <c r="K19" s="10" t="s">
        <v>86</v>
      </c>
      <c r="M19" s="10" t="s">
        <v>189</v>
      </c>
    </row>
    <row r="20" spans="1:13">
      <c r="A20" s="1">
        <v>813633011219</v>
      </c>
      <c r="B20" s="41">
        <v>30769</v>
      </c>
      <c r="C20" s="10" t="s">
        <v>500</v>
      </c>
      <c r="D20" s="10"/>
      <c r="E20" s="10" t="s">
        <v>81</v>
      </c>
      <c r="F20">
        <v>4</v>
      </c>
      <c r="G20" s="10">
        <v>54</v>
      </c>
      <c r="H20">
        <v>84</v>
      </c>
      <c r="I20" s="64">
        <f t="shared" si="0"/>
        <v>54</v>
      </c>
      <c r="J20" s="48">
        <v>42378</v>
      </c>
      <c r="K20" s="10" t="s">
        <v>86</v>
      </c>
      <c r="M20" t="s">
        <v>295</v>
      </c>
    </row>
    <row r="21" spans="1:13">
      <c r="A21" s="1">
        <v>710425473364</v>
      </c>
      <c r="B21" s="41">
        <v>82001</v>
      </c>
      <c r="C21" s="10" t="s">
        <v>501</v>
      </c>
      <c r="D21" s="10"/>
      <c r="E21" s="10" t="s">
        <v>81</v>
      </c>
      <c r="F21">
        <v>33</v>
      </c>
      <c r="G21">
        <v>57</v>
      </c>
      <c r="H21">
        <v>35</v>
      </c>
      <c r="I21" s="64">
        <f t="shared" si="0"/>
        <v>35</v>
      </c>
      <c r="J21" s="48">
        <v>42040</v>
      </c>
      <c r="K21" s="10" t="s">
        <v>61</v>
      </c>
      <c r="M21" s="10" t="s">
        <v>189</v>
      </c>
    </row>
    <row r="22" spans="1:13">
      <c r="A22" s="1">
        <v>71042537986</v>
      </c>
      <c r="B22" s="41">
        <v>30386</v>
      </c>
      <c r="C22" s="10" t="s">
        <v>502</v>
      </c>
      <c r="D22" s="10"/>
      <c r="E22" s="10" t="s">
        <v>81</v>
      </c>
      <c r="F22">
        <v>30</v>
      </c>
      <c r="G22" s="32">
        <v>15</v>
      </c>
      <c r="H22" s="32">
        <v>21</v>
      </c>
      <c r="I22" s="64">
        <f t="shared" si="0"/>
        <v>15</v>
      </c>
      <c r="J22" s="58">
        <v>42022</v>
      </c>
      <c r="K22" s="10" t="s">
        <v>61</v>
      </c>
      <c r="L22" s="1">
        <v>7</v>
      </c>
      <c r="M22" t="s">
        <v>189</v>
      </c>
    </row>
    <row r="23" spans="1:13">
      <c r="A23" s="1">
        <v>14633359015</v>
      </c>
      <c r="B23" s="41">
        <v>30061</v>
      </c>
      <c r="C23" t="s">
        <v>503</v>
      </c>
      <c r="E23" t="s">
        <v>81</v>
      </c>
      <c r="F23">
        <v>50</v>
      </c>
      <c r="G23" s="39">
        <v>20</v>
      </c>
      <c r="H23">
        <v>20</v>
      </c>
      <c r="I23" s="64">
        <f t="shared" si="0"/>
        <v>20</v>
      </c>
      <c r="J23" s="58">
        <v>42022</v>
      </c>
      <c r="K23" s="10" t="s">
        <v>61</v>
      </c>
      <c r="L23" s="1">
        <v>10</v>
      </c>
      <c r="M23" t="s">
        <v>122</v>
      </c>
    </row>
    <row r="24" spans="1:13">
      <c r="A24" s="1">
        <v>730865001392</v>
      </c>
      <c r="B24" s="41">
        <v>30428</v>
      </c>
      <c r="C24" s="10" t="s">
        <v>504</v>
      </c>
      <c r="D24" s="10"/>
      <c r="E24" s="10" t="s">
        <v>105</v>
      </c>
      <c r="F24">
        <v>20</v>
      </c>
      <c r="G24" s="37">
        <v>24</v>
      </c>
      <c r="H24" s="32">
        <v>20</v>
      </c>
      <c r="I24" s="64">
        <f t="shared" si="0"/>
        <v>20</v>
      </c>
      <c r="J24" s="48">
        <v>42009</v>
      </c>
      <c r="K24" s="10" t="s">
        <v>86</v>
      </c>
      <c r="M24" s="10" t="s">
        <v>177</v>
      </c>
    </row>
    <row r="25" spans="1:13">
      <c r="A25" s="1">
        <v>735366400118</v>
      </c>
      <c r="B25" s="41">
        <v>31461</v>
      </c>
      <c r="C25" s="10" t="s">
        <v>505</v>
      </c>
      <c r="D25" s="10"/>
      <c r="E25" s="10" t="s">
        <v>105</v>
      </c>
      <c r="F25">
        <v>98</v>
      </c>
      <c r="G25" s="39">
        <v>248</v>
      </c>
      <c r="H25" s="39">
        <v>1467</v>
      </c>
      <c r="I25" s="64">
        <f t="shared" si="0"/>
        <v>248</v>
      </c>
      <c r="J25" s="48">
        <v>42442</v>
      </c>
      <c r="K25" s="10" t="s">
        <v>86</v>
      </c>
      <c r="M25" s="10" t="s">
        <v>506</v>
      </c>
    </row>
    <row r="26" spans="1:13">
      <c r="A26" s="1">
        <v>857823001413</v>
      </c>
      <c r="B26" s="41">
        <v>30348</v>
      </c>
      <c r="C26" s="10" t="s">
        <v>507</v>
      </c>
      <c r="D26" s="10"/>
      <c r="E26" s="10" t="s">
        <v>81</v>
      </c>
      <c r="F26">
        <v>35</v>
      </c>
      <c r="G26" s="39">
        <v>35</v>
      </c>
      <c r="H26" s="32">
        <v>54</v>
      </c>
      <c r="I26" s="64">
        <f t="shared" si="0"/>
        <v>35</v>
      </c>
      <c r="J26" s="58">
        <v>42022</v>
      </c>
      <c r="K26" s="10" t="s">
        <v>86</v>
      </c>
      <c r="M26" s="10" t="s">
        <v>244</v>
      </c>
    </row>
    <row r="27" spans="1:13">
      <c r="A27" s="1">
        <v>722674110471</v>
      </c>
      <c r="B27" s="41">
        <v>30782</v>
      </c>
      <c r="C27" s="10" t="s">
        <v>508</v>
      </c>
      <c r="D27" s="10"/>
      <c r="E27" s="10" t="s">
        <v>81</v>
      </c>
      <c r="F27">
        <v>60</v>
      </c>
      <c r="G27">
        <v>17</v>
      </c>
      <c r="H27">
        <v>26</v>
      </c>
      <c r="I27" s="64">
        <f t="shared" si="0"/>
        <v>17</v>
      </c>
      <c r="J27" s="48">
        <v>42441</v>
      </c>
      <c r="K27" s="10" t="s">
        <v>125</v>
      </c>
      <c r="M27" t="s">
        <v>240</v>
      </c>
    </row>
    <row r="28" spans="1:13">
      <c r="A28" s="1"/>
      <c r="B28" s="41">
        <v>41045</v>
      </c>
      <c r="C28" s="10" t="s">
        <v>509</v>
      </c>
      <c r="D28" s="10"/>
      <c r="E28" s="10" t="s">
        <v>105</v>
      </c>
      <c r="F28">
        <v>70</v>
      </c>
      <c r="G28" s="37">
        <v>40</v>
      </c>
      <c r="H28">
        <v>25</v>
      </c>
      <c r="I28" s="64">
        <f t="shared" si="0"/>
        <v>25</v>
      </c>
      <c r="J28" s="48">
        <v>42176</v>
      </c>
      <c r="K28" s="10" t="s">
        <v>96</v>
      </c>
      <c r="M28" s="10" t="s">
        <v>510</v>
      </c>
    </row>
    <row r="29" spans="1:13">
      <c r="A29" s="1">
        <v>40198002264</v>
      </c>
      <c r="B29" s="41">
        <v>30971</v>
      </c>
      <c r="C29" s="10" t="s">
        <v>511</v>
      </c>
      <c r="D29" s="10"/>
      <c r="E29" s="10" t="s">
        <v>81</v>
      </c>
      <c r="F29">
        <v>7.5</v>
      </c>
      <c r="G29">
        <v>20</v>
      </c>
      <c r="H29">
        <v>13</v>
      </c>
      <c r="I29" s="64">
        <f t="shared" si="0"/>
        <v>13</v>
      </c>
      <c r="J29" s="48">
        <v>42351</v>
      </c>
      <c r="K29" s="10" t="s">
        <v>86</v>
      </c>
      <c r="M29" t="s">
        <v>303</v>
      </c>
    </row>
    <row r="30" spans="1:13">
      <c r="A30" s="1">
        <v>730865001330</v>
      </c>
      <c r="B30" s="41">
        <v>30443</v>
      </c>
      <c r="C30" t="s">
        <v>512</v>
      </c>
      <c r="E30" s="10" t="s">
        <v>81</v>
      </c>
      <c r="F30">
        <v>70</v>
      </c>
      <c r="G30" s="39">
        <v>120</v>
      </c>
      <c r="H30" s="32">
        <v>95</v>
      </c>
      <c r="I30" s="64">
        <f t="shared" si="0"/>
        <v>95</v>
      </c>
      <c r="J30" s="48">
        <v>42162</v>
      </c>
      <c r="K30" s="10" t="s">
        <v>61</v>
      </c>
      <c r="L30" s="1">
        <v>10</v>
      </c>
      <c r="M30" t="s">
        <v>177</v>
      </c>
    </row>
    <row r="31" spans="1:13">
      <c r="A31" s="1">
        <v>722674110068</v>
      </c>
      <c r="B31" s="41">
        <v>30058</v>
      </c>
      <c r="C31" s="10" t="s">
        <v>513</v>
      </c>
      <c r="D31" s="10"/>
      <c r="E31" s="10" t="s">
        <v>81</v>
      </c>
      <c r="F31">
        <v>7.5</v>
      </c>
      <c r="G31">
        <v>27</v>
      </c>
      <c r="H31">
        <v>26</v>
      </c>
      <c r="I31" s="64">
        <f t="shared" si="0"/>
        <v>26</v>
      </c>
      <c r="J31" s="48">
        <v>42351</v>
      </c>
      <c r="K31" s="10" t="s">
        <v>86</v>
      </c>
      <c r="M31" t="s">
        <v>136</v>
      </c>
    </row>
    <row r="32" spans="1:13">
      <c r="A32" s="1">
        <v>662248911106</v>
      </c>
      <c r="B32" s="41">
        <v>30733</v>
      </c>
      <c r="C32" t="s">
        <v>514</v>
      </c>
      <c r="E32" s="10" t="s">
        <v>105</v>
      </c>
      <c r="F32">
        <v>20</v>
      </c>
      <c r="G32" s="39">
        <v>35</v>
      </c>
      <c r="H32">
        <v>105</v>
      </c>
      <c r="I32" s="64">
        <f t="shared" si="0"/>
        <v>35</v>
      </c>
      <c r="J32" s="48">
        <v>42169</v>
      </c>
      <c r="K32" s="10" t="s">
        <v>86</v>
      </c>
      <c r="M32" t="s">
        <v>213</v>
      </c>
    </row>
    <row r="33" spans="1:14">
      <c r="A33" s="1"/>
      <c r="B33" s="41">
        <v>30064</v>
      </c>
      <c r="C33" t="s">
        <v>515</v>
      </c>
      <c r="E33" t="s">
        <v>81</v>
      </c>
      <c r="F33">
        <v>4</v>
      </c>
      <c r="G33" s="32">
        <v>25</v>
      </c>
      <c r="H33">
        <v>36</v>
      </c>
      <c r="I33" s="64">
        <f t="shared" si="0"/>
        <v>25</v>
      </c>
      <c r="J33" s="58">
        <v>42378</v>
      </c>
      <c r="K33" s="10" t="s">
        <v>86</v>
      </c>
      <c r="M33" t="s">
        <v>516</v>
      </c>
    </row>
    <row r="34" spans="1:14">
      <c r="A34" s="1">
        <v>857823001314</v>
      </c>
      <c r="B34" s="41">
        <v>30181</v>
      </c>
      <c r="C34" t="s">
        <v>517</v>
      </c>
      <c r="E34" t="s">
        <v>81</v>
      </c>
      <c r="F34">
        <v>60</v>
      </c>
      <c r="G34" s="46">
        <v>27</v>
      </c>
      <c r="H34" s="32">
        <v>22</v>
      </c>
      <c r="I34" s="64">
        <f t="shared" ref="I34:I65" si="1">MIN(G34:H34)</f>
        <v>22</v>
      </c>
      <c r="J34" s="58">
        <v>42022</v>
      </c>
      <c r="K34" s="10" t="s">
        <v>61</v>
      </c>
      <c r="L34" s="1">
        <v>10</v>
      </c>
      <c r="M34" t="s">
        <v>295</v>
      </c>
    </row>
    <row r="35" spans="1:14">
      <c r="A35" s="1">
        <v>813633011202</v>
      </c>
      <c r="B35" s="41">
        <v>30727</v>
      </c>
      <c r="C35" t="s">
        <v>518</v>
      </c>
      <c r="E35" s="10" t="s">
        <v>81</v>
      </c>
      <c r="F35">
        <v>50</v>
      </c>
      <c r="G35" s="37">
        <v>30</v>
      </c>
      <c r="H35">
        <v>34</v>
      </c>
      <c r="I35" s="64">
        <f t="shared" si="1"/>
        <v>30</v>
      </c>
      <c r="J35" s="48">
        <v>42169</v>
      </c>
      <c r="K35" s="10" t="s">
        <v>86</v>
      </c>
      <c r="L35" s="1">
        <v>10</v>
      </c>
      <c r="M35" t="s">
        <v>244</v>
      </c>
    </row>
    <row r="36" spans="1:14">
      <c r="A36" s="1">
        <v>813633012810</v>
      </c>
      <c r="B36" s="41">
        <v>31313</v>
      </c>
      <c r="C36" s="10" t="s">
        <v>519</v>
      </c>
      <c r="D36" s="10"/>
      <c r="E36" s="10" t="s">
        <v>81</v>
      </c>
      <c r="F36">
        <v>50</v>
      </c>
      <c r="G36" s="37">
        <v>25</v>
      </c>
      <c r="H36">
        <v>35</v>
      </c>
      <c r="I36" s="64">
        <f t="shared" si="1"/>
        <v>25</v>
      </c>
      <c r="J36" s="48">
        <v>42406</v>
      </c>
      <c r="K36" s="10" t="s">
        <v>61</v>
      </c>
      <c r="M36" s="10" t="s">
        <v>244</v>
      </c>
    </row>
    <row r="37" spans="1:14">
      <c r="A37" s="1"/>
      <c r="B37" s="41">
        <v>31313</v>
      </c>
      <c r="C37" s="10" t="s">
        <v>520</v>
      </c>
      <c r="D37" s="10"/>
      <c r="E37" s="10" t="s">
        <v>105</v>
      </c>
      <c r="F37">
        <v>90</v>
      </c>
      <c r="G37" s="39">
        <v>215</v>
      </c>
      <c r="H37" s="39">
        <v>205</v>
      </c>
      <c r="I37" s="64">
        <f t="shared" si="1"/>
        <v>205</v>
      </c>
      <c r="J37" s="48">
        <v>42421</v>
      </c>
      <c r="K37" s="10" t="s">
        <v>184</v>
      </c>
      <c r="M37" s="10" t="s">
        <v>244</v>
      </c>
      <c r="N37" s="75" t="s">
        <v>521</v>
      </c>
    </row>
    <row r="38" spans="1:14">
      <c r="A38" s="1">
        <v>13388912131</v>
      </c>
      <c r="B38" s="41">
        <v>30723</v>
      </c>
      <c r="C38" s="10" t="s">
        <v>522</v>
      </c>
      <c r="D38" s="10"/>
      <c r="E38" s="10" t="s">
        <v>105</v>
      </c>
      <c r="F38">
        <v>4</v>
      </c>
      <c r="G38" s="10">
        <v>27</v>
      </c>
      <c r="H38" s="10">
        <v>26</v>
      </c>
      <c r="I38" s="64">
        <f t="shared" si="1"/>
        <v>26</v>
      </c>
      <c r="J38" s="48">
        <v>42378</v>
      </c>
      <c r="K38" s="10" t="s">
        <v>86</v>
      </c>
      <c r="M38" s="10" t="s">
        <v>255</v>
      </c>
    </row>
    <row r="39" spans="1:14">
      <c r="A39" s="1">
        <v>14633195248</v>
      </c>
      <c r="B39" s="41">
        <v>30649</v>
      </c>
      <c r="C39" s="10" t="s">
        <v>523</v>
      </c>
      <c r="D39" s="10"/>
      <c r="E39" s="10" t="s">
        <v>105</v>
      </c>
      <c r="F39">
        <v>20</v>
      </c>
      <c r="G39" s="37">
        <v>46</v>
      </c>
      <c r="H39" s="32">
        <v>27</v>
      </c>
      <c r="I39" s="64">
        <f t="shared" si="1"/>
        <v>27</v>
      </c>
      <c r="J39" s="48">
        <v>42343</v>
      </c>
      <c r="K39" s="10" t="s">
        <v>86</v>
      </c>
      <c r="M39" t="s">
        <v>122</v>
      </c>
    </row>
    <row r="40" spans="1:14">
      <c r="A40" s="1"/>
      <c r="B40" s="41">
        <v>30720</v>
      </c>
      <c r="C40" s="10" t="s">
        <v>524</v>
      </c>
      <c r="D40" s="10"/>
      <c r="E40" s="10" t="s">
        <v>81</v>
      </c>
      <c r="F40">
        <v>4</v>
      </c>
      <c r="G40" s="10">
        <v>15</v>
      </c>
      <c r="H40" s="10">
        <v>15</v>
      </c>
      <c r="I40" s="64">
        <f t="shared" si="1"/>
        <v>15</v>
      </c>
      <c r="J40" s="48">
        <v>42378</v>
      </c>
      <c r="K40" s="10" t="s">
        <v>86</v>
      </c>
      <c r="M40" s="10" t="s">
        <v>255</v>
      </c>
    </row>
    <row r="41" spans="1:14">
      <c r="A41" s="1">
        <v>730865001491</v>
      </c>
      <c r="B41" s="41">
        <v>30767</v>
      </c>
      <c r="C41" s="10" t="s">
        <v>525</v>
      </c>
      <c r="D41" s="10"/>
      <c r="E41" s="10" t="s">
        <v>81</v>
      </c>
      <c r="F41">
        <v>45</v>
      </c>
      <c r="G41" s="37">
        <v>32</v>
      </c>
      <c r="H41">
        <v>30</v>
      </c>
      <c r="I41" s="64">
        <f t="shared" si="1"/>
        <v>30</v>
      </c>
      <c r="J41" s="48">
        <v>42169</v>
      </c>
      <c r="K41" s="10" t="s">
        <v>125</v>
      </c>
      <c r="M41" t="s">
        <v>177</v>
      </c>
    </row>
    <row r="42" spans="1:14">
      <c r="A42" s="1">
        <v>13388912155</v>
      </c>
      <c r="B42" s="41">
        <v>31155</v>
      </c>
      <c r="C42" s="10" t="s">
        <v>526</v>
      </c>
      <c r="D42" s="10"/>
      <c r="E42" s="10" t="s">
        <v>105</v>
      </c>
      <c r="F42">
        <v>40</v>
      </c>
      <c r="G42" s="46">
        <v>32</v>
      </c>
      <c r="H42">
        <v>34</v>
      </c>
      <c r="I42" s="64">
        <f t="shared" si="1"/>
        <v>32</v>
      </c>
      <c r="J42" s="48">
        <v>42406</v>
      </c>
      <c r="K42" s="10" t="s">
        <v>86</v>
      </c>
      <c r="M42" s="10" t="s">
        <v>255</v>
      </c>
    </row>
    <row r="43" spans="1:14">
      <c r="A43" s="1">
        <v>662248913872</v>
      </c>
      <c r="B43" s="41">
        <v>31197</v>
      </c>
      <c r="C43" t="s">
        <v>527</v>
      </c>
      <c r="E43" t="s">
        <v>105</v>
      </c>
      <c r="F43">
        <v>25</v>
      </c>
      <c r="G43" s="32">
        <v>35</v>
      </c>
      <c r="H43">
        <v>36</v>
      </c>
      <c r="I43" s="64">
        <f t="shared" si="1"/>
        <v>35</v>
      </c>
      <c r="J43" s="48">
        <v>42441</v>
      </c>
      <c r="K43" t="s">
        <v>86</v>
      </c>
      <c r="M43" t="s">
        <v>213</v>
      </c>
    </row>
    <row r="44" spans="1:14">
      <c r="A44" s="1"/>
      <c r="B44" s="41">
        <v>31430</v>
      </c>
      <c r="C44" s="10" t="s">
        <v>528</v>
      </c>
      <c r="D44" s="10"/>
      <c r="E44" s="10" t="s">
        <v>105</v>
      </c>
      <c r="F44">
        <v>135</v>
      </c>
      <c r="G44" s="46">
        <v>173</v>
      </c>
      <c r="H44" s="46">
        <v>205</v>
      </c>
      <c r="I44" s="64">
        <f t="shared" si="1"/>
        <v>173</v>
      </c>
      <c r="J44" s="48">
        <v>42343</v>
      </c>
      <c r="K44" s="10" t="s">
        <v>86</v>
      </c>
      <c r="M44" t="s">
        <v>213</v>
      </c>
    </row>
    <row r="45" spans="1:14">
      <c r="A45" s="1">
        <v>662248910277</v>
      </c>
      <c r="B45" s="41">
        <v>30510</v>
      </c>
      <c r="C45" t="s">
        <v>529</v>
      </c>
      <c r="E45" s="10" t="s">
        <v>81</v>
      </c>
      <c r="F45">
        <v>40</v>
      </c>
      <c r="G45" s="39">
        <v>18</v>
      </c>
      <c r="H45" s="32">
        <v>7</v>
      </c>
      <c r="I45" s="64">
        <f t="shared" si="1"/>
        <v>7</v>
      </c>
      <c r="J45" s="48">
        <v>42343</v>
      </c>
      <c r="K45" s="10" t="s">
        <v>86</v>
      </c>
      <c r="L45" s="1">
        <v>6</v>
      </c>
      <c r="M45" t="s">
        <v>213</v>
      </c>
    </row>
    <row r="46" spans="1:14">
      <c r="A46" s="1">
        <v>40198002127</v>
      </c>
      <c r="B46" s="41">
        <v>30690</v>
      </c>
      <c r="C46" s="10" t="s">
        <v>530</v>
      </c>
      <c r="D46" s="10"/>
      <c r="E46" s="10" t="s">
        <v>81</v>
      </c>
      <c r="F46">
        <v>50</v>
      </c>
      <c r="G46" s="87">
        <v>26</v>
      </c>
      <c r="H46" s="10">
        <v>10</v>
      </c>
      <c r="I46" s="64">
        <f t="shared" si="1"/>
        <v>10</v>
      </c>
      <c r="J46" s="48">
        <v>42356</v>
      </c>
      <c r="K46" s="10" t="s">
        <v>61</v>
      </c>
      <c r="L46" s="1">
        <v>7</v>
      </c>
      <c r="M46" s="10" t="s">
        <v>136</v>
      </c>
    </row>
    <row r="47" spans="1:14">
      <c r="A47" s="1">
        <v>40198002202</v>
      </c>
      <c r="B47" s="41">
        <v>30873</v>
      </c>
      <c r="C47" s="10" t="s">
        <v>531</v>
      </c>
      <c r="D47" s="10"/>
      <c r="E47" s="10" t="s">
        <v>81</v>
      </c>
      <c r="F47">
        <v>45</v>
      </c>
      <c r="G47">
        <v>35</v>
      </c>
      <c r="I47" s="64">
        <f t="shared" si="1"/>
        <v>35</v>
      </c>
      <c r="J47" s="48">
        <v>41880</v>
      </c>
      <c r="K47" s="10" t="s">
        <v>61</v>
      </c>
      <c r="M47" t="s">
        <v>136</v>
      </c>
    </row>
    <row r="48" spans="1:14">
      <c r="A48" s="1">
        <v>93155126107</v>
      </c>
      <c r="B48" s="41">
        <v>30087</v>
      </c>
      <c r="C48" t="s">
        <v>532</v>
      </c>
      <c r="E48" t="s">
        <v>81</v>
      </c>
      <c r="F48">
        <v>80</v>
      </c>
      <c r="G48" s="39">
        <v>20</v>
      </c>
      <c r="H48">
        <v>20</v>
      </c>
      <c r="I48" s="64">
        <f t="shared" si="1"/>
        <v>20</v>
      </c>
      <c r="J48" s="58">
        <v>42022</v>
      </c>
      <c r="K48" s="10" t="s">
        <v>61</v>
      </c>
      <c r="L48" s="1">
        <v>10</v>
      </c>
      <c r="M48" t="s">
        <v>533</v>
      </c>
    </row>
    <row r="49" spans="1:14">
      <c r="A49" s="1">
        <v>72267411009</v>
      </c>
      <c r="B49" s="41">
        <v>30161</v>
      </c>
      <c r="C49" s="10" t="s">
        <v>534</v>
      </c>
      <c r="D49" s="10"/>
      <c r="E49" s="10" t="s">
        <v>81</v>
      </c>
      <c r="F49">
        <v>7.5</v>
      </c>
      <c r="G49">
        <v>25</v>
      </c>
      <c r="H49">
        <v>25</v>
      </c>
      <c r="I49" s="64">
        <f t="shared" si="1"/>
        <v>25</v>
      </c>
      <c r="J49" s="48">
        <v>42351</v>
      </c>
      <c r="K49" s="10" t="s">
        <v>86</v>
      </c>
      <c r="M49" t="s">
        <v>240</v>
      </c>
    </row>
    <row r="50" spans="1:14">
      <c r="A50" s="1">
        <v>813633013886</v>
      </c>
      <c r="B50" s="41">
        <v>31423</v>
      </c>
      <c r="C50" s="10" t="s">
        <v>535</v>
      </c>
      <c r="D50" s="10"/>
      <c r="E50" s="10" t="s">
        <v>105</v>
      </c>
      <c r="F50">
        <v>50</v>
      </c>
      <c r="G50" s="39">
        <v>99</v>
      </c>
      <c r="H50">
        <v>70</v>
      </c>
      <c r="I50" s="64">
        <f t="shared" si="1"/>
        <v>70</v>
      </c>
      <c r="J50" s="48">
        <v>42421</v>
      </c>
      <c r="K50" s="10" t="s">
        <v>86</v>
      </c>
      <c r="M50" s="10" t="s">
        <v>244</v>
      </c>
    </row>
    <row r="51" spans="1:14">
      <c r="A51" s="1"/>
      <c r="B51" s="41">
        <v>31423</v>
      </c>
      <c r="C51" s="10" t="s">
        <v>536</v>
      </c>
      <c r="D51" s="10"/>
      <c r="E51" s="10" t="s">
        <v>105</v>
      </c>
      <c r="F51">
        <v>75</v>
      </c>
      <c r="G51" s="37">
        <v>120</v>
      </c>
      <c r="H51" s="39">
        <v>155</v>
      </c>
      <c r="I51" s="64">
        <f t="shared" si="1"/>
        <v>120</v>
      </c>
      <c r="J51" s="48">
        <v>42421</v>
      </c>
      <c r="K51" s="10" t="s">
        <v>86</v>
      </c>
      <c r="M51" s="10" t="s">
        <v>244</v>
      </c>
    </row>
    <row r="52" spans="1:14">
      <c r="A52" s="1">
        <v>93155126701</v>
      </c>
      <c r="B52" s="41">
        <v>30185</v>
      </c>
      <c r="C52" t="s">
        <v>537</v>
      </c>
      <c r="E52" t="s">
        <v>81</v>
      </c>
      <c r="F52">
        <v>40</v>
      </c>
      <c r="G52" s="39">
        <v>9</v>
      </c>
      <c r="H52" s="32">
        <v>8</v>
      </c>
      <c r="I52" s="64">
        <f t="shared" si="1"/>
        <v>8</v>
      </c>
      <c r="J52" s="58">
        <v>42022</v>
      </c>
      <c r="K52" t="s">
        <v>61</v>
      </c>
      <c r="L52" s="1">
        <v>10</v>
      </c>
      <c r="M52" t="s">
        <v>533</v>
      </c>
      <c r="N52" s="10" t="s">
        <v>538</v>
      </c>
    </row>
    <row r="53" spans="1:14">
      <c r="A53" s="1">
        <v>93155125957</v>
      </c>
      <c r="B53" s="41">
        <v>30889</v>
      </c>
      <c r="C53" s="10" t="s">
        <v>539</v>
      </c>
      <c r="D53" s="10"/>
      <c r="E53" s="10" t="s">
        <v>81</v>
      </c>
      <c r="F53">
        <v>50</v>
      </c>
      <c r="G53" s="10" t="s">
        <v>89</v>
      </c>
      <c r="H53">
        <v>50</v>
      </c>
      <c r="I53" s="64">
        <f t="shared" si="1"/>
        <v>50</v>
      </c>
      <c r="J53" s="48">
        <v>42173</v>
      </c>
      <c r="K53" s="10" t="s">
        <v>61</v>
      </c>
      <c r="M53" s="10" t="s">
        <v>533</v>
      </c>
    </row>
    <row r="54" spans="1:14">
      <c r="A54" s="1">
        <v>14633357257</v>
      </c>
      <c r="B54" s="41">
        <v>30285</v>
      </c>
      <c r="C54" s="10" t="s">
        <v>540</v>
      </c>
      <c r="D54" s="10"/>
      <c r="E54" s="10" t="s">
        <v>81</v>
      </c>
      <c r="F54">
        <v>4</v>
      </c>
      <c r="G54" s="10">
        <v>14</v>
      </c>
      <c r="H54" s="32">
        <v>19</v>
      </c>
      <c r="I54" s="64">
        <f t="shared" si="1"/>
        <v>14</v>
      </c>
      <c r="J54" s="58">
        <v>42378</v>
      </c>
      <c r="K54" s="10" t="s">
        <v>86</v>
      </c>
      <c r="M54" s="10" t="s">
        <v>122</v>
      </c>
      <c r="N54" s="10" t="s">
        <v>256</v>
      </c>
    </row>
    <row r="55" spans="1:14">
      <c r="A55" s="1">
        <v>62248910017</v>
      </c>
      <c r="B55" s="41">
        <v>30416</v>
      </c>
      <c r="C55" s="10" t="s">
        <v>541</v>
      </c>
      <c r="D55" s="10"/>
      <c r="E55" s="10" t="s">
        <v>81</v>
      </c>
      <c r="F55">
        <v>60</v>
      </c>
      <c r="G55" s="37">
        <v>15</v>
      </c>
      <c r="H55" s="32">
        <v>14</v>
      </c>
      <c r="I55" s="64">
        <f t="shared" si="1"/>
        <v>14</v>
      </c>
      <c r="J55" s="58">
        <v>42022</v>
      </c>
      <c r="K55" s="10" t="s">
        <v>61</v>
      </c>
      <c r="L55" s="1">
        <v>8</v>
      </c>
      <c r="M55" t="s">
        <v>213</v>
      </c>
    </row>
    <row r="56" spans="1:14">
      <c r="A56" s="1">
        <v>6224891182</v>
      </c>
      <c r="B56" s="41">
        <v>30776</v>
      </c>
      <c r="C56" s="10" t="s">
        <v>542</v>
      </c>
      <c r="D56" s="10"/>
      <c r="E56" s="10" t="s">
        <v>81</v>
      </c>
      <c r="F56">
        <v>60</v>
      </c>
      <c r="G56">
        <v>25</v>
      </c>
      <c r="I56" s="64">
        <f t="shared" si="1"/>
        <v>25</v>
      </c>
      <c r="J56" s="48">
        <v>41880</v>
      </c>
      <c r="K56" s="10" t="s">
        <v>125</v>
      </c>
      <c r="M56" t="s">
        <v>213</v>
      </c>
      <c r="N56" s="10" t="s">
        <v>543</v>
      </c>
    </row>
    <row r="57" spans="1:14">
      <c r="A57" s="1">
        <v>62248913049</v>
      </c>
      <c r="B57" s="41">
        <v>31164</v>
      </c>
      <c r="C57" s="10" t="s">
        <v>544</v>
      </c>
      <c r="D57" s="10"/>
      <c r="E57" s="10" t="s">
        <v>105</v>
      </c>
      <c r="F57">
        <v>28</v>
      </c>
      <c r="G57">
        <v>32</v>
      </c>
      <c r="I57" s="64">
        <f t="shared" si="1"/>
        <v>32</v>
      </c>
      <c r="J57" s="48">
        <v>42019</v>
      </c>
      <c r="K57" s="10" t="s">
        <v>96</v>
      </c>
      <c r="M57" t="s">
        <v>213</v>
      </c>
    </row>
    <row r="58" spans="1:14">
      <c r="A58" s="1">
        <v>662248912271</v>
      </c>
      <c r="B58" s="41">
        <v>31211</v>
      </c>
      <c r="C58" s="10" t="s">
        <v>545</v>
      </c>
      <c r="D58" s="10"/>
      <c r="E58" s="10" t="s">
        <v>81</v>
      </c>
      <c r="F58">
        <v>17</v>
      </c>
      <c r="G58">
        <v>33</v>
      </c>
      <c r="I58" s="64">
        <f t="shared" si="1"/>
        <v>33</v>
      </c>
      <c r="J58" s="48">
        <v>42009</v>
      </c>
      <c r="K58" s="10" t="s">
        <v>125</v>
      </c>
      <c r="M58" t="s">
        <v>213</v>
      </c>
    </row>
    <row r="59" spans="1:14">
      <c r="A59" s="1"/>
      <c r="B59" s="41">
        <v>31211</v>
      </c>
      <c r="C59" s="10" t="s">
        <v>546</v>
      </c>
      <c r="D59" s="10"/>
      <c r="E59" s="10" t="s">
        <v>81</v>
      </c>
      <c r="F59">
        <v>4</v>
      </c>
      <c r="G59" s="87">
        <v>38</v>
      </c>
      <c r="H59" s="10" t="s">
        <v>89</v>
      </c>
      <c r="I59" s="64">
        <f t="shared" si="1"/>
        <v>38</v>
      </c>
      <c r="J59" s="48">
        <v>42378</v>
      </c>
      <c r="K59" s="10" t="s">
        <v>184</v>
      </c>
      <c r="M59" t="s">
        <v>213</v>
      </c>
    </row>
    <row r="60" spans="1:14">
      <c r="A60" s="1">
        <v>711719814726</v>
      </c>
      <c r="B60" s="41">
        <v>98147</v>
      </c>
      <c r="C60" s="10" t="s">
        <v>547</v>
      </c>
      <c r="D60" s="10"/>
      <c r="E60" s="10" t="s">
        <v>81</v>
      </c>
      <c r="F60">
        <v>7.5</v>
      </c>
      <c r="G60" s="10">
        <v>28</v>
      </c>
      <c r="H60">
        <v>30</v>
      </c>
      <c r="I60" s="64">
        <f t="shared" si="1"/>
        <v>28</v>
      </c>
      <c r="J60" s="48">
        <v>42351</v>
      </c>
      <c r="K60" s="10" t="s">
        <v>96</v>
      </c>
      <c r="M60" t="s">
        <v>82</v>
      </c>
    </row>
    <row r="61" spans="1:14">
      <c r="A61" s="1">
        <v>662248909134</v>
      </c>
      <c r="B61" s="41">
        <v>30395</v>
      </c>
      <c r="C61" s="10" t="s">
        <v>548</v>
      </c>
      <c r="D61" s="10"/>
      <c r="E61" s="10" t="s">
        <v>105</v>
      </c>
      <c r="F61">
        <v>25</v>
      </c>
      <c r="G61" s="32">
        <v>25</v>
      </c>
      <c r="H61" s="32">
        <v>16</v>
      </c>
      <c r="I61" s="64">
        <f t="shared" si="1"/>
        <v>16</v>
      </c>
      <c r="J61" s="58">
        <v>42022</v>
      </c>
      <c r="K61" s="10" t="s">
        <v>86</v>
      </c>
      <c r="M61" t="s">
        <v>213</v>
      </c>
    </row>
    <row r="62" spans="1:14">
      <c r="A62" s="1">
        <v>730865001450</v>
      </c>
      <c r="B62" s="41">
        <v>30939</v>
      </c>
      <c r="C62" s="10" t="s">
        <v>549</v>
      </c>
      <c r="D62" s="10"/>
      <c r="E62" s="10" t="s">
        <v>105</v>
      </c>
      <c r="F62">
        <v>20</v>
      </c>
      <c r="G62" s="37">
        <v>32</v>
      </c>
      <c r="H62">
        <v>40</v>
      </c>
      <c r="I62" s="64">
        <f t="shared" si="1"/>
        <v>32</v>
      </c>
      <c r="J62" s="48">
        <v>42441</v>
      </c>
      <c r="K62" s="10" t="s">
        <v>86</v>
      </c>
      <c r="M62" s="10" t="s">
        <v>177</v>
      </c>
    </row>
    <row r="63" spans="1:14">
      <c r="A63" s="1">
        <v>711719811121</v>
      </c>
      <c r="B63" s="41">
        <v>98111</v>
      </c>
      <c r="C63" t="s">
        <v>550</v>
      </c>
      <c r="E63" t="s">
        <v>81</v>
      </c>
      <c r="F63">
        <v>20</v>
      </c>
      <c r="G63" s="39">
        <v>15</v>
      </c>
      <c r="H63" s="32">
        <v>10</v>
      </c>
      <c r="I63" s="64">
        <f t="shared" si="1"/>
        <v>10</v>
      </c>
      <c r="J63" s="58">
        <v>42022</v>
      </c>
      <c r="K63" t="s">
        <v>125</v>
      </c>
      <c r="M63" t="s">
        <v>82</v>
      </c>
      <c r="N63" s="10"/>
    </row>
    <row r="64" spans="1:14">
      <c r="A64" s="1">
        <v>711719822929</v>
      </c>
      <c r="B64" s="41">
        <v>98229</v>
      </c>
      <c r="C64" s="10" t="s">
        <v>551</v>
      </c>
      <c r="D64" s="10"/>
      <c r="E64" s="10" t="s">
        <v>81</v>
      </c>
      <c r="F64">
        <v>30</v>
      </c>
      <c r="G64" s="39">
        <v>14</v>
      </c>
      <c r="H64">
        <v>10</v>
      </c>
      <c r="I64" s="64">
        <f t="shared" si="1"/>
        <v>10</v>
      </c>
      <c r="J64" s="48">
        <v>42022</v>
      </c>
      <c r="K64" s="10" t="s">
        <v>125</v>
      </c>
      <c r="L64" s="1">
        <v>8</v>
      </c>
      <c r="M64" s="10" t="s">
        <v>82</v>
      </c>
      <c r="N64" s="10" t="s">
        <v>552</v>
      </c>
    </row>
    <row r="65" spans="1:14">
      <c r="A65" s="1">
        <v>711719828921</v>
      </c>
      <c r="B65" s="41">
        <v>98289</v>
      </c>
      <c r="C65" s="10" t="s">
        <v>553</v>
      </c>
      <c r="D65" s="10"/>
      <c r="E65" s="10" t="s">
        <v>105</v>
      </c>
      <c r="F65">
        <v>23</v>
      </c>
      <c r="G65" s="37">
        <v>16</v>
      </c>
      <c r="H65">
        <v>16</v>
      </c>
      <c r="I65" s="64">
        <f t="shared" si="1"/>
        <v>16</v>
      </c>
      <c r="J65" s="58">
        <v>42022</v>
      </c>
      <c r="K65" s="10" t="s">
        <v>86</v>
      </c>
      <c r="M65" s="10" t="s">
        <v>82</v>
      </c>
      <c r="N65" s="10"/>
    </row>
    <row r="66" spans="1:14">
      <c r="A66" s="1"/>
      <c r="B66" s="41">
        <v>98114</v>
      </c>
      <c r="C66" t="s">
        <v>554</v>
      </c>
      <c r="E66" t="s">
        <v>81</v>
      </c>
      <c r="F66">
        <v>4</v>
      </c>
      <c r="G66" s="32">
        <v>14</v>
      </c>
      <c r="H66" s="32">
        <v>8</v>
      </c>
      <c r="I66" s="64">
        <f t="shared" ref="I66:I98" si="2">MIN(G66:H66)</f>
        <v>8</v>
      </c>
      <c r="J66" s="58">
        <v>42378</v>
      </c>
      <c r="K66" s="10" t="s">
        <v>86</v>
      </c>
      <c r="M66" t="s">
        <v>82</v>
      </c>
      <c r="N66" s="10"/>
    </row>
    <row r="67" spans="1:14">
      <c r="A67" s="1">
        <v>710425372339</v>
      </c>
      <c r="B67" s="41">
        <v>30127</v>
      </c>
      <c r="C67" t="s">
        <v>555</v>
      </c>
      <c r="E67" t="s">
        <v>81</v>
      </c>
      <c r="F67">
        <v>60</v>
      </c>
      <c r="G67" s="39">
        <v>10</v>
      </c>
      <c r="H67">
        <v>10</v>
      </c>
      <c r="I67" s="64">
        <f t="shared" si="2"/>
        <v>10</v>
      </c>
      <c r="J67" s="58">
        <v>42022</v>
      </c>
      <c r="K67" t="s">
        <v>125</v>
      </c>
      <c r="L67" s="1">
        <v>9</v>
      </c>
      <c r="M67" t="s">
        <v>218</v>
      </c>
    </row>
    <row r="68" spans="1:14">
      <c r="A68" s="1">
        <v>710425471278</v>
      </c>
      <c r="B68" s="41">
        <v>31156</v>
      </c>
      <c r="C68" s="10" t="s">
        <v>556</v>
      </c>
      <c r="D68" s="10"/>
      <c r="E68" s="10" t="s">
        <v>81</v>
      </c>
      <c r="F68">
        <v>4</v>
      </c>
      <c r="G68">
        <v>35</v>
      </c>
      <c r="H68">
        <v>27</v>
      </c>
      <c r="I68" s="64">
        <f t="shared" si="2"/>
        <v>27</v>
      </c>
      <c r="J68" s="48">
        <v>42378</v>
      </c>
      <c r="K68" s="10" t="s">
        <v>86</v>
      </c>
      <c r="M68" s="10" t="s">
        <v>218</v>
      </c>
    </row>
    <row r="69" spans="1:14">
      <c r="A69" s="1">
        <v>893610001846</v>
      </c>
      <c r="B69" s="41">
        <v>31422</v>
      </c>
      <c r="C69" s="10" t="s">
        <v>557</v>
      </c>
      <c r="D69" s="10"/>
      <c r="E69" s="10" t="s">
        <v>105</v>
      </c>
      <c r="F69">
        <v>35</v>
      </c>
      <c r="G69" s="37">
        <v>70</v>
      </c>
      <c r="H69" s="32">
        <v>45</v>
      </c>
      <c r="I69" s="64">
        <f t="shared" si="2"/>
        <v>45</v>
      </c>
      <c r="J69" s="48">
        <v>42421</v>
      </c>
      <c r="K69" s="10" t="s">
        <v>86</v>
      </c>
      <c r="M69" s="10" t="s">
        <v>558</v>
      </c>
    </row>
    <row r="70" spans="1:14">
      <c r="A70" s="1">
        <v>711719813224</v>
      </c>
      <c r="B70" s="41">
        <v>98132</v>
      </c>
      <c r="C70" s="10" t="s">
        <v>559</v>
      </c>
      <c r="D70" s="10"/>
      <c r="E70" s="10" t="s">
        <v>81</v>
      </c>
      <c r="F70">
        <v>4</v>
      </c>
      <c r="G70" s="32">
        <v>20</v>
      </c>
      <c r="H70" s="32">
        <v>15</v>
      </c>
      <c r="I70" s="64">
        <f t="shared" si="2"/>
        <v>15</v>
      </c>
      <c r="J70" s="58">
        <v>42378</v>
      </c>
      <c r="K70" s="10" t="s">
        <v>86</v>
      </c>
      <c r="M70" s="10" t="s">
        <v>82</v>
      </c>
    </row>
    <row r="71" spans="1:14">
      <c r="A71" s="1">
        <v>711719816423</v>
      </c>
      <c r="B71" s="41">
        <v>98164</v>
      </c>
      <c r="C71" s="10" t="s">
        <v>560</v>
      </c>
      <c r="D71" s="10"/>
      <c r="E71" s="10" t="s">
        <v>81</v>
      </c>
      <c r="F71">
        <v>4</v>
      </c>
      <c r="G71" s="32">
        <v>19</v>
      </c>
      <c r="H71" s="32">
        <v>19</v>
      </c>
      <c r="I71" s="64">
        <f t="shared" si="2"/>
        <v>19</v>
      </c>
      <c r="J71" s="58">
        <v>42378</v>
      </c>
      <c r="K71" s="10" t="s">
        <v>86</v>
      </c>
      <c r="M71" s="10" t="s">
        <v>82</v>
      </c>
    </row>
    <row r="72" spans="1:14">
      <c r="A72" s="1">
        <v>813633011585</v>
      </c>
      <c r="B72" s="41">
        <v>30901</v>
      </c>
      <c r="C72" s="10" t="s">
        <v>561</v>
      </c>
      <c r="D72" s="10"/>
      <c r="E72" s="10" t="s">
        <v>105</v>
      </c>
      <c r="F72">
        <v>30</v>
      </c>
      <c r="G72">
        <v>45</v>
      </c>
      <c r="I72" s="64">
        <f t="shared" si="2"/>
        <v>45</v>
      </c>
      <c r="J72" s="48">
        <v>41880</v>
      </c>
      <c r="K72" s="10" t="s">
        <v>86</v>
      </c>
      <c r="M72" s="10" t="s">
        <v>244</v>
      </c>
    </row>
    <row r="73" spans="1:14">
      <c r="A73" s="1">
        <v>813633011158</v>
      </c>
      <c r="B73" s="41">
        <v>30701</v>
      </c>
      <c r="C73" s="10" t="s">
        <v>562</v>
      </c>
      <c r="D73" s="10"/>
      <c r="E73" s="10" t="s">
        <v>105</v>
      </c>
      <c r="F73">
        <v>46</v>
      </c>
      <c r="G73" s="39">
        <v>67</v>
      </c>
      <c r="H73" s="10">
        <v>34</v>
      </c>
      <c r="I73" s="64">
        <f t="shared" si="2"/>
        <v>34</v>
      </c>
      <c r="J73" s="48">
        <v>42356</v>
      </c>
      <c r="K73" s="10" t="s">
        <v>86</v>
      </c>
      <c r="M73" s="10" t="s">
        <v>244</v>
      </c>
    </row>
    <row r="74" spans="1:14">
      <c r="A74" s="1">
        <v>813633012650</v>
      </c>
      <c r="B74" s="41">
        <v>31150</v>
      </c>
      <c r="C74" s="10" t="s">
        <v>563</v>
      </c>
      <c r="D74" s="10"/>
      <c r="E74" s="10" t="s">
        <v>105</v>
      </c>
      <c r="F74">
        <v>50</v>
      </c>
      <c r="G74" s="46">
        <v>48</v>
      </c>
      <c r="H74">
        <v>43</v>
      </c>
      <c r="I74" s="64">
        <f t="shared" si="2"/>
        <v>43</v>
      </c>
      <c r="J74" s="48">
        <v>42406</v>
      </c>
      <c r="K74" s="10" t="s">
        <v>86</v>
      </c>
      <c r="M74" s="10" t="s">
        <v>244</v>
      </c>
    </row>
    <row r="75" spans="1:14">
      <c r="A75" s="1">
        <v>711719825920</v>
      </c>
      <c r="B75" s="41">
        <v>98259</v>
      </c>
      <c r="C75" s="10" t="s">
        <v>564</v>
      </c>
      <c r="D75" s="10"/>
      <c r="E75" s="10" t="s">
        <v>81</v>
      </c>
      <c r="F75">
        <v>17</v>
      </c>
      <c r="G75" s="37">
        <v>23</v>
      </c>
      <c r="H75">
        <v>24</v>
      </c>
      <c r="I75" s="64">
        <f t="shared" si="2"/>
        <v>23</v>
      </c>
      <c r="J75" s="48">
        <v>42022</v>
      </c>
      <c r="K75" s="10" t="s">
        <v>86</v>
      </c>
      <c r="M75" s="10" t="s">
        <v>82</v>
      </c>
      <c r="N75" s="10"/>
    </row>
    <row r="76" spans="1:14">
      <c r="A76" s="1">
        <v>711719991106</v>
      </c>
      <c r="B76" s="41">
        <v>99110</v>
      </c>
      <c r="C76" s="10" t="s">
        <v>565</v>
      </c>
      <c r="D76" s="10"/>
      <c r="E76" s="10" t="s">
        <v>105</v>
      </c>
      <c r="F76">
        <v>23</v>
      </c>
      <c r="G76" s="32">
        <v>24</v>
      </c>
      <c r="H76">
        <v>24</v>
      </c>
      <c r="I76" s="64">
        <f t="shared" si="2"/>
        <v>24</v>
      </c>
      <c r="J76" s="58">
        <v>42134</v>
      </c>
      <c r="K76" s="10" t="s">
        <v>86</v>
      </c>
      <c r="M76" s="10" t="s">
        <v>82</v>
      </c>
      <c r="N76" s="10"/>
    </row>
    <row r="77" spans="1:14">
      <c r="A77" s="1">
        <v>883929331246</v>
      </c>
      <c r="B77" s="41">
        <v>31364</v>
      </c>
      <c r="C77" s="10" t="s">
        <v>566</v>
      </c>
      <c r="D77" s="10"/>
      <c r="E77" s="10" t="s">
        <v>105</v>
      </c>
      <c r="F77">
        <v>23</v>
      </c>
      <c r="G77">
        <v>35</v>
      </c>
      <c r="H77">
        <v>20</v>
      </c>
      <c r="I77" s="64">
        <f t="shared" si="2"/>
        <v>20</v>
      </c>
      <c r="J77" s="48">
        <v>42134</v>
      </c>
      <c r="K77" s="10" t="s">
        <v>86</v>
      </c>
      <c r="M77" s="10" t="s">
        <v>185</v>
      </c>
    </row>
    <row r="78" spans="1:14">
      <c r="A78" s="1">
        <v>711719982814</v>
      </c>
      <c r="B78" s="41">
        <v>98281</v>
      </c>
      <c r="C78" s="10" t="s">
        <v>567</v>
      </c>
      <c r="D78" s="10"/>
      <c r="E78" s="10" t="s">
        <v>105</v>
      </c>
      <c r="F78">
        <v>23</v>
      </c>
      <c r="G78" s="39">
        <v>37</v>
      </c>
      <c r="H78">
        <v>26</v>
      </c>
      <c r="I78" s="64">
        <f t="shared" si="2"/>
        <v>26</v>
      </c>
      <c r="J78" s="48">
        <v>42022</v>
      </c>
      <c r="K78" s="10" t="s">
        <v>86</v>
      </c>
      <c r="M78" s="10" t="s">
        <v>82</v>
      </c>
      <c r="N78" s="10"/>
    </row>
    <row r="79" spans="1:14">
      <c r="A79" s="1">
        <v>722674110242</v>
      </c>
      <c r="B79" s="41">
        <v>30336</v>
      </c>
      <c r="C79" s="10" t="s">
        <v>568</v>
      </c>
      <c r="D79" s="10"/>
      <c r="E79" s="10" t="s">
        <v>105</v>
      </c>
      <c r="F79">
        <v>10</v>
      </c>
      <c r="G79" s="39">
        <v>26</v>
      </c>
      <c r="H79" s="32">
        <v>27</v>
      </c>
      <c r="I79" s="64">
        <f t="shared" si="2"/>
        <v>26</v>
      </c>
      <c r="J79" s="58">
        <v>42022</v>
      </c>
      <c r="K79" s="10" t="s">
        <v>86</v>
      </c>
      <c r="M79" s="10" t="s">
        <v>240</v>
      </c>
    </row>
    <row r="80" spans="1:14">
      <c r="A80" s="1">
        <v>62248913322</v>
      </c>
      <c r="B80" s="41">
        <v>31212</v>
      </c>
      <c r="C80" s="10" t="s">
        <v>569</v>
      </c>
      <c r="D80" s="10"/>
      <c r="E80" s="10" t="s">
        <v>105</v>
      </c>
      <c r="F80">
        <v>45</v>
      </c>
      <c r="G80" s="37">
        <v>35</v>
      </c>
      <c r="H80" s="10" t="s">
        <v>89</v>
      </c>
      <c r="I80" s="64">
        <f t="shared" si="2"/>
        <v>35</v>
      </c>
      <c r="J80" s="48">
        <v>42421</v>
      </c>
      <c r="K80" s="10" t="s">
        <v>86</v>
      </c>
      <c r="M80" t="s">
        <v>213</v>
      </c>
    </row>
    <row r="81" spans="1:14">
      <c r="A81" s="1">
        <v>62248915227</v>
      </c>
      <c r="B81" s="41">
        <v>31484</v>
      </c>
      <c r="C81" s="10" t="s">
        <v>570</v>
      </c>
      <c r="D81" s="10"/>
      <c r="E81" s="10" t="s">
        <v>105</v>
      </c>
      <c r="F81">
        <v>160</v>
      </c>
      <c r="G81" s="39">
        <v>780</v>
      </c>
      <c r="H81" s="37">
        <v>305</v>
      </c>
      <c r="I81" s="64">
        <f t="shared" si="2"/>
        <v>305</v>
      </c>
      <c r="J81" s="48">
        <v>42343</v>
      </c>
      <c r="K81" s="10" t="s">
        <v>86</v>
      </c>
      <c r="M81" t="s">
        <v>213</v>
      </c>
    </row>
    <row r="82" spans="1:14">
      <c r="A82" s="1">
        <v>14633365603</v>
      </c>
      <c r="B82" s="41">
        <v>30710</v>
      </c>
      <c r="C82" s="10" t="s">
        <v>571</v>
      </c>
      <c r="D82" s="10"/>
      <c r="E82" s="10" t="s">
        <v>105</v>
      </c>
      <c r="F82">
        <v>23</v>
      </c>
      <c r="G82" s="37">
        <v>20</v>
      </c>
      <c r="H82" s="10" t="s">
        <v>89</v>
      </c>
      <c r="I82" s="64">
        <f t="shared" si="2"/>
        <v>20</v>
      </c>
      <c r="J82" s="48">
        <v>42356</v>
      </c>
      <c r="K82" s="10" t="s">
        <v>86</v>
      </c>
      <c r="M82" s="10" t="s">
        <v>122</v>
      </c>
    </row>
    <row r="83" spans="1:14">
      <c r="A83" s="1">
        <v>883929259410</v>
      </c>
      <c r="B83" s="41">
        <v>30837</v>
      </c>
      <c r="C83" s="10" t="s">
        <v>572</v>
      </c>
      <c r="D83" s="10"/>
      <c r="E83" s="10" t="s">
        <v>81</v>
      </c>
      <c r="F83">
        <v>30</v>
      </c>
      <c r="G83">
        <v>25</v>
      </c>
      <c r="I83" s="64">
        <f t="shared" si="2"/>
        <v>25</v>
      </c>
      <c r="J83" s="58">
        <v>41880</v>
      </c>
      <c r="K83" s="10" t="s">
        <v>61</v>
      </c>
      <c r="M83" t="s">
        <v>185</v>
      </c>
    </row>
    <row r="84" spans="1:14">
      <c r="A84" s="1">
        <v>883929427307</v>
      </c>
      <c r="B84" s="41">
        <v>31434</v>
      </c>
      <c r="C84" s="10" t="s">
        <v>573</v>
      </c>
      <c r="D84" s="10"/>
      <c r="E84" s="10" t="s">
        <v>105</v>
      </c>
      <c r="F84">
        <v>35</v>
      </c>
      <c r="G84" s="10">
        <v>32</v>
      </c>
      <c r="H84" s="10">
        <v>30</v>
      </c>
      <c r="I84" s="64">
        <f t="shared" si="2"/>
        <v>30</v>
      </c>
      <c r="J84" s="48">
        <v>42193</v>
      </c>
      <c r="K84" s="10" t="s">
        <v>61</v>
      </c>
      <c r="M84" s="10" t="s">
        <v>185</v>
      </c>
    </row>
    <row r="85" spans="1:14">
      <c r="A85" s="1">
        <v>883929024353</v>
      </c>
      <c r="B85" s="41">
        <v>30175</v>
      </c>
      <c r="C85" t="s">
        <v>574</v>
      </c>
      <c r="E85" s="10" t="s">
        <v>81</v>
      </c>
      <c r="F85">
        <v>10</v>
      </c>
      <c r="G85" s="39">
        <v>24</v>
      </c>
      <c r="H85" s="32">
        <v>20</v>
      </c>
      <c r="I85" s="64">
        <f t="shared" si="2"/>
        <v>20</v>
      </c>
      <c r="J85" s="58">
        <v>42022</v>
      </c>
      <c r="K85" s="10" t="s">
        <v>184</v>
      </c>
      <c r="M85" t="s">
        <v>185</v>
      </c>
    </row>
    <row r="86" spans="1:14">
      <c r="A86" s="1">
        <v>883929119523</v>
      </c>
      <c r="B86" s="41">
        <v>30437</v>
      </c>
      <c r="C86" s="10" t="s">
        <v>575</v>
      </c>
      <c r="D86" s="10"/>
      <c r="E86" s="10" t="s">
        <v>81</v>
      </c>
      <c r="F86">
        <v>15</v>
      </c>
      <c r="G86" s="39">
        <v>22</v>
      </c>
      <c r="H86" s="32">
        <v>28</v>
      </c>
      <c r="I86" s="64">
        <f t="shared" si="2"/>
        <v>22</v>
      </c>
      <c r="J86" s="48">
        <v>42162</v>
      </c>
      <c r="K86" s="10" t="s">
        <v>61</v>
      </c>
      <c r="L86" s="1">
        <v>6</v>
      </c>
      <c r="M86" s="10" t="s">
        <v>185</v>
      </c>
    </row>
    <row r="87" spans="1:14">
      <c r="A87" s="1">
        <v>883929226634</v>
      </c>
      <c r="B87" s="41">
        <v>30794</v>
      </c>
      <c r="C87" s="10" t="s">
        <v>576</v>
      </c>
      <c r="D87" s="10"/>
      <c r="E87" s="10" t="s">
        <v>81</v>
      </c>
      <c r="F87">
        <v>20</v>
      </c>
      <c r="G87" s="39">
        <v>26</v>
      </c>
      <c r="H87">
        <v>20</v>
      </c>
      <c r="I87" s="64">
        <f t="shared" si="2"/>
        <v>20</v>
      </c>
      <c r="J87" s="48">
        <v>42169</v>
      </c>
      <c r="K87" s="10" t="s">
        <v>61</v>
      </c>
      <c r="M87" t="s">
        <v>185</v>
      </c>
    </row>
    <row r="88" spans="1:14">
      <c r="A88" s="1">
        <v>23272339340</v>
      </c>
      <c r="B88" s="41">
        <v>30425</v>
      </c>
      <c r="C88" s="10" t="s">
        <v>577</v>
      </c>
      <c r="D88" s="10"/>
      <c r="E88" s="10" t="s">
        <v>81</v>
      </c>
      <c r="F88">
        <v>20</v>
      </c>
      <c r="G88" s="39">
        <v>18</v>
      </c>
      <c r="H88" s="32">
        <v>26</v>
      </c>
      <c r="I88" s="64">
        <f t="shared" si="2"/>
        <v>18</v>
      </c>
      <c r="J88" s="58">
        <v>42022</v>
      </c>
      <c r="K88" s="10" t="s">
        <v>61</v>
      </c>
      <c r="L88" s="1">
        <v>6</v>
      </c>
      <c r="M88" s="10" t="s">
        <v>578</v>
      </c>
    </row>
    <row r="89" spans="1:14">
      <c r="A89" s="1">
        <v>883929287819</v>
      </c>
      <c r="B89" s="41">
        <v>30963</v>
      </c>
      <c r="C89" s="10" t="s">
        <v>579</v>
      </c>
      <c r="D89" s="10"/>
      <c r="E89" s="10" t="s">
        <v>81</v>
      </c>
      <c r="F89">
        <v>25</v>
      </c>
      <c r="G89">
        <v>25</v>
      </c>
      <c r="I89" s="64">
        <f t="shared" si="2"/>
        <v>25</v>
      </c>
      <c r="J89" s="48">
        <v>41903</v>
      </c>
      <c r="K89" s="10" t="s">
        <v>61</v>
      </c>
      <c r="M89" s="10" t="s">
        <v>185</v>
      </c>
    </row>
    <row r="90" spans="1:14">
      <c r="A90" s="1">
        <v>883929385874</v>
      </c>
      <c r="B90" s="41">
        <v>31161</v>
      </c>
      <c r="C90" s="10" t="s">
        <v>580</v>
      </c>
      <c r="D90" s="10"/>
      <c r="E90" s="10" t="s">
        <v>81</v>
      </c>
      <c r="F90">
        <v>0</v>
      </c>
      <c r="G90">
        <v>17</v>
      </c>
      <c r="H90" s="10" t="s">
        <v>89</v>
      </c>
      <c r="I90" s="64">
        <f t="shared" si="2"/>
        <v>17</v>
      </c>
      <c r="J90" s="48">
        <v>42441</v>
      </c>
      <c r="K90" s="10" t="s">
        <v>61</v>
      </c>
      <c r="M90" s="10" t="s">
        <v>185</v>
      </c>
    </row>
    <row r="91" spans="1:14">
      <c r="A91" s="1">
        <v>712725021283</v>
      </c>
      <c r="B91" s="41">
        <v>30744</v>
      </c>
      <c r="C91" s="10" t="s">
        <v>581</v>
      </c>
      <c r="D91" s="10"/>
      <c r="E91" s="10" t="s">
        <v>81</v>
      </c>
      <c r="F91">
        <v>20</v>
      </c>
      <c r="G91" s="37">
        <v>23</v>
      </c>
      <c r="H91">
        <v>15</v>
      </c>
      <c r="I91" s="64">
        <f t="shared" si="2"/>
        <v>15</v>
      </c>
      <c r="J91" s="48">
        <v>42356</v>
      </c>
      <c r="K91" s="10" t="s">
        <v>61</v>
      </c>
      <c r="L91" s="14">
        <v>7</v>
      </c>
      <c r="M91" t="s">
        <v>582</v>
      </c>
    </row>
    <row r="92" spans="1:14">
      <c r="A92" s="1">
        <v>88392907994</v>
      </c>
      <c r="B92" s="41">
        <v>30382</v>
      </c>
      <c r="C92" t="s">
        <v>583</v>
      </c>
      <c r="E92" t="s">
        <v>81</v>
      </c>
      <c r="F92">
        <v>0</v>
      </c>
      <c r="G92" s="37"/>
      <c r="I92" s="6"/>
      <c r="L92" s="14"/>
      <c r="M92" t="s">
        <v>185</v>
      </c>
      <c r="N92" t="s">
        <v>584</v>
      </c>
    </row>
    <row r="93" spans="1:14">
      <c r="A93" s="1">
        <v>23272342340</v>
      </c>
      <c r="B93" s="41">
        <v>30340</v>
      </c>
      <c r="C93" s="10" t="s">
        <v>585</v>
      </c>
      <c r="D93" s="10"/>
      <c r="E93" s="10" t="s">
        <v>81</v>
      </c>
      <c r="F93">
        <v>20</v>
      </c>
      <c r="G93" s="32">
        <v>18</v>
      </c>
      <c r="H93" s="32" t="s">
        <v>89</v>
      </c>
      <c r="I93" s="64">
        <f t="shared" si="2"/>
        <v>18</v>
      </c>
      <c r="J93" s="58">
        <v>42022</v>
      </c>
      <c r="K93" s="10" t="s">
        <v>61</v>
      </c>
      <c r="M93" s="10" t="s">
        <v>578</v>
      </c>
    </row>
    <row r="94" spans="1:14">
      <c r="A94" s="1">
        <v>883929419289</v>
      </c>
      <c r="B94" s="41">
        <v>31392</v>
      </c>
      <c r="C94" s="10" t="s">
        <v>586</v>
      </c>
      <c r="D94" s="10"/>
      <c r="E94" s="10" t="s">
        <v>81</v>
      </c>
      <c r="F94">
        <v>0</v>
      </c>
      <c r="G94">
        <v>24</v>
      </c>
      <c r="I94" s="64">
        <f t="shared" si="2"/>
        <v>24</v>
      </c>
      <c r="J94" s="48">
        <v>41903</v>
      </c>
      <c r="K94" s="10" t="s">
        <v>61</v>
      </c>
      <c r="M94" s="10" t="s">
        <v>185</v>
      </c>
    </row>
    <row r="95" spans="1:14">
      <c r="A95" s="1">
        <v>711719819929</v>
      </c>
      <c r="B95" s="41">
        <v>98199</v>
      </c>
      <c r="C95" t="s">
        <v>587</v>
      </c>
      <c r="E95" t="s">
        <v>81</v>
      </c>
      <c r="F95">
        <v>60</v>
      </c>
      <c r="G95" s="39">
        <v>15</v>
      </c>
      <c r="H95" s="39"/>
      <c r="I95" s="64">
        <f t="shared" si="2"/>
        <v>15</v>
      </c>
      <c r="J95" s="58">
        <v>42015</v>
      </c>
      <c r="K95" s="10" t="s">
        <v>61</v>
      </c>
      <c r="L95" s="1">
        <v>9</v>
      </c>
      <c r="M95" t="s">
        <v>82</v>
      </c>
    </row>
    <row r="96" spans="1:14">
      <c r="A96" s="1">
        <v>711719837220</v>
      </c>
      <c r="B96" s="41">
        <v>98372</v>
      </c>
      <c r="C96" s="10" t="s">
        <v>588</v>
      </c>
      <c r="D96" s="10"/>
      <c r="E96" s="10" t="s">
        <v>105</v>
      </c>
      <c r="F96">
        <v>17</v>
      </c>
      <c r="G96" s="39">
        <v>26</v>
      </c>
      <c r="H96">
        <v>27</v>
      </c>
      <c r="I96" s="64">
        <f t="shared" si="2"/>
        <v>26</v>
      </c>
      <c r="J96" s="58">
        <v>42022</v>
      </c>
      <c r="K96" s="10" t="s">
        <v>125</v>
      </c>
      <c r="M96" s="10" t="s">
        <v>82</v>
      </c>
      <c r="N96" s="10"/>
    </row>
    <row r="97" spans="1:14">
      <c r="A97" s="1">
        <v>14633729979</v>
      </c>
      <c r="B97" s="41">
        <v>41000</v>
      </c>
      <c r="C97" s="10" t="s">
        <v>589</v>
      </c>
      <c r="D97" s="10"/>
      <c r="E97" s="10" t="s">
        <v>105</v>
      </c>
      <c r="F97">
        <v>33</v>
      </c>
      <c r="G97" s="37">
        <v>43</v>
      </c>
      <c r="H97">
        <v>33</v>
      </c>
      <c r="I97" s="64">
        <f t="shared" si="2"/>
        <v>33</v>
      </c>
      <c r="J97" s="48">
        <v>42176</v>
      </c>
      <c r="K97" s="10" t="s">
        <v>86</v>
      </c>
      <c r="M97" s="10" t="s">
        <v>122</v>
      </c>
    </row>
    <row r="98" spans="1:14">
      <c r="A98" s="1">
        <v>83717202462</v>
      </c>
      <c r="B98" s="41">
        <v>31045</v>
      </c>
      <c r="C98" s="10" t="s">
        <v>590</v>
      </c>
      <c r="D98" s="10"/>
      <c r="E98" s="10" t="s">
        <v>105</v>
      </c>
      <c r="F98">
        <v>6</v>
      </c>
      <c r="G98">
        <v>13</v>
      </c>
      <c r="H98">
        <v>9</v>
      </c>
      <c r="I98" s="64">
        <f t="shared" si="2"/>
        <v>9</v>
      </c>
      <c r="J98" s="48">
        <v>42193</v>
      </c>
      <c r="K98" s="10" t="s">
        <v>86</v>
      </c>
      <c r="M98" s="10" t="s">
        <v>182</v>
      </c>
    </row>
    <row r="99" spans="1:14">
      <c r="A99" s="1">
        <v>83717201748</v>
      </c>
      <c r="B99" s="41">
        <v>30109</v>
      </c>
      <c r="C99" s="10" t="s">
        <v>591</v>
      </c>
      <c r="D99" s="10"/>
      <c r="E99" s="10" t="s">
        <v>81</v>
      </c>
      <c r="F99">
        <v>4</v>
      </c>
      <c r="G99" s="10">
        <v>11</v>
      </c>
      <c r="H99">
        <v>14</v>
      </c>
      <c r="I99" s="64">
        <f t="shared" ref="I99:I131" si="3">MIN(G99:H99)</f>
        <v>11</v>
      </c>
      <c r="J99" s="58">
        <v>42378</v>
      </c>
      <c r="K99" s="10" t="s">
        <v>86</v>
      </c>
      <c r="M99" s="10" t="s">
        <v>182</v>
      </c>
    </row>
    <row r="100" spans="1:14">
      <c r="A100" s="1">
        <v>711719816720</v>
      </c>
      <c r="B100" s="41">
        <v>98167</v>
      </c>
      <c r="C100" s="10" t="s">
        <v>592</v>
      </c>
      <c r="D100" s="10"/>
      <c r="E100" s="10" t="s">
        <v>81</v>
      </c>
      <c r="F100">
        <v>30</v>
      </c>
      <c r="G100" s="39">
        <v>25</v>
      </c>
      <c r="H100" s="39"/>
      <c r="I100" s="64">
        <f t="shared" si="3"/>
        <v>25</v>
      </c>
      <c r="J100" s="58">
        <v>42015</v>
      </c>
      <c r="K100" s="10" t="s">
        <v>86</v>
      </c>
      <c r="L100" s="1">
        <v>6</v>
      </c>
      <c r="M100" s="10" t="s">
        <v>82</v>
      </c>
      <c r="N100" s="10"/>
    </row>
    <row r="101" spans="1:14">
      <c r="A101" s="1">
        <v>883929158249</v>
      </c>
      <c r="B101" s="41">
        <v>30522</v>
      </c>
      <c r="C101" s="10" t="s">
        <v>593</v>
      </c>
      <c r="D101" s="10"/>
      <c r="E101" s="10" t="s">
        <v>81</v>
      </c>
      <c r="F101">
        <v>4</v>
      </c>
      <c r="G101" s="10">
        <v>16</v>
      </c>
      <c r="H101" s="32">
        <v>20</v>
      </c>
      <c r="I101" s="64">
        <f t="shared" si="3"/>
        <v>16</v>
      </c>
      <c r="J101" s="48">
        <v>42378</v>
      </c>
      <c r="K101" s="10" t="s">
        <v>86</v>
      </c>
      <c r="M101" s="10" t="s">
        <v>185</v>
      </c>
    </row>
    <row r="102" spans="1:14">
      <c r="A102" s="1">
        <v>31719269297</v>
      </c>
      <c r="B102" s="41">
        <v>30246</v>
      </c>
      <c r="C102" t="s">
        <v>594</v>
      </c>
      <c r="E102" t="s">
        <v>81</v>
      </c>
      <c r="F102">
        <v>15</v>
      </c>
      <c r="G102" s="39">
        <v>25</v>
      </c>
      <c r="H102" s="10" t="s">
        <v>89</v>
      </c>
      <c r="I102" s="64">
        <f t="shared" si="3"/>
        <v>25</v>
      </c>
      <c r="J102" s="58">
        <v>42022</v>
      </c>
      <c r="K102" s="10" t="s">
        <v>86</v>
      </c>
      <c r="M102" t="s">
        <v>200</v>
      </c>
      <c r="N102" s="10"/>
    </row>
    <row r="103" spans="1:14">
      <c r="A103" s="1">
        <v>813633012148</v>
      </c>
      <c r="B103" s="41">
        <v>31007</v>
      </c>
      <c r="C103" s="10" t="s">
        <v>595</v>
      </c>
      <c r="D103" s="10"/>
      <c r="E103" s="10" t="s">
        <v>81</v>
      </c>
      <c r="F103">
        <v>50</v>
      </c>
      <c r="G103" s="39">
        <v>40</v>
      </c>
      <c r="H103">
        <v>35</v>
      </c>
      <c r="I103" s="64">
        <f t="shared" si="3"/>
        <v>35</v>
      </c>
      <c r="J103" s="48">
        <v>42159</v>
      </c>
      <c r="K103" s="10" t="s">
        <v>125</v>
      </c>
      <c r="M103" s="10" t="s">
        <v>244</v>
      </c>
    </row>
    <row r="104" spans="1:14">
      <c r="A104" s="1"/>
      <c r="B104" s="41">
        <v>31007</v>
      </c>
      <c r="C104" s="10" t="s">
        <v>596</v>
      </c>
      <c r="D104" s="10"/>
      <c r="E104" s="10" t="s">
        <v>105</v>
      </c>
      <c r="F104">
        <v>70</v>
      </c>
      <c r="G104" s="39">
        <v>85</v>
      </c>
      <c r="H104">
        <v>90</v>
      </c>
      <c r="I104" s="64">
        <f t="shared" si="3"/>
        <v>85</v>
      </c>
      <c r="J104" s="48">
        <v>42159</v>
      </c>
      <c r="K104" s="10" t="s">
        <v>184</v>
      </c>
      <c r="M104" s="10" t="s">
        <v>295</v>
      </c>
    </row>
    <row r="105" spans="1:14">
      <c r="A105" s="1"/>
      <c r="B105" s="41">
        <v>31417</v>
      </c>
      <c r="C105" s="10" t="s">
        <v>597</v>
      </c>
      <c r="D105" s="10"/>
      <c r="E105" s="10" t="s">
        <v>105</v>
      </c>
      <c r="F105">
        <v>70</v>
      </c>
      <c r="G105" s="37">
        <v>96</v>
      </c>
      <c r="H105" s="32" t="s">
        <v>89</v>
      </c>
      <c r="I105" s="64">
        <f t="shared" si="3"/>
        <v>96</v>
      </c>
      <c r="J105" s="48">
        <v>42421</v>
      </c>
      <c r="K105" s="10" t="s">
        <v>86</v>
      </c>
      <c r="M105" s="10" t="s">
        <v>244</v>
      </c>
    </row>
    <row r="106" spans="1:14">
      <c r="A106" s="1"/>
      <c r="B106" s="41">
        <v>31003</v>
      </c>
      <c r="C106" s="10" t="s">
        <v>598</v>
      </c>
      <c r="D106" s="10"/>
      <c r="E106" s="10" t="s">
        <v>81</v>
      </c>
      <c r="F106">
        <v>4</v>
      </c>
      <c r="G106" s="32">
        <v>7</v>
      </c>
      <c r="H106" s="32">
        <v>12</v>
      </c>
      <c r="I106" s="64">
        <f t="shared" si="3"/>
        <v>7</v>
      </c>
      <c r="J106" s="48">
        <v>42378</v>
      </c>
      <c r="K106" s="10" t="s">
        <v>86</v>
      </c>
      <c r="M106" s="10" t="s">
        <v>279</v>
      </c>
    </row>
    <row r="107" spans="1:14">
      <c r="A107" s="1">
        <v>722674110716</v>
      </c>
      <c r="B107" s="41">
        <v>30947</v>
      </c>
      <c r="C107" s="10" t="s">
        <v>599</v>
      </c>
      <c r="D107" s="10"/>
      <c r="E107" s="10" t="s">
        <v>81</v>
      </c>
      <c r="F107">
        <v>70</v>
      </c>
      <c r="G107">
        <v>18</v>
      </c>
      <c r="I107" s="64">
        <f t="shared" si="3"/>
        <v>18</v>
      </c>
      <c r="J107" s="48">
        <v>41903</v>
      </c>
      <c r="K107" s="10" t="s">
        <v>61</v>
      </c>
      <c r="M107" s="10" t="s">
        <v>240</v>
      </c>
    </row>
    <row r="108" spans="1:14">
      <c r="A108" s="1">
        <v>662248909103</v>
      </c>
      <c r="B108" s="41">
        <v>30481</v>
      </c>
      <c r="C108" s="10" t="s">
        <v>600</v>
      </c>
      <c r="D108" s="10"/>
      <c r="E108" s="10" t="s">
        <v>105</v>
      </c>
      <c r="F108">
        <v>48</v>
      </c>
      <c r="G108" s="32">
        <v>48</v>
      </c>
      <c r="H108" s="32">
        <v>48</v>
      </c>
      <c r="I108" s="64">
        <f t="shared" si="3"/>
        <v>48</v>
      </c>
      <c r="J108" s="48">
        <v>42401</v>
      </c>
      <c r="K108" s="10" t="s">
        <v>86</v>
      </c>
      <c r="M108" t="s">
        <v>213</v>
      </c>
    </row>
    <row r="109" spans="1:14">
      <c r="A109" s="1">
        <v>18946010502</v>
      </c>
      <c r="B109" s="41">
        <v>30036</v>
      </c>
      <c r="C109" t="s">
        <v>601</v>
      </c>
      <c r="E109" s="10" t="s">
        <v>81</v>
      </c>
      <c r="F109">
        <v>30</v>
      </c>
      <c r="G109" s="37">
        <v>10</v>
      </c>
      <c r="H109">
        <v>19</v>
      </c>
      <c r="I109" s="64">
        <f t="shared" si="3"/>
        <v>10</v>
      </c>
      <c r="J109" s="58">
        <v>42022</v>
      </c>
      <c r="K109" s="10" t="s">
        <v>86</v>
      </c>
      <c r="M109" t="s">
        <v>303</v>
      </c>
    </row>
    <row r="110" spans="1:14">
      <c r="A110" s="1">
        <v>730865001453</v>
      </c>
      <c r="B110" s="41">
        <v>30985</v>
      </c>
      <c r="C110" s="10" t="s">
        <v>602</v>
      </c>
      <c r="D110" s="10"/>
      <c r="E110" s="10" t="s">
        <v>81</v>
      </c>
      <c r="F110">
        <v>60</v>
      </c>
      <c r="G110" s="46">
        <v>17</v>
      </c>
      <c r="H110">
        <v>23</v>
      </c>
      <c r="I110" s="64">
        <f t="shared" si="3"/>
        <v>17</v>
      </c>
      <c r="J110" s="48">
        <v>42406</v>
      </c>
      <c r="K110" s="10" t="s">
        <v>86</v>
      </c>
      <c r="M110" s="10" t="s">
        <v>177</v>
      </c>
    </row>
    <row r="111" spans="1:14">
      <c r="A111" s="1">
        <v>711719991397</v>
      </c>
      <c r="B111" s="41">
        <v>99138</v>
      </c>
      <c r="C111" s="10" t="s">
        <v>603</v>
      </c>
      <c r="D111" s="10"/>
      <c r="E111" s="10" t="s">
        <v>81</v>
      </c>
      <c r="F111">
        <v>17</v>
      </c>
      <c r="G111" s="39">
        <v>17</v>
      </c>
      <c r="H111">
        <v>15</v>
      </c>
      <c r="I111" s="64">
        <f t="shared" si="3"/>
        <v>15</v>
      </c>
      <c r="J111" s="58">
        <v>42022</v>
      </c>
      <c r="K111" s="10" t="s">
        <v>86</v>
      </c>
      <c r="M111" s="10" t="s">
        <v>82</v>
      </c>
      <c r="N111" s="10"/>
    </row>
    <row r="112" spans="1:14">
      <c r="A112" s="1">
        <v>711719991519</v>
      </c>
      <c r="B112" s="41">
        <v>98227</v>
      </c>
      <c r="C112" t="s">
        <v>604</v>
      </c>
      <c r="E112" t="s">
        <v>81</v>
      </c>
      <c r="F112">
        <v>45</v>
      </c>
      <c r="G112" s="37">
        <v>30</v>
      </c>
      <c r="H112" s="32">
        <v>35</v>
      </c>
      <c r="I112" s="64">
        <f t="shared" si="3"/>
        <v>30</v>
      </c>
      <c r="J112" s="48">
        <v>42022</v>
      </c>
      <c r="K112" s="10" t="s">
        <v>61</v>
      </c>
      <c r="M112" t="s">
        <v>82</v>
      </c>
    </row>
    <row r="113" spans="1:14">
      <c r="A113" s="1">
        <v>711719991120</v>
      </c>
      <c r="B113" s="41">
        <v>99112</v>
      </c>
      <c r="C113" s="10" t="s">
        <v>605</v>
      </c>
      <c r="D113" s="10"/>
      <c r="E113" s="10" t="s">
        <v>81</v>
      </c>
      <c r="F113">
        <v>34</v>
      </c>
      <c r="G113" s="37">
        <v>30</v>
      </c>
      <c r="H113">
        <v>20</v>
      </c>
      <c r="I113" s="64">
        <f t="shared" si="3"/>
        <v>20</v>
      </c>
      <c r="J113" s="58">
        <v>42022</v>
      </c>
      <c r="K113" s="10" t="s">
        <v>61</v>
      </c>
      <c r="M113" s="10" t="s">
        <v>82</v>
      </c>
      <c r="N113" s="10"/>
    </row>
    <row r="114" spans="1:14">
      <c r="A114" s="1">
        <v>711719981756</v>
      </c>
      <c r="B114" s="41">
        <v>98175</v>
      </c>
      <c r="C114" t="s">
        <v>606</v>
      </c>
      <c r="E114" t="s">
        <v>81</v>
      </c>
      <c r="F114">
        <v>14</v>
      </c>
      <c r="G114" s="37"/>
      <c r="I114" s="6"/>
      <c r="J114" s="58"/>
      <c r="K114" t="s">
        <v>86</v>
      </c>
      <c r="M114" t="s">
        <v>82</v>
      </c>
      <c r="N114" s="10"/>
    </row>
    <row r="115" spans="1:14">
      <c r="A115" s="1">
        <v>711719812425</v>
      </c>
      <c r="B115" s="41">
        <v>98124</v>
      </c>
      <c r="C115" s="10" t="s">
        <v>607</v>
      </c>
      <c r="D115" s="10"/>
      <c r="E115" s="10" t="s">
        <v>81</v>
      </c>
      <c r="F115">
        <v>25</v>
      </c>
      <c r="G115" s="39">
        <v>25</v>
      </c>
      <c r="H115" s="39"/>
      <c r="I115" s="64">
        <f t="shared" si="3"/>
        <v>25</v>
      </c>
      <c r="J115" s="58">
        <v>42015</v>
      </c>
      <c r="K115" s="10" t="s">
        <v>61</v>
      </c>
      <c r="L115" s="1">
        <v>9</v>
      </c>
      <c r="M115" t="s">
        <v>82</v>
      </c>
    </row>
    <row r="116" spans="1:14">
      <c r="A116" s="1">
        <v>8888347699</v>
      </c>
      <c r="B116" s="41">
        <v>31183</v>
      </c>
      <c r="C116" s="10" t="s">
        <v>608</v>
      </c>
      <c r="D116" s="10"/>
      <c r="E116" s="10" t="s">
        <v>81</v>
      </c>
      <c r="F116">
        <v>23</v>
      </c>
      <c r="G116" s="39">
        <v>30</v>
      </c>
      <c r="H116">
        <v>55</v>
      </c>
      <c r="I116" s="64">
        <f t="shared" si="3"/>
        <v>30</v>
      </c>
      <c r="J116" s="48">
        <v>42441</v>
      </c>
      <c r="K116" s="10" t="s">
        <v>61</v>
      </c>
      <c r="M116" s="10" t="s">
        <v>191</v>
      </c>
    </row>
    <row r="117" spans="1:14">
      <c r="A117" s="1">
        <v>893610001594</v>
      </c>
      <c r="B117" s="41">
        <v>30881</v>
      </c>
      <c r="C117" s="10" t="s">
        <v>609</v>
      </c>
      <c r="D117" s="10"/>
      <c r="E117" s="10" t="s">
        <v>105</v>
      </c>
      <c r="F117">
        <v>45</v>
      </c>
      <c r="G117">
        <v>45</v>
      </c>
      <c r="I117" s="64">
        <f t="shared" si="3"/>
        <v>45</v>
      </c>
      <c r="J117" s="48">
        <v>41880</v>
      </c>
      <c r="K117" s="10" t="s">
        <v>86</v>
      </c>
      <c r="M117" t="s">
        <v>558</v>
      </c>
    </row>
    <row r="118" spans="1:14">
      <c r="A118" s="1">
        <v>893610001440</v>
      </c>
      <c r="B118" s="41">
        <v>30686</v>
      </c>
      <c r="C118" s="10" t="s">
        <v>610</v>
      </c>
      <c r="D118" s="10"/>
      <c r="E118" s="10" t="s">
        <v>105</v>
      </c>
      <c r="F118">
        <v>30</v>
      </c>
      <c r="G118" s="39">
        <v>88</v>
      </c>
      <c r="H118" s="32">
        <v>25</v>
      </c>
      <c r="I118" s="64">
        <f t="shared" si="3"/>
        <v>25</v>
      </c>
      <c r="J118" s="48">
        <v>42343</v>
      </c>
      <c r="K118" s="10" t="s">
        <v>86</v>
      </c>
      <c r="M118" t="s">
        <v>558</v>
      </c>
    </row>
    <row r="119" spans="1:14">
      <c r="A119" s="1">
        <v>14633361339</v>
      </c>
      <c r="B119" s="41">
        <v>30283</v>
      </c>
      <c r="C119" s="10" t="s">
        <v>611</v>
      </c>
      <c r="D119" s="10"/>
      <c r="E119" s="10" t="s">
        <v>105</v>
      </c>
      <c r="F119">
        <v>10</v>
      </c>
      <c r="G119" s="39">
        <v>41</v>
      </c>
      <c r="H119" s="32">
        <v>45</v>
      </c>
      <c r="I119" s="64">
        <f t="shared" si="3"/>
        <v>41</v>
      </c>
      <c r="J119" s="58">
        <v>42022</v>
      </c>
      <c r="K119" s="10" t="s">
        <v>86</v>
      </c>
      <c r="M119" s="10" t="s">
        <v>122</v>
      </c>
    </row>
    <row r="120" spans="1:14">
      <c r="A120" s="1">
        <v>13388340330</v>
      </c>
      <c r="B120" s="41">
        <v>30491</v>
      </c>
      <c r="C120" s="10" t="s">
        <v>612</v>
      </c>
      <c r="D120" s="10"/>
      <c r="E120" s="10" t="s">
        <v>81</v>
      </c>
      <c r="F120">
        <v>40</v>
      </c>
      <c r="G120" s="39">
        <v>30</v>
      </c>
      <c r="H120" s="32">
        <v>19</v>
      </c>
      <c r="I120" s="64">
        <f t="shared" si="3"/>
        <v>19</v>
      </c>
      <c r="J120" s="48">
        <v>42281</v>
      </c>
      <c r="K120" s="10" t="s">
        <v>61</v>
      </c>
      <c r="L120" s="1">
        <v>10</v>
      </c>
      <c r="M120" s="10" t="s">
        <v>255</v>
      </c>
    </row>
    <row r="121" spans="1:14">
      <c r="A121" s="1">
        <v>13388912100</v>
      </c>
      <c r="B121" s="41">
        <v>31005</v>
      </c>
      <c r="C121" s="10" t="s">
        <v>613</v>
      </c>
      <c r="D121" s="10"/>
      <c r="E121" s="10" t="s">
        <v>81</v>
      </c>
      <c r="F121">
        <v>90</v>
      </c>
      <c r="G121">
        <v>30</v>
      </c>
      <c r="I121" s="64">
        <f t="shared" si="3"/>
        <v>30</v>
      </c>
      <c r="J121" s="48">
        <v>41903</v>
      </c>
      <c r="K121" s="10" t="s">
        <v>61</v>
      </c>
      <c r="M121" s="10" t="s">
        <v>255</v>
      </c>
      <c r="N121" t="s">
        <v>614</v>
      </c>
    </row>
    <row r="122" spans="1:14">
      <c r="A122" s="1">
        <v>10086690354</v>
      </c>
      <c r="B122" s="41">
        <v>30484</v>
      </c>
      <c r="C122" s="10" t="s">
        <v>615</v>
      </c>
      <c r="D122" s="10"/>
      <c r="E122" s="10" t="s">
        <v>105</v>
      </c>
      <c r="F122">
        <v>10</v>
      </c>
      <c r="G122" s="39">
        <v>41</v>
      </c>
      <c r="H122" s="32">
        <v>33</v>
      </c>
      <c r="I122" s="64">
        <f t="shared" si="3"/>
        <v>33</v>
      </c>
      <c r="J122" s="48">
        <v>42169</v>
      </c>
      <c r="K122" s="10" t="s">
        <v>86</v>
      </c>
      <c r="M122" s="10" t="s">
        <v>258</v>
      </c>
    </row>
    <row r="123" spans="1:14">
      <c r="A123" s="1">
        <v>895678002469</v>
      </c>
      <c r="B123" s="41">
        <v>30800</v>
      </c>
      <c r="C123" t="s">
        <v>616</v>
      </c>
      <c r="E123" t="s">
        <v>105</v>
      </c>
      <c r="F123">
        <v>20</v>
      </c>
      <c r="G123" s="32">
        <v>12</v>
      </c>
      <c r="H123" s="32">
        <v>18</v>
      </c>
      <c r="I123" s="64">
        <f t="shared" si="3"/>
        <v>12</v>
      </c>
      <c r="J123" s="48">
        <v>42441</v>
      </c>
      <c r="K123" t="s">
        <v>86</v>
      </c>
      <c r="M123" t="s">
        <v>213</v>
      </c>
    </row>
    <row r="124" spans="1:14">
      <c r="A124" s="1">
        <v>14633360684</v>
      </c>
      <c r="B124" s="41">
        <v>30050</v>
      </c>
      <c r="C124" t="s">
        <v>473</v>
      </c>
      <c r="E124" t="s">
        <v>81</v>
      </c>
      <c r="F124">
        <v>160</v>
      </c>
      <c r="G124">
        <v>15</v>
      </c>
      <c r="H124">
        <v>15</v>
      </c>
      <c r="I124" s="64">
        <f t="shared" si="3"/>
        <v>15</v>
      </c>
      <c r="J124" s="58">
        <v>42022</v>
      </c>
      <c r="K124" t="s">
        <v>61</v>
      </c>
      <c r="L124" s="1">
        <v>9</v>
      </c>
      <c r="M124" t="s">
        <v>122</v>
      </c>
      <c r="N124" t="s">
        <v>617</v>
      </c>
    </row>
    <row r="125" spans="1:14">
      <c r="A125" s="1">
        <v>14633191110</v>
      </c>
      <c r="B125" s="41">
        <v>30147</v>
      </c>
      <c r="C125" t="s">
        <v>618</v>
      </c>
      <c r="E125" t="s">
        <v>81</v>
      </c>
      <c r="F125">
        <v>55</v>
      </c>
      <c r="G125" s="39">
        <v>9</v>
      </c>
      <c r="H125" s="32">
        <v>20</v>
      </c>
      <c r="I125" s="64">
        <f t="shared" si="3"/>
        <v>9</v>
      </c>
      <c r="J125" s="58">
        <v>42022</v>
      </c>
      <c r="K125" s="10" t="s">
        <v>61</v>
      </c>
      <c r="L125" s="1">
        <v>9</v>
      </c>
      <c r="M125" t="s">
        <v>122</v>
      </c>
    </row>
    <row r="126" spans="1:14">
      <c r="A126" s="1">
        <v>719593130048</v>
      </c>
      <c r="B126" s="41">
        <v>30759</v>
      </c>
      <c r="C126" s="10" t="s">
        <v>619</v>
      </c>
      <c r="D126" s="10"/>
      <c r="E126" s="10" t="s">
        <v>81</v>
      </c>
      <c r="F126">
        <v>50</v>
      </c>
      <c r="G126" s="37">
        <v>25</v>
      </c>
      <c r="H126">
        <v>38</v>
      </c>
      <c r="I126" s="64">
        <f t="shared" si="3"/>
        <v>25</v>
      </c>
      <c r="J126" s="48">
        <v>42169</v>
      </c>
      <c r="K126" s="10" t="s">
        <v>61</v>
      </c>
      <c r="M126" t="s">
        <v>151</v>
      </c>
    </row>
    <row r="127" spans="1:14">
      <c r="A127" s="1">
        <v>894388002110</v>
      </c>
      <c r="B127" s="41">
        <v>30312</v>
      </c>
      <c r="C127" t="s">
        <v>620</v>
      </c>
      <c r="E127" t="s">
        <v>81</v>
      </c>
      <c r="F127">
        <v>15</v>
      </c>
      <c r="G127" s="32">
        <v>20</v>
      </c>
      <c r="H127">
        <v>42</v>
      </c>
      <c r="I127" s="64">
        <f t="shared" si="3"/>
        <v>20</v>
      </c>
      <c r="J127" s="58">
        <v>42441</v>
      </c>
      <c r="K127" t="s">
        <v>86</v>
      </c>
      <c r="L127" s="1">
        <v>4</v>
      </c>
      <c r="M127" t="s">
        <v>621</v>
      </c>
      <c r="N127" s="10"/>
    </row>
    <row r="128" spans="1:14">
      <c r="A128" s="1">
        <v>816819011461</v>
      </c>
      <c r="B128" s="41">
        <v>30876</v>
      </c>
      <c r="C128" t="s">
        <v>622</v>
      </c>
      <c r="E128" t="s">
        <v>105</v>
      </c>
      <c r="F128">
        <v>20</v>
      </c>
      <c r="G128" s="32">
        <v>25</v>
      </c>
      <c r="H128">
        <v>19</v>
      </c>
      <c r="I128" s="64">
        <f t="shared" si="3"/>
        <v>19</v>
      </c>
      <c r="J128" s="58">
        <v>42441</v>
      </c>
      <c r="K128" t="s">
        <v>86</v>
      </c>
      <c r="M128" t="s">
        <v>623</v>
      </c>
      <c r="N128" s="10"/>
    </row>
    <row r="129" spans="1:14">
      <c r="A129" s="1">
        <v>816819012215</v>
      </c>
      <c r="B129" s="41">
        <v>31496</v>
      </c>
      <c r="C129" t="s">
        <v>624</v>
      </c>
      <c r="E129" t="s">
        <v>105</v>
      </c>
      <c r="F129">
        <v>20</v>
      </c>
      <c r="G129" s="32">
        <v>17</v>
      </c>
      <c r="H129">
        <v>17</v>
      </c>
      <c r="I129" s="64">
        <f t="shared" si="3"/>
        <v>17</v>
      </c>
      <c r="J129" s="48">
        <v>42441</v>
      </c>
      <c r="K129" t="s">
        <v>86</v>
      </c>
      <c r="M129" t="s">
        <v>623</v>
      </c>
    </row>
    <row r="130" spans="1:14">
      <c r="A130" s="1">
        <v>88392910430</v>
      </c>
      <c r="B130" s="41">
        <v>30447</v>
      </c>
      <c r="C130" s="10" t="s">
        <v>625</v>
      </c>
      <c r="D130" s="10"/>
      <c r="E130" s="10" t="s">
        <v>81</v>
      </c>
      <c r="F130">
        <v>1</v>
      </c>
      <c r="G130" s="39">
        <v>24</v>
      </c>
      <c r="H130" s="32">
        <v>16</v>
      </c>
      <c r="I130" s="64">
        <f t="shared" si="3"/>
        <v>16</v>
      </c>
      <c r="J130" s="48">
        <v>42162</v>
      </c>
      <c r="K130" s="10" t="s">
        <v>61</v>
      </c>
      <c r="L130" s="1">
        <v>5</v>
      </c>
      <c r="M130" s="10" t="s">
        <v>626</v>
      </c>
    </row>
    <row r="131" spans="1:14">
      <c r="A131" s="1">
        <v>711719991427</v>
      </c>
      <c r="B131" s="41">
        <v>99142</v>
      </c>
      <c r="C131" s="10" t="s">
        <v>627</v>
      </c>
      <c r="D131" s="10"/>
      <c r="E131" s="10" t="s">
        <v>105</v>
      </c>
      <c r="F131">
        <v>23</v>
      </c>
      <c r="G131" s="39">
        <v>23</v>
      </c>
      <c r="H131">
        <v>23</v>
      </c>
      <c r="I131" s="64">
        <f t="shared" si="3"/>
        <v>23</v>
      </c>
      <c r="J131" s="58">
        <v>42022</v>
      </c>
      <c r="K131" s="10" t="s">
        <v>61</v>
      </c>
      <c r="M131" s="10" t="s">
        <v>82</v>
      </c>
      <c r="N131" s="10"/>
    </row>
    <row r="132" spans="1:14">
      <c r="A132" s="1">
        <v>722674110075</v>
      </c>
      <c r="B132" s="41">
        <v>30160</v>
      </c>
      <c r="C132" t="s">
        <v>628</v>
      </c>
      <c r="E132" t="s">
        <v>81</v>
      </c>
      <c r="F132">
        <v>60</v>
      </c>
      <c r="G132" s="46">
        <v>14</v>
      </c>
      <c r="H132" s="32">
        <v>15</v>
      </c>
      <c r="I132" s="64">
        <f t="shared" ref="I132:I163" si="4">MIN(G132:H132)</f>
        <v>14</v>
      </c>
      <c r="J132" s="58">
        <v>42022</v>
      </c>
      <c r="K132" t="s">
        <v>61</v>
      </c>
      <c r="L132" s="1">
        <v>9</v>
      </c>
      <c r="M132" t="s">
        <v>240</v>
      </c>
    </row>
    <row r="133" spans="1:14">
      <c r="A133" s="1">
        <v>722674110549</v>
      </c>
      <c r="B133" s="41">
        <v>30736</v>
      </c>
      <c r="C133" s="10" t="s">
        <v>629</v>
      </c>
      <c r="D133" s="10"/>
      <c r="E133" s="10" t="s">
        <v>81</v>
      </c>
      <c r="F133">
        <v>4</v>
      </c>
      <c r="G133" s="10">
        <v>21</v>
      </c>
      <c r="H133">
        <v>22</v>
      </c>
      <c r="I133" s="64">
        <f t="shared" si="4"/>
        <v>21</v>
      </c>
      <c r="J133" s="58">
        <v>42378</v>
      </c>
      <c r="K133" s="10" t="s">
        <v>86</v>
      </c>
      <c r="M133" s="10" t="s">
        <v>211</v>
      </c>
      <c r="N133" s="10" t="s">
        <v>630</v>
      </c>
    </row>
    <row r="134" spans="1:14">
      <c r="A134" s="1" t="s">
        <v>631</v>
      </c>
      <c r="B134" s="41">
        <v>98177</v>
      </c>
      <c r="C134" s="10" t="s">
        <v>632</v>
      </c>
      <c r="E134" t="s">
        <v>81</v>
      </c>
      <c r="F134">
        <v>100</v>
      </c>
      <c r="G134" s="39">
        <v>68</v>
      </c>
      <c r="H134" s="37" t="s">
        <v>89</v>
      </c>
      <c r="I134" s="64">
        <f t="shared" si="4"/>
        <v>68</v>
      </c>
      <c r="J134" s="48">
        <v>42421</v>
      </c>
      <c r="K134" t="s">
        <v>86</v>
      </c>
      <c r="L134" s="1">
        <v>5</v>
      </c>
      <c r="M134" t="s">
        <v>82</v>
      </c>
      <c r="N134" s="10"/>
    </row>
    <row r="135" spans="1:14">
      <c r="A135" s="1">
        <v>662248909141</v>
      </c>
      <c r="B135" s="41">
        <v>30462</v>
      </c>
      <c r="C135" s="10" t="s">
        <v>633</v>
      </c>
      <c r="D135" s="10"/>
      <c r="E135" s="10" t="s">
        <v>81</v>
      </c>
      <c r="F135">
        <v>7.5</v>
      </c>
      <c r="G135" s="39">
        <v>34</v>
      </c>
      <c r="H135" s="32">
        <v>20</v>
      </c>
      <c r="I135" s="64">
        <f t="shared" si="4"/>
        <v>20</v>
      </c>
      <c r="J135" s="48">
        <v>42356</v>
      </c>
      <c r="K135" s="10" t="s">
        <v>86</v>
      </c>
      <c r="M135" t="s">
        <v>213</v>
      </c>
    </row>
    <row r="136" spans="1:14">
      <c r="A136" s="1">
        <v>722674110518</v>
      </c>
      <c r="B136" s="41">
        <v>30903</v>
      </c>
      <c r="C136" s="10" t="s">
        <v>634</v>
      </c>
      <c r="D136" s="10"/>
      <c r="E136" s="10" t="s">
        <v>105</v>
      </c>
      <c r="F136">
        <v>60</v>
      </c>
      <c r="G136">
        <v>50</v>
      </c>
      <c r="I136" s="64">
        <f t="shared" si="4"/>
        <v>50</v>
      </c>
      <c r="J136" s="48">
        <v>41880</v>
      </c>
      <c r="K136" s="10" t="s">
        <v>86</v>
      </c>
      <c r="M136" s="10" t="s">
        <v>240</v>
      </c>
    </row>
    <row r="137" spans="1:14">
      <c r="A137" s="1">
        <v>722674111133</v>
      </c>
      <c r="B137" s="41">
        <v>31172</v>
      </c>
      <c r="C137" s="10" t="s">
        <v>635</v>
      </c>
      <c r="D137" s="10"/>
      <c r="E137" s="10" t="s">
        <v>105</v>
      </c>
      <c r="F137">
        <v>45</v>
      </c>
      <c r="G137" s="37">
        <v>27</v>
      </c>
      <c r="H137">
        <v>25</v>
      </c>
      <c r="I137" s="64">
        <f t="shared" si="4"/>
        <v>25</v>
      </c>
      <c r="J137" s="48">
        <v>42351</v>
      </c>
      <c r="K137" s="10" t="s">
        <v>96</v>
      </c>
      <c r="M137" s="10" t="s">
        <v>211</v>
      </c>
    </row>
    <row r="138" spans="1:14">
      <c r="A138" s="1">
        <v>722674111119</v>
      </c>
      <c r="B138" s="41">
        <v>31006</v>
      </c>
      <c r="C138" s="10" t="s">
        <v>636</v>
      </c>
      <c r="D138" s="10"/>
      <c r="E138" s="10" t="s">
        <v>105</v>
      </c>
      <c r="F138">
        <v>60</v>
      </c>
      <c r="G138" s="46">
        <v>57</v>
      </c>
      <c r="H138" s="46">
        <v>125</v>
      </c>
      <c r="I138" s="64">
        <f t="shared" si="4"/>
        <v>57</v>
      </c>
      <c r="J138" s="48">
        <v>42406</v>
      </c>
      <c r="K138" s="10" t="s">
        <v>125</v>
      </c>
      <c r="M138" s="10" t="s">
        <v>211</v>
      </c>
    </row>
    <row r="139" spans="1:14">
      <c r="A139" s="1">
        <v>722674111188</v>
      </c>
      <c r="B139" s="41">
        <v>31397</v>
      </c>
      <c r="C139" t="s">
        <v>637</v>
      </c>
      <c r="E139" t="s">
        <v>105</v>
      </c>
      <c r="F139">
        <v>30</v>
      </c>
      <c r="G139">
        <v>22</v>
      </c>
      <c r="H139">
        <v>29</v>
      </c>
      <c r="I139" s="64">
        <f t="shared" si="4"/>
        <v>22</v>
      </c>
      <c r="J139" s="48">
        <v>42415</v>
      </c>
      <c r="K139" t="s">
        <v>86</v>
      </c>
      <c r="M139" t="s">
        <v>240</v>
      </c>
    </row>
    <row r="140" spans="1:14">
      <c r="A140" s="1">
        <v>730865001552</v>
      </c>
      <c r="B140" s="41">
        <v>31476</v>
      </c>
      <c r="C140" s="10" t="s">
        <v>638</v>
      </c>
      <c r="D140" s="10"/>
      <c r="E140" s="10" t="s">
        <v>81</v>
      </c>
      <c r="F140">
        <v>50</v>
      </c>
      <c r="G140">
        <v>50</v>
      </c>
      <c r="I140" s="64">
        <f t="shared" si="4"/>
        <v>50</v>
      </c>
      <c r="J140" s="48">
        <v>41976</v>
      </c>
      <c r="K140" s="10" t="s">
        <v>125</v>
      </c>
      <c r="M140" s="10" t="s">
        <v>177</v>
      </c>
    </row>
    <row r="141" spans="1:14">
      <c r="A141" s="1">
        <v>722674110228</v>
      </c>
      <c r="B141" s="41">
        <v>30359</v>
      </c>
      <c r="C141" s="10" t="s">
        <v>639</v>
      </c>
      <c r="D141" s="10"/>
      <c r="E141" s="10" t="s">
        <v>81</v>
      </c>
      <c r="F141">
        <v>20</v>
      </c>
      <c r="G141" s="39">
        <v>28</v>
      </c>
      <c r="H141" s="32" t="s">
        <v>89</v>
      </c>
      <c r="I141" s="64">
        <f t="shared" si="4"/>
        <v>28</v>
      </c>
      <c r="J141" s="58">
        <v>42022</v>
      </c>
      <c r="K141" s="10" t="s">
        <v>61</v>
      </c>
      <c r="L141" s="1">
        <v>6</v>
      </c>
      <c r="M141" s="10" t="s">
        <v>240</v>
      </c>
    </row>
    <row r="142" spans="1:14">
      <c r="A142" s="1"/>
      <c r="B142" s="41">
        <v>31500</v>
      </c>
      <c r="C142" s="10" t="s">
        <v>640</v>
      </c>
      <c r="D142" s="10"/>
      <c r="E142" s="10" t="s">
        <v>105</v>
      </c>
      <c r="F142">
        <v>80</v>
      </c>
      <c r="G142" s="86" t="s">
        <v>89</v>
      </c>
      <c r="H142" s="32">
        <v>225</v>
      </c>
      <c r="I142" s="64">
        <f t="shared" si="4"/>
        <v>225</v>
      </c>
      <c r="J142" s="48">
        <v>42169</v>
      </c>
      <c r="K142" s="10" t="s">
        <v>86</v>
      </c>
      <c r="M142" s="10" t="s">
        <v>295</v>
      </c>
    </row>
    <row r="143" spans="1:14">
      <c r="A143" s="1">
        <v>93155160057</v>
      </c>
      <c r="B143" s="41">
        <v>31202</v>
      </c>
      <c r="C143" s="10" t="s">
        <v>641</v>
      </c>
      <c r="D143" s="10"/>
      <c r="E143" s="10" t="s">
        <v>81</v>
      </c>
      <c r="F143">
        <v>30</v>
      </c>
      <c r="G143" s="46">
        <v>35</v>
      </c>
      <c r="H143" s="46">
        <v>40</v>
      </c>
      <c r="I143" s="64">
        <f t="shared" si="4"/>
        <v>35</v>
      </c>
      <c r="J143" s="48">
        <v>42406</v>
      </c>
      <c r="K143" s="10" t="s">
        <v>61</v>
      </c>
      <c r="M143" s="10" t="s">
        <v>533</v>
      </c>
    </row>
    <row r="144" spans="1:14">
      <c r="A144" s="1">
        <v>813633012827</v>
      </c>
      <c r="B144" s="41">
        <v>31312</v>
      </c>
      <c r="C144" s="10" t="s">
        <v>642</v>
      </c>
      <c r="D144" s="10"/>
      <c r="E144" s="10" t="s">
        <v>81</v>
      </c>
      <c r="F144">
        <v>50</v>
      </c>
      <c r="G144" s="10" t="s">
        <v>89</v>
      </c>
      <c r="H144">
        <v>55</v>
      </c>
      <c r="I144" s="64">
        <f t="shared" si="4"/>
        <v>55</v>
      </c>
      <c r="J144" s="48">
        <v>42441</v>
      </c>
      <c r="K144" s="10" t="s">
        <v>61</v>
      </c>
      <c r="M144" s="10" t="s">
        <v>244</v>
      </c>
    </row>
    <row r="145" spans="1:14">
      <c r="A145" s="1"/>
      <c r="B145" s="41">
        <v>31312</v>
      </c>
      <c r="C145" s="10" t="s">
        <v>643</v>
      </c>
      <c r="D145" s="10"/>
      <c r="E145" s="10" t="s">
        <v>105</v>
      </c>
      <c r="F145">
        <v>70</v>
      </c>
      <c r="G145" s="46">
        <v>160</v>
      </c>
      <c r="H145">
        <v>153</v>
      </c>
      <c r="I145" s="64">
        <f t="shared" si="4"/>
        <v>153</v>
      </c>
      <c r="J145" s="48">
        <v>42406</v>
      </c>
      <c r="K145" s="10" t="s">
        <v>184</v>
      </c>
      <c r="M145" s="10" t="s">
        <v>244</v>
      </c>
    </row>
    <row r="146" spans="1:14">
      <c r="A146" s="1">
        <v>711719991984</v>
      </c>
      <c r="B146" s="41">
        <v>99198</v>
      </c>
      <c r="C146" s="10" t="s">
        <v>644</v>
      </c>
      <c r="D146" s="10"/>
      <c r="E146" s="10" t="s">
        <v>81</v>
      </c>
      <c r="F146">
        <v>4</v>
      </c>
      <c r="G146" s="32">
        <v>110</v>
      </c>
      <c r="H146">
        <v>155</v>
      </c>
      <c r="I146" s="64">
        <f t="shared" si="4"/>
        <v>110</v>
      </c>
      <c r="J146" s="58">
        <v>42378</v>
      </c>
      <c r="K146" s="10" t="s">
        <v>86</v>
      </c>
      <c r="M146" s="10" t="s">
        <v>82</v>
      </c>
      <c r="N146" s="10"/>
    </row>
    <row r="147" spans="1:14">
      <c r="A147" s="1"/>
      <c r="B147" s="63" t="s">
        <v>645</v>
      </c>
      <c r="C147" s="10" t="s">
        <v>646</v>
      </c>
      <c r="D147" s="10"/>
      <c r="E147" s="10" t="s">
        <v>105</v>
      </c>
      <c r="F147">
        <v>68</v>
      </c>
      <c r="G147">
        <v>68</v>
      </c>
      <c r="H147">
        <v>68</v>
      </c>
      <c r="I147" s="64">
        <f t="shared" si="4"/>
        <v>68</v>
      </c>
      <c r="J147" s="48">
        <v>42378</v>
      </c>
      <c r="K147" s="10" t="s">
        <v>86</v>
      </c>
      <c r="M147" s="10" t="s">
        <v>647</v>
      </c>
      <c r="N147" s="10"/>
    </row>
    <row r="148" spans="1:14">
      <c r="A148" s="1">
        <v>14633359114</v>
      </c>
      <c r="B148" s="41">
        <v>30055</v>
      </c>
      <c r="C148" t="s">
        <v>648</v>
      </c>
      <c r="E148" t="s">
        <v>81</v>
      </c>
      <c r="F148">
        <v>60</v>
      </c>
      <c r="G148" s="39">
        <v>60</v>
      </c>
      <c r="H148">
        <v>45</v>
      </c>
      <c r="I148" s="64">
        <f t="shared" si="4"/>
        <v>45</v>
      </c>
      <c r="J148" s="58">
        <v>42022</v>
      </c>
      <c r="K148" t="s">
        <v>125</v>
      </c>
      <c r="L148" s="1">
        <v>8</v>
      </c>
      <c r="M148" t="s">
        <v>122</v>
      </c>
    </row>
    <row r="149" spans="1:14">
      <c r="A149" s="1">
        <v>813633012117</v>
      </c>
      <c r="B149" s="41">
        <v>30964</v>
      </c>
      <c r="C149" s="10" t="s">
        <v>649</v>
      </c>
      <c r="D149" s="10"/>
      <c r="E149" s="10" t="s">
        <v>105</v>
      </c>
      <c r="F149">
        <v>20</v>
      </c>
      <c r="G149" s="39">
        <v>48</v>
      </c>
      <c r="H149">
        <v>45</v>
      </c>
      <c r="I149" s="64">
        <f t="shared" si="4"/>
        <v>45</v>
      </c>
      <c r="J149" s="48">
        <v>42159</v>
      </c>
      <c r="K149" s="10" t="s">
        <v>86</v>
      </c>
      <c r="M149" s="10" t="s">
        <v>295</v>
      </c>
    </row>
    <row r="150" spans="1:14">
      <c r="A150" s="1"/>
      <c r="B150" s="41">
        <v>30964</v>
      </c>
      <c r="C150" s="10" t="s">
        <v>650</v>
      </c>
      <c r="D150" s="10"/>
      <c r="E150" s="10" t="s">
        <v>105</v>
      </c>
      <c r="F150">
        <v>70</v>
      </c>
      <c r="G150" s="37">
        <v>140</v>
      </c>
      <c r="H150" s="32">
        <v>205</v>
      </c>
      <c r="I150" s="64">
        <f t="shared" si="4"/>
        <v>140</v>
      </c>
      <c r="J150" s="48">
        <v>42159</v>
      </c>
      <c r="K150" s="10" t="s">
        <v>184</v>
      </c>
      <c r="M150" s="10" t="s">
        <v>295</v>
      </c>
    </row>
    <row r="151" spans="1:14">
      <c r="A151" s="1">
        <v>813633012803</v>
      </c>
      <c r="B151" s="41">
        <v>31173</v>
      </c>
      <c r="C151" s="10" t="s">
        <v>651</v>
      </c>
      <c r="D151" s="10"/>
      <c r="E151" s="10" t="s">
        <v>105</v>
      </c>
      <c r="F151">
        <v>50</v>
      </c>
      <c r="G151" s="39">
        <v>36</v>
      </c>
      <c r="H151" s="32">
        <v>40</v>
      </c>
      <c r="I151" s="64">
        <f t="shared" si="4"/>
        <v>36</v>
      </c>
      <c r="J151" s="48">
        <v>42441</v>
      </c>
      <c r="K151" s="10" t="s">
        <v>86</v>
      </c>
      <c r="M151" s="10" t="s">
        <v>244</v>
      </c>
    </row>
    <row r="152" spans="1:14">
      <c r="A152" s="1"/>
      <c r="B152" s="41">
        <v>31173</v>
      </c>
      <c r="C152" s="10" t="s">
        <v>652</v>
      </c>
      <c r="D152" s="10"/>
      <c r="E152" s="10" t="s">
        <v>105</v>
      </c>
      <c r="F152">
        <v>70</v>
      </c>
      <c r="G152" s="37">
        <v>110</v>
      </c>
      <c r="H152" s="37">
        <v>124</v>
      </c>
      <c r="I152" s="64">
        <f t="shared" si="4"/>
        <v>110</v>
      </c>
      <c r="J152" s="48">
        <v>42441</v>
      </c>
      <c r="K152" s="10" t="s">
        <v>184</v>
      </c>
      <c r="M152" s="10" t="s">
        <v>244</v>
      </c>
    </row>
    <row r="153" spans="1:14">
      <c r="A153" s="1">
        <v>662248913742</v>
      </c>
      <c r="B153" s="41">
        <v>31036</v>
      </c>
      <c r="C153" s="10" t="s">
        <v>653</v>
      </c>
      <c r="D153" s="10"/>
      <c r="E153" s="10" t="s">
        <v>105</v>
      </c>
      <c r="F153">
        <v>23</v>
      </c>
      <c r="G153">
        <v>25</v>
      </c>
      <c r="I153" s="64">
        <f t="shared" si="4"/>
        <v>25</v>
      </c>
      <c r="J153" s="48">
        <v>41976</v>
      </c>
      <c r="K153" s="10" t="s">
        <v>86</v>
      </c>
      <c r="M153" t="s">
        <v>213</v>
      </c>
    </row>
    <row r="154" spans="1:14">
      <c r="A154" s="1">
        <v>47875839502</v>
      </c>
      <c r="B154" s="41">
        <v>30357</v>
      </c>
      <c r="C154" s="10" t="s">
        <v>654</v>
      </c>
      <c r="D154" s="10"/>
      <c r="E154" s="10" t="s">
        <v>81</v>
      </c>
      <c r="F154">
        <v>4</v>
      </c>
      <c r="G154" s="10">
        <v>17</v>
      </c>
      <c r="H154" s="32">
        <v>34</v>
      </c>
      <c r="I154" s="64">
        <f t="shared" si="4"/>
        <v>17</v>
      </c>
      <c r="J154" s="58">
        <v>42378</v>
      </c>
      <c r="K154" s="10" t="s">
        <v>86</v>
      </c>
      <c r="M154" s="10" t="s">
        <v>227</v>
      </c>
    </row>
    <row r="155" spans="1:14">
      <c r="A155" s="1">
        <v>40198002042</v>
      </c>
      <c r="B155" s="41">
        <v>30503</v>
      </c>
      <c r="C155" s="10" t="s">
        <v>655</v>
      </c>
      <c r="D155" s="10"/>
      <c r="E155" s="10" t="s">
        <v>81</v>
      </c>
      <c r="F155">
        <v>35</v>
      </c>
      <c r="G155" s="39">
        <v>40</v>
      </c>
      <c r="H155" s="32">
        <v>45</v>
      </c>
      <c r="I155" s="64">
        <f t="shared" si="4"/>
        <v>40</v>
      </c>
      <c r="J155" s="48">
        <v>42281</v>
      </c>
      <c r="K155" s="10" t="s">
        <v>86</v>
      </c>
      <c r="M155" s="10" t="s">
        <v>136</v>
      </c>
    </row>
    <row r="156" spans="1:14">
      <c r="A156" s="1">
        <v>813633010274</v>
      </c>
      <c r="B156" s="41">
        <v>30535</v>
      </c>
      <c r="C156" s="10" t="s">
        <v>656</v>
      </c>
      <c r="D156" s="10"/>
      <c r="E156" s="10" t="s">
        <v>81</v>
      </c>
      <c r="F156">
        <v>35</v>
      </c>
      <c r="G156" s="39">
        <v>58</v>
      </c>
      <c r="H156" s="32">
        <v>37</v>
      </c>
      <c r="I156" s="64">
        <f t="shared" si="4"/>
        <v>37</v>
      </c>
      <c r="J156" s="48">
        <v>42343</v>
      </c>
      <c r="K156" s="10" t="s">
        <v>86</v>
      </c>
      <c r="M156" s="10" t="s">
        <v>295</v>
      </c>
    </row>
    <row r="157" spans="1:14">
      <c r="A157" s="1" t="s">
        <v>223</v>
      </c>
      <c r="B157" s="41">
        <v>98103</v>
      </c>
      <c r="C157" t="s">
        <v>657</v>
      </c>
      <c r="E157" t="s">
        <v>81</v>
      </c>
      <c r="F157">
        <v>8</v>
      </c>
      <c r="G157">
        <v>22</v>
      </c>
      <c r="H157" s="10" t="s">
        <v>89</v>
      </c>
      <c r="I157" s="64">
        <f t="shared" si="4"/>
        <v>22</v>
      </c>
      <c r="J157" s="58">
        <v>42040</v>
      </c>
      <c r="K157" t="s">
        <v>61</v>
      </c>
      <c r="L157" s="1">
        <v>6</v>
      </c>
      <c r="M157" t="s">
        <v>82</v>
      </c>
      <c r="N157" s="10"/>
    </row>
    <row r="158" spans="1:14">
      <c r="A158" s="1">
        <v>711719825722</v>
      </c>
      <c r="B158" s="41">
        <v>98257</v>
      </c>
      <c r="C158" s="10" t="s">
        <v>658</v>
      </c>
      <c r="D158" s="10"/>
      <c r="E158" s="10" t="s">
        <v>81</v>
      </c>
      <c r="F158">
        <v>8</v>
      </c>
      <c r="G158" s="32">
        <v>19</v>
      </c>
      <c r="H158">
        <v>18</v>
      </c>
      <c r="I158" s="64">
        <f t="shared" si="4"/>
        <v>18</v>
      </c>
      <c r="J158" s="48">
        <v>42040</v>
      </c>
      <c r="K158" s="10" t="s">
        <v>86</v>
      </c>
      <c r="M158" s="10" t="s">
        <v>82</v>
      </c>
      <c r="N158" s="10"/>
    </row>
    <row r="159" spans="1:14">
      <c r="A159" s="1">
        <v>71171982332</v>
      </c>
      <c r="B159" s="41">
        <v>98233</v>
      </c>
      <c r="C159" s="10" t="s">
        <v>659</v>
      </c>
      <c r="D159" s="10"/>
      <c r="E159" s="10" t="s">
        <v>81</v>
      </c>
      <c r="F159">
        <v>8</v>
      </c>
      <c r="G159" s="32">
        <v>15</v>
      </c>
      <c r="H159">
        <v>11</v>
      </c>
      <c r="I159" s="64">
        <f t="shared" si="4"/>
        <v>11</v>
      </c>
      <c r="J159" s="48">
        <v>42040</v>
      </c>
      <c r="K159" s="10" t="s">
        <v>86</v>
      </c>
      <c r="M159" s="10" t="s">
        <v>82</v>
      </c>
      <c r="N159" s="10"/>
    </row>
    <row r="160" spans="1:14">
      <c r="A160" s="1">
        <v>10086690200</v>
      </c>
      <c r="B160" s="41">
        <v>30196</v>
      </c>
      <c r="C160" s="10" t="s">
        <v>660</v>
      </c>
      <c r="D160" s="10"/>
      <c r="E160" s="10" t="s">
        <v>81</v>
      </c>
      <c r="F160">
        <v>7.5</v>
      </c>
      <c r="G160" s="10">
        <v>20</v>
      </c>
      <c r="H160">
        <v>20</v>
      </c>
      <c r="I160" s="64">
        <f t="shared" si="4"/>
        <v>20</v>
      </c>
      <c r="J160" s="48">
        <v>42351</v>
      </c>
      <c r="K160" s="10" t="s">
        <v>86</v>
      </c>
      <c r="M160" t="s">
        <v>258</v>
      </c>
    </row>
    <row r="161" spans="1:14">
      <c r="A161" s="1">
        <v>8888348511</v>
      </c>
      <c r="B161" s="41">
        <v>31176</v>
      </c>
      <c r="C161" s="10" t="s">
        <v>661</v>
      </c>
      <c r="D161" s="10"/>
      <c r="E161" s="10" t="s">
        <v>81</v>
      </c>
      <c r="F161">
        <v>7.5</v>
      </c>
      <c r="G161" s="10">
        <v>41</v>
      </c>
      <c r="H161">
        <v>15</v>
      </c>
      <c r="I161" s="64">
        <f t="shared" si="4"/>
        <v>15</v>
      </c>
      <c r="J161" s="48">
        <v>42351</v>
      </c>
      <c r="K161" s="10" t="s">
        <v>86</v>
      </c>
      <c r="M161" t="s">
        <v>191</v>
      </c>
    </row>
    <row r="162" spans="1:14">
      <c r="A162" s="1">
        <v>711719814627</v>
      </c>
      <c r="B162" s="41">
        <v>98146</v>
      </c>
      <c r="C162" s="10" t="s">
        <v>662</v>
      </c>
      <c r="D162" s="10"/>
      <c r="E162" s="10" t="s">
        <v>81</v>
      </c>
      <c r="F162">
        <v>7.5</v>
      </c>
      <c r="G162" s="10">
        <v>11</v>
      </c>
      <c r="H162">
        <v>13</v>
      </c>
      <c r="I162" s="64">
        <f t="shared" si="4"/>
        <v>11</v>
      </c>
      <c r="J162" s="48">
        <v>42351</v>
      </c>
      <c r="K162" s="10" t="s">
        <v>96</v>
      </c>
      <c r="M162" t="s">
        <v>82</v>
      </c>
      <c r="N162" t="s">
        <v>256</v>
      </c>
    </row>
    <row r="163" spans="1:14">
      <c r="A163" s="1">
        <v>87927813007</v>
      </c>
      <c r="B163" s="41">
        <v>30784</v>
      </c>
      <c r="C163" s="10" t="s">
        <v>663</v>
      </c>
      <c r="D163" s="10"/>
      <c r="E163" s="10" t="s">
        <v>81</v>
      </c>
      <c r="F163">
        <v>7.5</v>
      </c>
      <c r="G163" s="10" t="s">
        <v>89</v>
      </c>
      <c r="H163">
        <v>35</v>
      </c>
      <c r="I163" s="64">
        <f t="shared" si="4"/>
        <v>35</v>
      </c>
      <c r="J163" s="48">
        <v>42351</v>
      </c>
      <c r="K163" s="10" t="s">
        <v>96</v>
      </c>
      <c r="M163" t="s">
        <v>664</v>
      </c>
    </row>
    <row r="164" spans="1:14">
      <c r="A164" s="1">
        <v>710425471483</v>
      </c>
      <c r="B164" s="41">
        <v>30943</v>
      </c>
      <c r="C164" s="10" t="s">
        <v>665</v>
      </c>
      <c r="D164" s="10"/>
      <c r="E164" s="10" t="s">
        <v>81</v>
      </c>
      <c r="F164">
        <v>9</v>
      </c>
      <c r="G164" s="37">
        <v>11</v>
      </c>
      <c r="H164">
        <v>13</v>
      </c>
      <c r="I164" s="64">
        <f t="shared" ref="I164:I165" si="5">MIN(G164:H164)</f>
        <v>11</v>
      </c>
      <c r="J164" s="48">
        <v>42441</v>
      </c>
      <c r="K164" s="10" t="s">
        <v>86</v>
      </c>
      <c r="M164" s="10" t="s">
        <v>666</v>
      </c>
    </row>
    <row r="165" spans="1:14">
      <c r="A165" s="1">
        <v>83717202486</v>
      </c>
      <c r="B165" s="41">
        <v>30937</v>
      </c>
      <c r="C165" s="10" t="s">
        <v>667</v>
      </c>
      <c r="D165" s="10"/>
      <c r="E165" s="10" t="s">
        <v>81</v>
      </c>
      <c r="F165">
        <v>4</v>
      </c>
      <c r="G165">
        <v>24</v>
      </c>
      <c r="H165">
        <v>24</v>
      </c>
      <c r="I165" s="64">
        <f t="shared" si="5"/>
        <v>24</v>
      </c>
      <c r="J165" s="48">
        <v>42378</v>
      </c>
      <c r="K165" s="10" t="s">
        <v>86</v>
      </c>
      <c r="M165" s="10" t="s">
        <v>182</v>
      </c>
    </row>
    <row r="166" spans="1:14">
      <c r="A166" s="1" t="s">
        <v>668</v>
      </c>
    </row>
    <row r="167" spans="1:14">
      <c r="A167" s="8">
        <f>COUNTA(B1:B164)-1</f>
        <v>163</v>
      </c>
    </row>
    <row r="168" spans="1:14">
      <c r="A168" s="1" t="s">
        <v>169</v>
      </c>
    </row>
    <row r="169" spans="1:14">
      <c r="A169" s="6">
        <f>SUM(F:F)</f>
        <v>5578</v>
      </c>
    </row>
    <row r="170" spans="1:14">
      <c r="A170" s="64" t="s">
        <v>669</v>
      </c>
    </row>
    <row r="171" spans="1:14">
      <c r="A171" s="6">
        <f>AVERAGE(F:F)</f>
        <v>34.012195121951223</v>
      </c>
    </row>
    <row r="172" spans="1:14">
      <c r="A172" s="1" t="s">
        <v>159</v>
      </c>
    </row>
    <row r="173" spans="1:14">
      <c r="A173" s="6">
        <f>SUM(I:I)</f>
        <v>6209</v>
      </c>
      <c r="C173" s="10"/>
      <c r="D173" s="10"/>
    </row>
    <row r="174" spans="1:14">
      <c r="A174" s="10" t="s">
        <v>160</v>
      </c>
      <c r="C174" s="10"/>
      <c r="D174" s="10"/>
    </row>
    <row r="175" spans="1:14">
      <c r="A175" s="10">
        <f>(A173-(A167*5))*0.85</f>
        <v>4584.8999999999996</v>
      </c>
      <c r="C175" s="10"/>
      <c r="D175" s="10"/>
    </row>
    <row r="176" spans="1:14">
      <c r="A176" s="1" t="s">
        <v>162</v>
      </c>
    </row>
    <row r="177" spans="1:1">
      <c r="A177" s="2">
        <f>COUNTIF(K:K,"Completed")</f>
        <v>42</v>
      </c>
    </row>
    <row r="178" spans="1:1">
      <c r="A178" s="1" t="s">
        <v>163</v>
      </c>
    </row>
    <row r="179" spans="1:1">
      <c r="A179" s="2">
        <f>COUNTIF(K:K,"CBD")</f>
        <v>7</v>
      </c>
    </row>
    <row r="180" spans="1:1">
      <c r="A180" s="14" t="s">
        <v>670</v>
      </c>
    </row>
    <row r="181" spans="1:1">
      <c r="A181" s="2">
        <f>COUNTIF(K:K,"NPP")</f>
        <v>94</v>
      </c>
    </row>
    <row r="182" spans="1:1">
      <c r="A182" s="1" t="s">
        <v>164</v>
      </c>
    </row>
    <row r="183" spans="1:1">
      <c r="A183" s="1">
        <f>SUM(A177,A179,A181)</f>
        <v>143</v>
      </c>
    </row>
    <row r="184" spans="1:1">
      <c r="A184" s="1" t="s">
        <v>96</v>
      </c>
    </row>
    <row r="185" spans="1:1">
      <c r="A185" s="2">
        <f>COUNTIF(K:K,"Undone")</f>
        <v>6</v>
      </c>
    </row>
    <row r="186" spans="1:1">
      <c r="A186" s="1" t="s">
        <v>125</v>
      </c>
    </row>
    <row r="187" spans="1:1">
      <c r="A187" s="2">
        <f>COUNTIF(K:K,"Pending")</f>
        <v>14</v>
      </c>
    </row>
    <row r="188" spans="1:1">
      <c r="A188" s="1" t="s">
        <v>167</v>
      </c>
    </row>
    <row r="189" spans="1:1">
      <c r="A189" s="1">
        <f>SUM(A185,A187)</f>
        <v>20</v>
      </c>
    </row>
    <row r="190" spans="1:1">
      <c r="A190" s="1" t="s">
        <v>168</v>
      </c>
    </row>
    <row r="191" spans="1:1">
      <c r="A191" s="11">
        <f>(A183)/(A167)</f>
        <v>0.87730061349693256</v>
      </c>
    </row>
    <row r="192" spans="1:1">
      <c r="A192" s="10" t="s">
        <v>671</v>
      </c>
    </row>
    <row r="193" spans="1:2">
      <c r="A193" s="11">
        <f>SUM((A173/A169)-1)</f>
        <v>0.11312298314808178</v>
      </c>
    </row>
    <row r="194" spans="1:2">
      <c r="A194" s="10" t="s">
        <v>672</v>
      </c>
    </row>
    <row r="195" spans="1:2">
      <c r="A195" s="11">
        <f>SUM((A175/A169)-1)</f>
        <v>-0.17803872355683048</v>
      </c>
    </row>
    <row r="196" spans="1:2">
      <c r="A196" t="s">
        <v>673</v>
      </c>
    </row>
    <row r="197" spans="1:2">
      <c r="A197" t="s">
        <v>674</v>
      </c>
    </row>
    <row r="198" spans="1:2">
      <c r="A198" t="s">
        <v>675</v>
      </c>
    </row>
    <row r="199" spans="1:2">
      <c r="A199" t="s">
        <v>676</v>
      </c>
    </row>
    <row r="200" spans="1:2">
      <c r="A200" t="s">
        <v>677</v>
      </c>
    </row>
    <row r="201" spans="1:2">
      <c r="A201" t="s">
        <v>678</v>
      </c>
    </row>
    <row r="203" spans="1:2">
      <c r="A203" t="s">
        <v>679</v>
      </c>
    </row>
    <row r="204" spans="1:2">
      <c r="A204" s="10" t="s">
        <v>680</v>
      </c>
      <c r="B204" s="63" t="s">
        <v>681</v>
      </c>
    </row>
    <row r="205" spans="1:2">
      <c r="A205" t="s">
        <v>244</v>
      </c>
      <c r="B205" s="41">
        <f>COUNTIF(M:M,"Nis America")</f>
        <v>28</v>
      </c>
    </row>
    <row r="206" spans="1:2">
      <c r="A206" t="s">
        <v>82</v>
      </c>
      <c r="B206" s="41">
        <f>COUNTIF(M:M,"SCEA")</f>
        <v>25</v>
      </c>
    </row>
    <row r="207" spans="1:2">
      <c r="A207" t="s">
        <v>122</v>
      </c>
      <c r="B207" s="41">
        <f>COUNTIF(M:M,"EA")</f>
        <v>9</v>
      </c>
    </row>
    <row r="208" spans="1:2">
      <c r="A208" t="s">
        <v>305</v>
      </c>
      <c r="B208" s="41">
        <f>COUNTIF(M:M,"Squarenix")</f>
        <v>0</v>
      </c>
    </row>
    <row r="209" spans="1:2">
      <c r="A209" t="s">
        <v>240</v>
      </c>
      <c r="B209" s="41">
        <f>COUNTIF(M:M,"Bandai Namco")</f>
        <v>8</v>
      </c>
    </row>
    <row r="210" spans="1:2">
      <c r="A210" t="s">
        <v>185</v>
      </c>
      <c r="B210" s="41">
        <f>COUNTIF(M:M,"WB Games")</f>
        <v>11</v>
      </c>
    </row>
    <row r="211" spans="1:2">
      <c r="A211" t="s">
        <v>177</v>
      </c>
      <c r="B211" s="41">
        <f>COUNTIF(M:M,"Atlus")</f>
        <v>7</v>
      </c>
    </row>
    <row r="212" spans="1:2">
      <c r="A212" t="s">
        <v>533</v>
      </c>
      <c r="B212" s="41">
        <f>COUNTIF(M:M,"Bethesda")</f>
        <v>4</v>
      </c>
    </row>
    <row r="213" spans="1:2">
      <c r="A213" t="s">
        <v>136</v>
      </c>
      <c r="B213" s="41">
        <f>COUNTIF(M:M,"Koei")</f>
        <v>4</v>
      </c>
    </row>
    <row r="214" spans="1:2">
      <c r="A214" t="s">
        <v>189</v>
      </c>
      <c r="B214" s="41">
        <f>COUNTIF(M:M,"2K Games")</f>
        <v>4</v>
      </c>
    </row>
    <row r="215" spans="1:2">
      <c r="A215" t="s">
        <v>255</v>
      </c>
      <c r="B215" s="41">
        <f>COUNTIF(M:M,"Capcom")</f>
        <v>5</v>
      </c>
    </row>
    <row r="216" spans="1:2">
      <c r="A216" t="s">
        <v>558</v>
      </c>
      <c r="B216" s="41">
        <f>COUNTIF(M:M,"Aksys")</f>
        <v>3</v>
      </c>
    </row>
    <row r="217" spans="1:2">
      <c r="A217" t="s">
        <v>258</v>
      </c>
      <c r="B217" s="41">
        <f>COUNTIF(M:M,"Sega")</f>
        <v>3</v>
      </c>
    </row>
    <row r="218" spans="1:2">
      <c r="A218" t="s">
        <v>215</v>
      </c>
      <c r="B218" s="41">
        <f>COUNTIF(M:M,"Lucasarts")</f>
        <v>2</v>
      </c>
    </row>
    <row r="219" spans="1:2">
      <c r="A219" t="s">
        <v>211</v>
      </c>
      <c r="B219" s="41">
        <f>COUNTIF(M:M,"Namco")</f>
        <v>3</v>
      </c>
    </row>
    <row r="220" spans="1:2">
      <c r="A220" t="s">
        <v>489</v>
      </c>
      <c r="B220" s="41">
        <f>COUNTIF(M:M,"Koei Tecmo")</f>
        <v>3</v>
      </c>
    </row>
    <row r="221" spans="1:2">
      <c r="A221" t="s">
        <v>191</v>
      </c>
      <c r="B221" s="41">
        <f>COUNTIF(M:M,"Ubisoft")</f>
        <v>6</v>
      </c>
    </row>
    <row r="222" spans="1:2">
      <c r="A222" t="s">
        <v>303</v>
      </c>
      <c r="B222" s="41">
        <f>COUNTIF(M:M,"Tecmo")</f>
        <v>2</v>
      </c>
    </row>
    <row r="223" spans="1:2">
      <c r="A223" t="s">
        <v>151</v>
      </c>
      <c r="B223" s="41">
        <f>COUNTIF(M:M,"Natsume")</f>
        <v>1</v>
      </c>
    </row>
    <row r="224" spans="1:2">
      <c r="A224" t="s">
        <v>582</v>
      </c>
      <c r="B224" s="41">
        <f>COUNTIF(M:M,"Disney")</f>
        <v>1</v>
      </c>
    </row>
    <row r="225" spans="1:2">
      <c r="A225" t="s">
        <v>200</v>
      </c>
      <c r="B225" s="41">
        <f>COUNTIF(M:M,"Midway")</f>
        <v>1</v>
      </c>
    </row>
    <row r="226" spans="1:2">
      <c r="A226" t="s">
        <v>218</v>
      </c>
      <c r="B226" s="41">
        <f>COUNTIF(M:M,"Rockstar")</f>
        <v>2</v>
      </c>
    </row>
    <row r="227" spans="1:2">
      <c r="A227" t="s">
        <v>626</v>
      </c>
      <c r="B227" s="41">
        <f>COUNTIF(M:M,"Screenlife")</f>
        <v>1</v>
      </c>
    </row>
  </sheetData>
  <phoneticPr fontId="2" type="noConversion"/>
  <conditionalFormatting sqref="J115">
    <cfRule type="colorScale" priority="1">
      <colorScale>
        <cfvo type="formula" val="&quot;&lt;2015-01-01&quot;"/>
        <cfvo type="max"/>
        <color rgb="FFFF7128"/>
        <color rgb="FFFFEF9C"/>
      </colorScale>
    </cfRule>
  </conditionalFormatting>
  <pageMargins left="0.75" right="0.75" top="1" bottom="1" header="0.4921259845" footer="0.4921259845"/>
  <pageSetup orientation="portrait" horizontalDpi="4294967293" r:id="rId1"/>
  <headerFooter alignWithMargins="0"/>
  <legacy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7"/>
  </sheetPr>
  <dimension ref="A1:N70"/>
  <sheetViews>
    <sheetView workbookViewId="0" xr3:uid="{78B4E459-6924-5F8B-B7BA-2DD04133E49E}">
      <selection activeCell="F9" sqref="F9"/>
    </sheetView>
  </sheetViews>
  <sheetFormatPr defaultColWidth="11.42578125" defaultRowHeight="12.75"/>
  <cols>
    <col min="1" max="1" width="18.7109375" bestFit="1" customWidth="1"/>
    <col min="2" max="2" width="11.28515625" style="41" bestFit="1" customWidth="1"/>
    <col min="3" max="3" width="41.7109375" bestFit="1" customWidth="1"/>
    <col min="9" max="9" width="11.42578125" style="48"/>
    <col min="11" max="11" width="11.42578125" style="1"/>
    <col min="13" max="13" width="13.28515625" customWidth="1"/>
  </cols>
  <sheetData>
    <row r="1" spans="1:14">
      <c r="A1" s="1" t="s">
        <v>63</v>
      </c>
      <c r="B1" s="4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/>
      <c r="I1" s="58" t="s">
        <v>71</v>
      </c>
      <c r="J1" t="s">
        <v>73</v>
      </c>
      <c r="K1" s="1" t="s">
        <v>74</v>
      </c>
      <c r="L1" t="s">
        <v>75</v>
      </c>
      <c r="M1" t="s">
        <v>1</v>
      </c>
      <c r="N1" s="10" t="s">
        <v>480</v>
      </c>
    </row>
    <row r="2" spans="1:14">
      <c r="A2" s="1"/>
      <c r="B2" s="63" t="s">
        <v>682</v>
      </c>
      <c r="C2" s="10" t="s">
        <v>683</v>
      </c>
      <c r="D2" s="10" t="s">
        <v>105</v>
      </c>
      <c r="E2">
        <v>115</v>
      </c>
      <c r="F2" s="37">
        <v>165</v>
      </c>
      <c r="G2" s="39">
        <v>195</v>
      </c>
      <c r="H2" s="64">
        <f t="shared" ref="H2:H10" si="0">MIN(F2:G2)</f>
        <v>165</v>
      </c>
      <c r="I2" s="58">
        <v>42403</v>
      </c>
      <c r="J2" s="10" t="s">
        <v>96</v>
      </c>
      <c r="L2" s="10" t="s">
        <v>176</v>
      </c>
      <c r="M2" s="10" t="s">
        <v>305</v>
      </c>
      <c r="N2" s="10"/>
    </row>
    <row r="3" spans="1:14">
      <c r="A3" s="1"/>
      <c r="B3" s="63" t="s">
        <v>682</v>
      </c>
      <c r="C3" s="10" t="s">
        <v>683</v>
      </c>
      <c r="D3" s="10" t="s">
        <v>105</v>
      </c>
      <c r="E3">
        <v>115</v>
      </c>
      <c r="F3" s="37">
        <v>165</v>
      </c>
      <c r="G3" s="39">
        <v>195</v>
      </c>
      <c r="H3" s="64">
        <f t="shared" ref="H3" si="1">MIN(F3:G3)</f>
        <v>165</v>
      </c>
      <c r="I3" s="58">
        <v>42403</v>
      </c>
      <c r="J3" s="10" t="s">
        <v>96</v>
      </c>
      <c r="L3" s="10" t="s">
        <v>176</v>
      </c>
      <c r="M3" s="10" t="s">
        <v>305</v>
      </c>
      <c r="N3" s="10"/>
    </row>
    <row r="4" spans="1:14" s="1" customFormat="1">
      <c r="A4" s="14"/>
      <c r="B4" s="63" t="s">
        <v>682</v>
      </c>
      <c r="C4" s="10" t="s">
        <v>684</v>
      </c>
      <c r="D4" s="10" t="s">
        <v>105</v>
      </c>
      <c r="E4">
        <v>90</v>
      </c>
      <c r="F4">
        <v>140</v>
      </c>
      <c r="G4" s="10">
        <v>150</v>
      </c>
      <c r="H4" s="64">
        <f t="shared" si="0"/>
        <v>140</v>
      </c>
      <c r="I4" s="48">
        <v>42401</v>
      </c>
      <c r="J4" s="10" t="s">
        <v>96</v>
      </c>
      <c r="L4" s="10" t="s">
        <v>176</v>
      </c>
      <c r="M4" s="10" t="s">
        <v>244</v>
      </c>
      <c r="N4"/>
    </row>
    <row r="5" spans="1:14" s="1" customFormat="1">
      <c r="A5" s="14"/>
      <c r="B5" s="63" t="s">
        <v>150</v>
      </c>
      <c r="C5" s="10" t="s">
        <v>685</v>
      </c>
      <c r="D5" s="10" t="s">
        <v>81</v>
      </c>
      <c r="E5">
        <v>80</v>
      </c>
      <c r="F5">
        <v>85</v>
      </c>
      <c r="G5" s="10">
        <v>80</v>
      </c>
      <c r="H5" s="64">
        <f t="shared" si="0"/>
        <v>80</v>
      </c>
      <c r="I5" s="48">
        <v>42403</v>
      </c>
      <c r="J5" s="10" t="s">
        <v>96</v>
      </c>
      <c r="L5" s="10" t="s">
        <v>176</v>
      </c>
      <c r="M5" s="10" t="s">
        <v>244</v>
      </c>
      <c r="N5"/>
    </row>
    <row r="6" spans="1:14" s="1" customFormat="1">
      <c r="A6" s="14"/>
      <c r="B6" s="63" t="s">
        <v>150</v>
      </c>
      <c r="C6" s="10" t="s">
        <v>686</v>
      </c>
      <c r="D6" s="10" t="s">
        <v>105</v>
      </c>
      <c r="E6">
        <v>105</v>
      </c>
      <c r="F6">
        <v>280</v>
      </c>
      <c r="G6">
        <v>460</v>
      </c>
      <c r="H6" s="64">
        <f t="shared" si="0"/>
        <v>280</v>
      </c>
      <c r="I6" s="48">
        <v>42403</v>
      </c>
      <c r="J6" s="10" t="s">
        <v>96</v>
      </c>
      <c r="L6" s="10" t="s">
        <v>176</v>
      </c>
      <c r="M6" s="10" t="s">
        <v>244</v>
      </c>
      <c r="N6"/>
    </row>
    <row r="7" spans="1:14" s="1" customFormat="1">
      <c r="A7" s="14"/>
      <c r="B7" s="63" t="s">
        <v>150</v>
      </c>
      <c r="C7" s="10" t="s">
        <v>687</v>
      </c>
      <c r="D7" s="10" t="s">
        <v>105</v>
      </c>
      <c r="E7">
        <v>85</v>
      </c>
      <c r="F7">
        <v>152</v>
      </c>
      <c r="G7">
        <v>235</v>
      </c>
      <c r="H7" s="64">
        <f t="shared" si="0"/>
        <v>152</v>
      </c>
      <c r="I7" s="48">
        <v>42403</v>
      </c>
      <c r="J7" s="10" t="s">
        <v>96</v>
      </c>
      <c r="L7" s="10" t="s">
        <v>176</v>
      </c>
      <c r="M7" s="10" t="s">
        <v>305</v>
      </c>
      <c r="N7"/>
    </row>
    <row r="8" spans="1:14" s="1" customFormat="1">
      <c r="A8" s="14"/>
      <c r="B8" s="63" t="s">
        <v>150</v>
      </c>
      <c r="C8" s="10" t="s">
        <v>688</v>
      </c>
      <c r="D8" s="10" t="s">
        <v>105</v>
      </c>
      <c r="E8">
        <v>85</v>
      </c>
      <c r="F8">
        <v>190</v>
      </c>
      <c r="G8" s="10" t="s">
        <v>89</v>
      </c>
      <c r="H8" s="64">
        <f t="shared" si="0"/>
        <v>190</v>
      </c>
      <c r="I8" s="48">
        <v>42403</v>
      </c>
      <c r="J8" s="10" t="s">
        <v>96</v>
      </c>
      <c r="L8" s="10" t="s">
        <v>176</v>
      </c>
      <c r="M8" s="10" t="s">
        <v>136</v>
      </c>
      <c r="N8"/>
    </row>
    <row r="9" spans="1:14" s="1" customFormat="1">
      <c r="A9" s="14"/>
      <c r="B9" s="63" t="s">
        <v>150</v>
      </c>
      <c r="C9" s="10" t="s">
        <v>689</v>
      </c>
      <c r="D9" s="10" t="s">
        <v>81</v>
      </c>
      <c r="E9">
        <v>80</v>
      </c>
      <c r="F9">
        <v>66</v>
      </c>
      <c r="G9" s="10">
        <v>70</v>
      </c>
      <c r="H9" s="64">
        <f t="shared" si="0"/>
        <v>66</v>
      </c>
      <c r="I9" s="48">
        <v>42403</v>
      </c>
      <c r="J9" s="10" t="s">
        <v>96</v>
      </c>
      <c r="L9" s="10" t="s">
        <v>176</v>
      </c>
      <c r="M9" s="10" t="s">
        <v>533</v>
      </c>
      <c r="N9"/>
    </row>
    <row r="10" spans="1:14" s="1" customFormat="1">
      <c r="A10" s="14"/>
      <c r="B10" s="63" t="s">
        <v>150</v>
      </c>
      <c r="C10" s="124" t="s">
        <v>690</v>
      </c>
      <c r="D10" s="10" t="s">
        <v>105</v>
      </c>
      <c r="E10">
        <v>75</v>
      </c>
      <c r="F10">
        <v>195</v>
      </c>
      <c r="G10" s="10" t="s">
        <v>89</v>
      </c>
      <c r="H10" s="64">
        <f t="shared" si="0"/>
        <v>195</v>
      </c>
      <c r="I10" s="48">
        <v>42403</v>
      </c>
      <c r="J10" s="10" t="s">
        <v>96</v>
      </c>
      <c r="L10" s="10" t="s">
        <v>176</v>
      </c>
      <c r="M10" s="10" t="s">
        <v>244</v>
      </c>
      <c r="N10"/>
    </row>
    <row r="11" spans="1:14" s="1" customFormat="1">
      <c r="A11" s="1" t="s">
        <v>691</v>
      </c>
      <c r="B11" s="41"/>
      <c r="C11"/>
      <c r="D11"/>
      <c r="E11"/>
      <c r="F11"/>
      <c r="G11"/>
      <c r="H11"/>
      <c r="I11" s="48"/>
      <c r="J11"/>
      <c r="L11"/>
      <c r="M11"/>
      <c r="N11"/>
    </row>
    <row r="12" spans="1:14" s="1" customFormat="1">
      <c r="A12" s="8">
        <f>COUNTA(B1:B10)-1</f>
        <v>9</v>
      </c>
      <c r="B12" s="41"/>
      <c r="C12"/>
      <c r="D12"/>
      <c r="E12"/>
      <c r="F12"/>
      <c r="G12"/>
      <c r="H12"/>
      <c r="I12" s="48"/>
      <c r="J12"/>
      <c r="L12"/>
      <c r="M12"/>
      <c r="N12"/>
    </row>
    <row r="13" spans="1:14" s="1" customFormat="1">
      <c r="A13" s="1" t="s">
        <v>169</v>
      </c>
      <c r="B13" s="41"/>
      <c r="C13"/>
      <c r="D13"/>
      <c r="E13"/>
      <c r="F13"/>
      <c r="G13"/>
      <c r="H13"/>
      <c r="I13" s="48"/>
      <c r="J13"/>
      <c r="L13"/>
      <c r="M13"/>
      <c r="N13"/>
    </row>
    <row r="14" spans="1:14" s="1" customFormat="1">
      <c r="A14" s="6">
        <f>SUM(E:E)</f>
        <v>830</v>
      </c>
      <c r="B14" s="41"/>
      <c r="C14"/>
      <c r="D14"/>
      <c r="E14"/>
      <c r="F14"/>
      <c r="G14"/>
      <c r="H14"/>
      <c r="I14" s="48"/>
      <c r="J14"/>
      <c r="L14"/>
      <c r="M14"/>
      <c r="N14"/>
    </row>
    <row r="15" spans="1:14" s="1" customFormat="1">
      <c r="A15" s="64" t="s">
        <v>669</v>
      </c>
      <c r="B15" s="41"/>
      <c r="C15"/>
      <c r="D15"/>
      <c r="E15"/>
      <c r="F15"/>
      <c r="G15"/>
      <c r="H15"/>
      <c r="I15" s="48"/>
      <c r="J15"/>
      <c r="L15"/>
      <c r="M15"/>
      <c r="N15"/>
    </row>
    <row r="16" spans="1:14" s="1" customFormat="1">
      <c r="A16" s="6">
        <f>AVERAGE(E:E)</f>
        <v>92.222222222222229</v>
      </c>
      <c r="B16" s="41"/>
      <c r="C16"/>
      <c r="D16"/>
      <c r="E16"/>
      <c r="F16"/>
      <c r="G16"/>
      <c r="H16"/>
      <c r="I16" s="48"/>
      <c r="J16"/>
      <c r="L16"/>
      <c r="M16"/>
      <c r="N16"/>
    </row>
    <row r="17" spans="1:14" s="1" customFormat="1">
      <c r="A17" s="1" t="s">
        <v>159</v>
      </c>
      <c r="B17" s="41"/>
      <c r="C17"/>
      <c r="D17"/>
      <c r="E17"/>
      <c r="F17"/>
      <c r="G17"/>
      <c r="H17"/>
      <c r="I17" s="48"/>
      <c r="J17"/>
      <c r="L17"/>
      <c r="M17"/>
      <c r="N17"/>
    </row>
    <row r="18" spans="1:14" s="1" customFormat="1">
      <c r="A18" s="6">
        <f>SUM(F:F)</f>
        <v>1438</v>
      </c>
      <c r="B18" s="41"/>
      <c r="C18" s="10"/>
      <c r="D18"/>
      <c r="E18"/>
      <c r="F18"/>
      <c r="G18"/>
      <c r="H18"/>
      <c r="I18" s="48"/>
      <c r="J18"/>
      <c r="L18"/>
      <c r="M18"/>
      <c r="N18"/>
    </row>
    <row r="19" spans="1:14" s="1" customFormat="1">
      <c r="A19" s="10" t="s">
        <v>160</v>
      </c>
      <c r="B19" s="41"/>
      <c r="C19" s="10"/>
      <c r="D19"/>
      <c r="E19"/>
      <c r="F19"/>
      <c r="G19"/>
      <c r="H19"/>
      <c r="I19" s="48"/>
      <c r="J19"/>
      <c r="L19"/>
      <c r="M19"/>
      <c r="N19"/>
    </row>
    <row r="20" spans="1:14" s="1" customFormat="1">
      <c r="A20" s="10">
        <f>(A18-(A12*15))*0.85</f>
        <v>1107.55</v>
      </c>
      <c r="B20" s="41"/>
      <c r="C20" s="10"/>
      <c r="D20"/>
      <c r="E20"/>
      <c r="F20"/>
      <c r="G20"/>
      <c r="H20"/>
      <c r="I20" s="48"/>
      <c r="J20"/>
      <c r="L20"/>
      <c r="M20"/>
      <c r="N20"/>
    </row>
    <row r="21" spans="1:14" s="1" customFormat="1">
      <c r="A21" s="1" t="s">
        <v>162</v>
      </c>
      <c r="B21" s="41"/>
      <c r="C21"/>
      <c r="D21"/>
      <c r="E21"/>
      <c r="F21"/>
      <c r="G21"/>
      <c r="H21"/>
      <c r="I21" s="48"/>
      <c r="J21"/>
      <c r="L21"/>
      <c r="M21"/>
      <c r="N21"/>
    </row>
    <row r="22" spans="1:14" s="1" customFormat="1">
      <c r="A22" s="2">
        <f>COUNTIF(J:J,"Completed")</f>
        <v>0</v>
      </c>
      <c r="B22" s="41"/>
      <c r="C22"/>
      <c r="D22"/>
      <c r="E22"/>
      <c r="F22"/>
      <c r="G22"/>
      <c r="H22"/>
      <c r="I22" s="48"/>
      <c r="J22"/>
      <c r="L22"/>
      <c r="M22"/>
      <c r="N22"/>
    </row>
    <row r="23" spans="1:14" s="1" customFormat="1">
      <c r="A23" s="1" t="s">
        <v>163</v>
      </c>
      <c r="B23" s="41"/>
      <c r="C23"/>
      <c r="D23"/>
      <c r="E23"/>
      <c r="F23"/>
      <c r="G23"/>
      <c r="H23"/>
      <c r="I23" s="48"/>
      <c r="J23"/>
      <c r="L23"/>
      <c r="M23"/>
      <c r="N23"/>
    </row>
    <row r="24" spans="1:14" s="41" customFormat="1">
      <c r="A24" s="2">
        <f>COUNTIF(J:J,"CBD")</f>
        <v>0</v>
      </c>
      <c r="C24"/>
      <c r="D24"/>
      <c r="E24"/>
      <c r="F24"/>
      <c r="G24"/>
      <c r="H24"/>
      <c r="I24" s="48"/>
      <c r="J24"/>
      <c r="K24" s="1"/>
      <c r="L24"/>
      <c r="M24"/>
      <c r="N24"/>
    </row>
    <row r="25" spans="1:14" s="41" customFormat="1">
      <c r="A25" s="1" t="s">
        <v>164</v>
      </c>
      <c r="C25"/>
      <c r="D25"/>
      <c r="E25"/>
      <c r="F25"/>
      <c r="G25"/>
      <c r="H25"/>
      <c r="I25" s="48"/>
      <c r="J25"/>
      <c r="K25" s="1"/>
      <c r="L25"/>
      <c r="M25"/>
      <c r="N25"/>
    </row>
    <row r="26" spans="1:14" s="41" customFormat="1">
      <c r="A26" s="1">
        <f>SUM(A22,A24)</f>
        <v>0</v>
      </c>
      <c r="C26"/>
      <c r="D26"/>
      <c r="E26"/>
      <c r="F26"/>
      <c r="G26"/>
      <c r="H26"/>
      <c r="I26" s="48"/>
      <c r="J26"/>
      <c r="K26" s="1"/>
      <c r="L26"/>
      <c r="M26"/>
      <c r="N26"/>
    </row>
    <row r="27" spans="1:14" s="41" customFormat="1">
      <c r="A27" s="1" t="s">
        <v>96</v>
      </c>
      <c r="C27"/>
      <c r="D27"/>
      <c r="E27"/>
      <c r="F27"/>
      <c r="G27"/>
      <c r="H27"/>
      <c r="I27" s="48"/>
      <c r="J27"/>
      <c r="K27" s="1"/>
      <c r="L27"/>
      <c r="M27"/>
      <c r="N27"/>
    </row>
    <row r="28" spans="1:14" s="41" customFormat="1">
      <c r="A28" s="2">
        <f>COUNTIF(J:J,"Undone")</f>
        <v>9</v>
      </c>
      <c r="C28"/>
      <c r="D28"/>
      <c r="E28"/>
      <c r="F28"/>
      <c r="G28"/>
      <c r="H28"/>
      <c r="I28" s="48"/>
      <c r="J28"/>
      <c r="K28" s="1"/>
      <c r="L28"/>
      <c r="M28"/>
      <c r="N28"/>
    </row>
    <row r="29" spans="1:14" s="41" customFormat="1">
      <c r="A29" s="1" t="s">
        <v>125</v>
      </c>
      <c r="C29"/>
      <c r="D29"/>
      <c r="E29"/>
      <c r="F29"/>
      <c r="G29"/>
      <c r="H29"/>
      <c r="I29" s="48"/>
      <c r="J29"/>
      <c r="K29" s="1"/>
      <c r="L29"/>
      <c r="M29"/>
      <c r="N29"/>
    </row>
    <row r="30" spans="1:14" s="41" customFormat="1">
      <c r="A30" s="2">
        <f>COUNTIF(J:J,"Pending")</f>
        <v>0</v>
      </c>
      <c r="C30"/>
      <c r="D30"/>
      <c r="E30"/>
      <c r="F30"/>
      <c r="G30"/>
      <c r="H30"/>
      <c r="I30" s="48"/>
      <c r="J30"/>
      <c r="K30" s="1"/>
      <c r="L30"/>
      <c r="M30"/>
      <c r="N30"/>
    </row>
    <row r="31" spans="1:14" s="41" customFormat="1">
      <c r="A31" s="1" t="s">
        <v>167</v>
      </c>
      <c r="C31"/>
      <c r="D31"/>
      <c r="E31"/>
      <c r="F31"/>
      <c r="G31"/>
      <c r="H31"/>
      <c r="I31" s="48"/>
      <c r="J31"/>
      <c r="K31" s="1"/>
      <c r="L31"/>
      <c r="M31"/>
      <c r="N31"/>
    </row>
    <row r="32" spans="1:14" s="41" customFormat="1">
      <c r="A32" s="1">
        <f>SUM(A28,A30)</f>
        <v>9</v>
      </c>
      <c r="C32"/>
      <c r="D32"/>
      <c r="E32"/>
      <c r="F32"/>
      <c r="G32"/>
      <c r="H32"/>
      <c r="I32" s="48"/>
      <c r="J32"/>
      <c r="K32" s="1"/>
      <c r="L32"/>
      <c r="M32"/>
      <c r="N32"/>
    </row>
    <row r="33" spans="1:14" s="41" customFormat="1">
      <c r="A33" s="1" t="s">
        <v>168</v>
      </c>
      <c r="C33"/>
      <c r="D33"/>
      <c r="E33"/>
      <c r="F33"/>
      <c r="G33"/>
      <c r="H33"/>
      <c r="I33" s="48"/>
      <c r="J33"/>
      <c r="K33" s="1"/>
      <c r="L33"/>
      <c r="M33"/>
      <c r="N33"/>
    </row>
    <row r="34" spans="1:14" s="41" customFormat="1">
      <c r="A34" s="11">
        <f>(A26)/(A12)</f>
        <v>0</v>
      </c>
      <c r="C34"/>
      <c r="D34"/>
      <c r="E34"/>
      <c r="F34"/>
      <c r="G34"/>
      <c r="H34"/>
      <c r="I34" s="48"/>
      <c r="J34"/>
      <c r="K34" s="1"/>
      <c r="L34"/>
      <c r="M34"/>
      <c r="N34"/>
    </row>
    <row r="35" spans="1:14" s="41" customFormat="1">
      <c r="A35" s="10" t="s">
        <v>692</v>
      </c>
      <c r="C35"/>
      <c r="D35"/>
      <c r="E35"/>
      <c r="F35"/>
      <c r="G35"/>
      <c r="H35"/>
      <c r="I35" s="48"/>
      <c r="J35"/>
      <c r="K35" s="1"/>
      <c r="L35"/>
      <c r="M35"/>
      <c r="N35"/>
    </row>
    <row r="36" spans="1:14" s="41" customFormat="1">
      <c r="A36" s="11">
        <f>SUM(1-(A18/A14))</f>
        <v>-0.73253012048192767</v>
      </c>
      <c r="C36"/>
      <c r="D36"/>
      <c r="E36"/>
      <c r="F36"/>
      <c r="G36"/>
      <c r="H36"/>
      <c r="I36" s="48"/>
      <c r="J36"/>
      <c r="K36" s="1"/>
      <c r="L36"/>
      <c r="M36"/>
      <c r="N36"/>
    </row>
    <row r="37" spans="1:14" s="41" customFormat="1">
      <c r="A37" s="140" t="s">
        <v>693</v>
      </c>
      <c r="C37"/>
      <c r="D37"/>
      <c r="E37"/>
      <c r="F37"/>
      <c r="G37"/>
      <c r="H37"/>
      <c r="I37" s="48"/>
      <c r="J37"/>
      <c r="K37" s="1"/>
      <c r="L37"/>
      <c r="M37"/>
      <c r="N37"/>
    </row>
    <row r="38" spans="1:14" s="41" customFormat="1">
      <c r="A38" s="47" t="e">
        <f>AVERAGE(#REF!)</f>
        <v>#REF!</v>
      </c>
      <c r="C38"/>
      <c r="D38"/>
      <c r="E38"/>
      <c r="F38"/>
      <c r="G38"/>
      <c r="H38"/>
      <c r="I38" s="48"/>
      <c r="J38"/>
      <c r="K38" s="1"/>
      <c r="L38"/>
      <c r="M38"/>
      <c r="N38"/>
    </row>
    <row r="39" spans="1:14" s="41" customFormat="1">
      <c r="A39"/>
      <c r="C39"/>
      <c r="D39"/>
      <c r="E39"/>
      <c r="F39"/>
      <c r="G39"/>
      <c r="H39"/>
      <c r="I39" s="48"/>
      <c r="J39"/>
      <c r="K39" s="1"/>
      <c r="L39"/>
      <c r="M39"/>
      <c r="N39"/>
    </row>
    <row r="46" spans="1:14">
      <c r="A46" t="s">
        <v>679</v>
      </c>
    </row>
    <row r="47" spans="1:14">
      <c r="A47" s="10" t="s">
        <v>680</v>
      </c>
      <c r="B47" s="63" t="s">
        <v>681</v>
      </c>
    </row>
    <row r="48" spans="1:14">
      <c r="A48" t="s">
        <v>244</v>
      </c>
      <c r="B48" s="41">
        <f>COUNTIF(M:M,"Nis America")</f>
        <v>4</v>
      </c>
    </row>
    <row r="49" spans="1:2">
      <c r="A49" t="s">
        <v>82</v>
      </c>
      <c r="B49" s="41">
        <f>COUNTIF(M:M,"SCEA")</f>
        <v>0</v>
      </c>
    </row>
    <row r="50" spans="1:2">
      <c r="A50" t="s">
        <v>122</v>
      </c>
      <c r="B50" s="41">
        <f>COUNTIF(M:M,"EA")</f>
        <v>0</v>
      </c>
    </row>
    <row r="51" spans="1:2">
      <c r="A51" t="s">
        <v>305</v>
      </c>
      <c r="B51" s="41">
        <f>COUNTIF(M:M,"Squarenix")</f>
        <v>3</v>
      </c>
    </row>
    <row r="52" spans="1:2">
      <c r="A52" t="s">
        <v>240</v>
      </c>
      <c r="B52" s="41">
        <f>COUNTIF(M:M,"Bandai Namco")</f>
        <v>0</v>
      </c>
    </row>
    <row r="53" spans="1:2">
      <c r="A53" t="s">
        <v>185</v>
      </c>
      <c r="B53" s="41">
        <f>COUNTIF(M:M,"WB Games")</f>
        <v>0</v>
      </c>
    </row>
    <row r="54" spans="1:2">
      <c r="A54" t="s">
        <v>177</v>
      </c>
      <c r="B54" s="41">
        <f>COUNTIF(M:M,"Atlus")</f>
        <v>0</v>
      </c>
    </row>
    <row r="55" spans="1:2">
      <c r="A55" t="s">
        <v>533</v>
      </c>
      <c r="B55" s="41">
        <f>COUNTIF(M:M,"Bethesda")</f>
        <v>1</v>
      </c>
    </row>
    <row r="56" spans="1:2">
      <c r="A56" t="s">
        <v>136</v>
      </c>
      <c r="B56" s="41">
        <f>COUNTIF(M:M,"Koei")</f>
        <v>1</v>
      </c>
    </row>
    <row r="57" spans="1:2">
      <c r="A57" t="s">
        <v>189</v>
      </c>
      <c r="B57" s="41">
        <f>COUNTIF(M:M,"2K Games")</f>
        <v>0</v>
      </c>
    </row>
    <row r="58" spans="1:2">
      <c r="A58" t="s">
        <v>255</v>
      </c>
      <c r="B58" s="41">
        <f>COUNTIF(M:M,"Capcom")</f>
        <v>0</v>
      </c>
    </row>
    <row r="59" spans="1:2">
      <c r="A59" t="s">
        <v>558</v>
      </c>
      <c r="B59" s="41">
        <f>COUNTIF(M:M,"Aksys")</f>
        <v>0</v>
      </c>
    </row>
    <row r="60" spans="1:2">
      <c r="A60" t="s">
        <v>258</v>
      </c>
      <c r="B60" s="41">
        <f>COUNTIF(M:M,"Sega")</f>
        <v>0</v>
      </c>
    </row>
    <row r="61" spans="1:2">
      <c r="A61" t="s">
        <v>215</v>
      </c>
      <c r="B61" s="41">
        <f>COUNTIF(M:M,"Lucasarts")</f>
        <v>0</v>
      </c>
    </row>
    <row r="62" spans="1:2">
      <c r="A62" t="s">
        <v>211</v>
      </c>
      <c r="B62" s="41">
        <f>COUNTIF(M:M,"Namco")</f>
        <v>0</v>
      </c>
    </row>
    <row r="63" spans="1:2">
      <c r="A63" t="s">
        <v>489</v>
      </c>
      <c r="B63" s="41">
        <f>COUNTIF(M:M,"Koei Tecmo")</f>
        <v>0</v>
      </c>
    </row>
    <row r="64" spans="1:2">
      <c r="A64" t="s">
        <v>191</v>
      </c>
      <c r="B64" s="41">
        <f>COUNTIF(M:M,"Ubisoft")</f>
        <v>0</v>
      </c>
    </row>
    <row r="65" spans="1:2">
      <c r="A65" t="s">
        <v>303</v>
      </c>
      <c r="B65" s="41">
        <f>COUNTIF(M:M,"Tecmo")</f>
        <v>0</v>
      </c>
    </row>
    <row r="66" spans="1:2">
      <c r="A66" t="s">
        <v>151</v>
      </c>
      <c r="B66" s="41">
        <f>COUNTIF(M:M,"Natsume")</f>
        <v>0</v>
      </c>
    </row>
    <row r="67" spans="1:2">
      <c r="A67" t="s">
        <v>582</v>
      </c>
      <c r="B67" s="41">
        <f>COUNTIF(M:M,"Disney")</f>
        <v>0</v>
      </c>
    </row>
    <row r="68" spans="1:2">
      <c r="A68" t="s">
        <v>200</v>
      </c>
      <c r="B68" s="41">
        <f>COUNTIF(M:M,"Midway")</f>
        <v>0</v>
      </c>
    </row>
    <row r="69" spans="1:2">
      <c r="A69" t="s">
        <v>218</v>
      </c>
      <c r="B69" s="41">
        <f>COUNTIF(M:M,"Rockstar")</f>
        <v>0</v>
      </c>
    </row>
    <row r="70" spans="1:2">
      <c r="A70" t="s">
        <v>626</v>
      </c>
      <c r="B70" s="41">
        <f>COUNTIF(M:M,"Screenlife")</f>
        <v>0</v>
      </c>
    </row>
  </sheetData>
  <pageMargins left="0.75" right="0.75" top="1" bottom="1" header="0.4921259845" footer="0.4921259845"/>
  <pageSetup orientation="portrait" horizontalDpi="4294967293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7"/>
  </sheetPr>
  <dimension ref="A1:N85"/>
  <sheetViews>
    <sheetView workbookViewId="0" xr3:uid="{9B253EF2-77E0-53E3-AE26-4D66ECD923F3}">
      <selection activeCell="M15" sqref="M15"/>
    </sheetView>
  </sheetViews>
  <sheetFormatPr defaultColWidth="11.42578125" defaultRowHeight="12.75"/>
  <cols>
    <col min="1" max="1" width="18.7109375" bestFit="1" customWidth="1"/>
    <col min="2" max="2" width="11.28515625" style="41" bestFit="1" customWidth="1"/>
    <col min="3" max="3" width="43.28515625" bestFit="1" customWidth="1"/>
    <col min="8" max="8" width="7.140625" customWidth="1"/>
    <col min="9" max="9" width="11.42578125" style="48"/>
    <col min="11" max="11" width="11.42578125" style="41"/>
    <col min="13" max="13" width="13.28515625" customWidth="1"/>
  </cols>
  <sheetData>
    <row r="1" spans="1:14">
      <c r="A1" s="1" t="s">
        <v>63</v>
      </c>
      <c r="B1" s="4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694</v>
      </c>
      <c r="I1" s="58" t="s">
        <v>695</v>
      </c>
      <c r="J1" t="s">
        <v>73</v>
      </c>
      <c r="K1" s="41" t="s">
        <v>74</v>
      </c>
      <c r="L1" t="s">
        <v>75</v>
      </c>
      <c r="M1" t="s">
        <v>1</v>
      </c>
      <c r="N1" s="10" t="s">
        <v>480</v>
      </c>
    </row>
    <row r="2" spans="1:14">
      <c r="A2" s="1">
        <v>730865200054</v>
      </c>
      <c r="B2" s="41">
        <v>19</v>
      </c>
      <c r="C2" s="10" t="s">
        <v>525</v>
      </c>
      <c r="D2" s="10" t="s">
        <v>81</v>
      </c>
      <c r="E2">
        <v>40</v>
      </c>
      <c r="F2" s="37">
        <v>39</v>
      </c>
      <c r="G2">
        <v>21</v>
      </c>
      <c r="H2" s="64">
        <f t="shared" ref="H2:H26" si="0">MIN(F2:G2)</f>
        <v>21</v>
      </c>
      <c r="I2" s="48">
        <v>42040</v>
      </c>
      <c r="J2" s="10" t="s">
        <v>125</v>
      </c>
      <c r="L2" s="10" t="s">
        <v>176</v>
      </c>
      <c r="M2" s="10" t="s">
        <v>177</v>
      </c>
      <c r="N2" s="10"/>
    </row>
    <row r="3" spans="1:14">
      <c r="A3" s="1">
        <v>730865200009</v>
      </c>
      <c r="B3" s="41">
        <v>120</v>
      </c>
      <c r="C3" s="10" t="s">
        <v>696</v>
      </c>
      <c r="D3" s="10" t="s">
        <v>81</v>
      </c>
      <c r="E3">
        <v>45</v>
      </c>
      <c r="F3" s="39">
        <v>31</v>
      </c>
      <c r="G3">
        <v>25</v>
      </c>
      <c r="H3" s="64">
        <f t="shared" si="0"/>
        <v>25</v>
      </c>
      <c r="I3" s="48">
        <v>42040</v>
      </c>
      <c r="J3" s="10" t="s">
        <v>61</v>
      </c>
      <c r="L3" s="10" t="s">
        <v>176</v>
      </c>
      <c r="M3" s="10" t="s">
        <v>177</v>
      </c>
    </row>
    <row r="4" spans="1:14">
      <c r="A4" s="1">
        <v>853466001537</v>
      </c>
      <c r="B4" s="41">
        <v>147</v>
      </c>
      <c r="C4" s="10" t="s">
        <v>697</v>
      </c>
      <c r="D4" s="10" t="s">
        <v>105</v>
      </c>
      <c r="E4">
        <v>60</v>
      </c>
      <c r="F4" s="37">
        <v>76</v>
      </c>
      <c r="G4">
        <v>81</v>
      </c>
      <c r="H4" s="64">
        <f t="shared" si="0"/>
        <v>76</v>
      </c>
      <c r="I4" s="48">
        <v>42040</v>
      </c>
      <c r="J4" s="10" t="s">
        <v>96</v>
      </c>
      <c r="L4" s="10" t="s">
        <v>176</v>
      </c>
      <c r="M4" s="10" t="s">
        <v>647</v>
      </c>
      <c r="N4" s="10" t="s">
        <v>698</v>
      </c>
    </row>
    <row r="5" spans="1:14">
      <c r="A5" s="1">
        <v>853466001605</v>
      </c>
      <c r="B5" s="41">
        <v>245</v>
      </c>
      <c r="C5" s="10" t="s">
        <v>699</v>
      </c>
      <c r="D5" s="10" t="s">
        <v>105</v>
      </c>
      <c r="E5">
        <v>25</v>
      </c>
      <c r="F5" s="32">
        <v>38</v>
      </c>
      <c r="G5">
        <v>25</v>
      </c>
      <c r="H5" s="64">
        <f t="shared" si="0"/>
        <v>25</v>
      </c>
      <c r="I5" s="48">
        <v>42281</v>
      </c>
      <c r="J5" s="10" t="s">
        <v>96</v>
      </c>
      <c r="L5" s="10" t="s">
        <v>176</v>
      </c>
      <c r="M5" s="10" t="s">
        <v>647</v>
      </c>
      <c r="N5" s="10"/>
    </row>
    <row r="6" spans="1:14">
      <c r="A6" s="1">
        <v>813633013466</v>
      </c>
      <c r="B6" s="41">
        <v>261</v>
      </c>
      <c r="C6" s="10" t="s">
        <v>700</v>
      </c>
      <c r="D6" s="10" t="s">
        <v>81</v>
      </c>
      <c r="E6">
        <v>40</v>
      </c>
      <c r="F6" s="39">
        <v>80</v>
      </c>
      <c r="G6">
        <v>51</v>
      </c>
      <c r="H6" s="64">
        <f t="shared" si="0"/>
        <v>51</v>
      </c>
      <c r="I6" s="48">
        <v>42040</v>
      </c>
      <c r="J6" s="10" t="s">
        <v>61</v>
      </c>
      <c r="L6" s="10" t="s">
        <v>176</v>
      </c>
      <c r="M6" s="10" t="s">
        <v>244</v>
      </c>
      <c r="N6" s="10"/>
    </row>
    <row r="7" spans="1:14">
      <c r="A7" s="1">
        <v>89361011877</v>
      </c>
      <c r="B7" s="41">
        <v>346</v>
      </c>
      <c r="C7" s="10" t="s">
        <v>701</v>
      </c>
      <c r="D7" s="10" t="s">
        <v>105</v>
      </c>
      <c r="E7">
        <v>40</v>
      </c>
      <c r="F7" s="39">
        <v>53</v>
      </c>
      <c r="G7">
        <v>39</v>
      </c>
      <c r="H7" s="64">
        <f t="shared" si="0"/>
        <v>39</v>
      </c>
      <c r="I7" s="48">
        <v>42040</v>
      </c>
      <c r="J7" s="10" t="s">
        <v>96</v>
      </c>
      <c r="L7" s="10" t="s">
        <v>176</v>
      </c>
      <c r="M7" s="10" t="s">
        <v>558</v>
      </c>
      <c r="N7" s="10"/>
    </row>
    <row r="8" spans="1:14">
      <c r="A8" s="1"/>
      <c r="B8" s="41">
        <v>358</v>
      </c>
      <c r="C8" s="10" t="s">
        <v>702</v>
      </c>
      <c r="D8" s="10" t="s">
        <v>105</v>
      </c>
      <c r="E8">
        <v>70</v>
      </c>
      <c r="F8" s="39">
        <v>150</v>
      </c>
      <c r="G8">
        <v>130</v>
      </c>
      <c r="H8" s="64">
        <f t="shared" si="0"/>
        <v>130</v>
      </c>
      <c r="I8" s="48">
        <v>42040</v>
      </c>
      <c r="J8" s="10" t="s">
        <v>96</v>
      </c>
      <c r="L8" s="10" t="s">
        <v>176</v>
      </c>
      <c r="M8" s="10" t="s">
        <v>244</v>
      </c>
      <c r="N8" s="10"/>
    </row>
    <row r="9" spans="1:14">
      <c r="A9" s="1">
        <v>893610001860</v>
      </c>
      <c r="B9" s="41">
        <v>359</v>
      </c>
      <c r="C9" s="10" t="s">
        <v>703</v>
      </c>
      <c r="D9" s="10" t="s">
        <v>105</v>
      </c>
      <c r="E9">
        <v>40</v>
      </c>
      <c r="F9" s="39">
        <v>56</v>
      </c>
      <c r="G9">
        <v>38</v>
      </c>
      <c r="H9" s="64">
        <f t="shared" si="0"/>
        <v>38</v>
      </c>
      <c r="I9" s="48">
        <v>42040</v>
      </c>
      <c r="J9" s="10" t="s">
        <v>96</v>
      </c>
      <c r="L9" s="10" t="s">
        <v>176</v>
      </c>
      <c r="M9" s="10" t="s">
        <v>558</v>
      </c>
      <c r="N9" s="10"/>
    </row>
    <row r="10" spans="1:14">
      <c r="A10" s="1">
        <v>813633013626</v>
      </c>
      <c r="B10" s="41">
        <v>360</v>
      </c>
      <c r="C10" s="10" t="s">
        <v>518</v>
      </c>
      <c r="D10" s="10" t="s">
        <v>105</v>
      </c>
      <c r="E10">
        <v>35</v>
      </c>
      <c r="F10" s="32" t="s">
        <v>89</v>
      </c>
      <c r="G10">
        <v>35</v>
      </c>
      <c r="H10" s="64">
        <f t="shared" si="0"/>
        <v>35</v>
      </c>
      <c r="I10" s="48">
        <v>42040</v>
      </c>
      <c r="J10" s="10" t="s">
        <v>96</v>
      </c>
      <c r="L10" s="10" t="s">
        <v>176</v>
      </c>
      <c r="M10" s="10" t="s">
        <v>244</v>
      </c>
      <c r="N10" s="10"/>
    </row>
    <row r="11" spans="1:14">
      <c r="A11" s="1">
        <v>893610001815</v>
      </c>
      <c r="B11" s="41">
        <v>365</v>
      </c>
      <c r="C11" s="10" t="s">
        <v>704</v>
      </c>
      <c r="D11" s="10" t="s">
        <v>105</v>
      </c>
      <c r="E11">
        <v>25</v>
      </c>
      <c r="F11" s="32">
        <v>85</v>
      </c>
      <c r="G11">
        <v>85</v>
      </c>
      <c r="H11" s="64">
        <f t="shared" si="0"/>
        <v>85</v>
      </c>
      <c r="I11" s="48">
        <v>42374</v>
      </c>
      <c r="J11" s="10" t="s">
        <v>96</v>
      </c>
      <c r="L11" s="10" t="s">
        <v>176</v>
      </c>
      <c r="M11" s="10" t="s">
        <v>558</v>
      </c>
      <c r="N11" s="10"/>
    </row>
    <row r="12" spans="1:14">
      <c r="A12" s="1">
        <v>730865200078</v>
      </c>
      <c r="B12" s="41">
        <v>376</v>
      </c>
      <c r="C12" s="10" t="s">
        <v>705</v>
      </c>
      <c r="D12" s="10" t="s">
        <v>105</v>
      </c>
      <c r="E12">
        <v>40</v>
      </c>
      <c r="F12" s="39">
        <v>47</v>
      </c>
      <c r="G12">
        <v>34</v>
      </c>
      <c r="H12" s="64">
        <f t="shared" si="0"/>
        <v>34</v>
      </c>
      <c r="I12" s="48">
        <v>42040</v>
      </c>
      <c r="J12" s="10" t="s">
        <v>96</v>
      </c>
      <c r="L12" s="10" t="s">
        <v>176</v>
      </c>
      <c r="M12" s="10" t="s">
        <v>177</v>
      </c>
      <c r="N12" s="10"/>
    </row>
    <row r="13" spans="1:14">
      <c r="A13" s="1">
        <v>813633013879</v>
      </c>
      <c r="B13" s="41">
        <v>399</v>
      </c>
      <c r="C13" s="10" t="s">
        <v>706</v>
      </c>
      <c r="D13" s="10" t="s">
        <v>81</v>
      </c>
      <c r="E13">
        <v>30</v>
      </c>
      <c r="F13" s="32">
        <v>70</v>
      </c>
      <c r="G13">
        <v>38</v>
      </c>
      <c r="H13" s="64">
        <f t="shared" si="0"/>
        <v>38</v>
      </c>
      <c r="I13" s="48">
        <v>42134</v>
      </c>
      <c r="J13" s="10" t="s">
        <v>96</v>
      </c>
      <c r="L13" s="10" t="s">
        <v>176</v>
      </c>
      <c r="M13" s="10" t="s">
        <v>244</v>
      </c>
      <c r="N13" s="10"/>
    </row>
    <row r="14" spans="1:14">
      <c r="A14" s="1">
        <v>40198002516</v>
      </c>
      <c r="B14" s="41">
        <v>401</v>
      </c>
      <c r="C14" s="10" t="s">
        <v>707</v>
      </c>
      <c r="D14" s="10" t="s">
        <v>105</v>
      </c>
      <c r="E14">
        <v>40</v>
      </c>
      <c r="F14" s="39">
        <v>60</v>
      </c>
      <c r="G14">
        <v>35</v>
      </c>
      <c r="H14" s="64">
        <f t="shared" si="0"/>
        <v>35</v>
      </c>
      <c r="I14" s="48">
        <v>42040</v>
      </c>
      <c r="J14" s="10" t="s">
        <v>96</v>
      </c>
      <c r="L14" s="10" t="s">
        <v>176</v>
      </c>
      <c r="M14" s="10" t="s">
        <v>303</v>
      </c>
      <c r="N14" s="10"/>
    </row>
    <row r="15" spans="1:14">
      <c r="A15" s="1">
        <v>864642000008</v>
      </c>
      <c r="B15" s="41">
        <v>443</v>
      </c>
      <c r="C15" s="10" t="s">
        <v>708</v>
      </c>
      <c r="D15" s="10" t="s">
        <v>105</v>
      </c>
      <c r="E15">
        <v>40</v>
      </c>
      <c r="F15" s="32" t="s">
        <v>89</v>
      </c>
      <c r="G15">
        <v>40</v>
      </c>
      <c r="H15" s="64">
        <f t="shared" si="0"/>
        <v>40</v>
      </c>
      <c r="I15" s="48">
        <v>42040</v>
      </c>
      <c r="J15" s="10" t="s">
        <v>96</v>
      </c>
      <c r="L15" s="10" t="s">
        <v>176</v>
      </c>
      <c r="M15" s="10"/>
      <c r="N15" s="10"/>
    </row>
    <row r="16" spans="1:14">
      <c r="A16" s="1"/>
      <c r="B16" s="41">
        <v>516</v>
      </c>
      <c r="C16" s="10" t="s">
        <v>709</v>
      </c>
      <c r="D16" s="10" t="s">
        <v>105</v>
      </c>
      <c r="E16">
        <v>70</v>
      </c>
      <c r="F16" s="32">
        <v>120</v>
      </c>
      <c r="G16" s="10" t="s">
        <v>89</v>
      </c>
      <c r="H16" s="64">
        <f t="shared" si="0"/>
        <v>120</v>
      </c>
      <c r="I16" s="48">
        <v>42134</v>
      </c>
      <c r="J16" s="10" t="s">
        <v>96</v>
      </c>
      <c r="L16" s="10" t="s">
        <v>176</v>
      </c>
      <c r="M16" s="10" t="s">
        <v>244</v>
      </c>
      <c r="N16" s="10"/>
    </row>
    <row r="17" spans="1:14">
      <c r="A17" s="1"/>
      <c r="B17" s="41">
        <v>516</v>
      </c>
      <c r="C17" s="10" t="s">
        <v>709</v>
      </c>
      <c r="D17" s="10" t="s">
        <v>105</v>
      </c>
      <c r="E17">
        <v>70</v>
      </c>
      <c r="F17" s="32">
        <v>120</v>
      </c>
      <c r="G17" s="10" t="s">
        <v>89</v>
      </c>
      <c r="H17" s="64">
        <f t="shared" ref="H17" si="1">MIN(F17:G17)</f>
        <v>120</v>
      </c>
      <c r="I17" s="48">
        <v>42134</v>
      </c>
      <c r="J17" s="10" t="s">
        <v>96</v>
      </c>
      <c r="L17" s="10" t="s">
        <v>176</v>
      </c>
      <c r="M17" s="10" t="s">
        <v>244</v>
      </c>
      <c r="N17" s="10"/>
    </row>
    <row r="18" spans="1:14">
      <c r="A18" s="1"/>
      <c r="B18" s="41">
        <v>527</v>
      </c>
      <c r="C18" s="10" t="s">
        <v>710</v>
      </c>
      <c r="D18" s="10" t="s">
        <v>105</v>
      </c>
      <c r="E18">
        <v>55</v>
      </c>
      <c r="F18">
        <v>103</v>
      </c>
      <c r="G18" s="32">
        <v>105</v>
      </c>
      <c r="H18" s="64">
        <f t="shared" si="0"/>
        <v>103</v>
      </c>
      <c r="I18" s="48">
        <v>42134</v>
      </c>
      <c r="J18" s="10" t="s">
        <v>96</v>
      </c>
      <c r="L18" s="10" t="s">
        <v>176</v>
      </c>
      <c r="M18" s="10" t="s">
        <v>244</v>
      </c>
      <c r="N18" s="10"/>
    </row>
    <row r="19" spans="1:14">
      <c r="A19" s="1">
        <v>636676491325</v>
      </c>
      <c r="B19" s="41">
        <v>2100473</v>
      </c>
      <c r="C19" s="10" t="s">
        <v>711</v>
      </c>
      <c r="D19" s="10" t="s">
        <v>105</v>
      </c>
      <c r="E19">
        <v>60</v>
      </c>
      <c r="G19" s="32"/>
      <c r="H19" s="64"/>
      <c r="J19" s="10" t="s">
        <v>96</v>
      </c>
      <c r="L19" s="10" t="s">
        <v>176</v>
      </c>
      <c r="M19" s="10" t="s">
        <v>712</v>
      </c>
      <c r="N19" s="10"/>
    </row>
    <row r="20" spans="1:14">
      <c r="A20" s="1"/>
      <c r="B20" s="63" t="s">
        <v>713</v>
      </c>
      <c r="C20" s="10" t="s">
        <v>714</v>
      </c>
      <c r="D20" s="10" t="s">
        <v>105</v>
      </c>
      <c r="E20">
        <v>90</v>
      </c>
      <c r="F20" s="32">
        <v>153</v>
      </c>
      <c r="G20" s="32" t="s">
        <v>89</v>
      </c>
      <c r="H20" s="64">
        <f t="shared" si="0"/>
        <v>153</v>
      </c>
      <c r="I20" s="48">
        <v>42281</v>
      </c>
      <c r="J20" s="10" t="s">
        <v>96</v>
      </c>
      <c r="L20" s="10" t="s">
        <v>176</v>
      </c>
      <c r="M20" s="10"/>
      <c r="N20" s="10"/>
    </row>
    <row r="21" spans="1:14">
      <c r="A21" s="1"/>
      <c r="B21" s="41" t="s">
        <v>713</v>
      </c>
      <c r="C21" s="10" t="s">
        <v>715</v>
      </c>
      <c r="D21" s="10" t="s">
        <v>105</v>
      </c>
      <c r="E21">
        <v>42</v>
      </c>
      <c r="F21" s="32">
        <v>70</v>
      </c>
      <c r="G21" s="32">
        <v>37</v>
      </c>
      <c r="H21" s="64">
        <f t="shared" si="0"/>
        <v>37</v>
      </c>
      <c r="I21" s="48">
        <v>42281</v>
      </c>
      <c r="J21" s="10" t="s">
        <v>96</v>
      </c>
      <c r="L21" s="10" t="s">
        <v>176</v>
      </c>
      <c r="M21" s="10"/>
      <c r="N21" s="10"/>
    </row>
    <row r="22" spans="1:14">
      <c r="A22" s="1"/>
      <c r="B22" s="41" t="s">
        <v>713</v>
      </c>
      <c r="C22" s="10" t="s">
        <v>716</v>
      </c>
      <c r="D22" s="10" t="s">
        <v>105</v>
      </c>
      <c r="E22">
        <v>75</v>
      </c>
      <c r="F22" s="32">
        <v>145</v>
      </c>
      <c r="G22" s="10" t="s">
        <v>89</v>
      </c>
      <c r="H22" s="64">
        <f t="shared" si="0"/>
        <v>145</v>
      </c>
      <c r="I22" s="48">
        <v>42134</v>
      </c>
      <c r="J22" s="10" t="s">
        <v>96</v>
      </c>
      <c r="L22" s="10" t="s">
        <v>176</v>
      </c>
      <c r="M22" s="10" t="s">
        <v>244</v>
      </c>
      <c r="N22" s="10"/>
    </row>
    <row r="23" spans="1:14">
      <c r="A23" s="1"/>
      <c r="B23" s="41" t="s">
        <v>713</v>
      </c>
      <c r="C23" s="10" t="s">
        <v>717</v>
      </c>
      <c r="D23" s="10" t="s">
        <v>105</v>
      </c>
      <c r="E23">
        <v>75</v>
      </c>
      <c r="F23" s="32">
        <v>201</v>
      </c>
      <c r="G23" s="10" t="s">
        <v>89</v>
      </c>
      <c r="H23" s="64">
        <f t="shared" si="0"/>
        <v>201</v>
      </c>
      <c r="I23" s="48">
        <v>42134</v>
      </c>
      <c r="J23" s="10" t="s">
        <v>96</v>
      </c>
      <c r="L23" s="10" t="s">
        <v>176</v>
      </c>
      <c r="M23" s="10" t="s">
        <v>244</v>
      </c>
      <c r="N23" s="10"/>
    </row>
    <row r="24" spans="1:14">
      <c r="A24" s="1"/>
      <c r="B24" s="41" t="s">
        <v>713</v>
      </c>
      <c r="C24" s="10" t="s">
        <v>718</v>
      </c>
      <c r="D24" s="10" t="s">
        <v>105</v>
      </c>
      <c r="E24">
        <v>40</v>
      </c>
      <c r="F24" s="32">
        <v>57</v>
      </c>
      <c r="G24" s="10">
        <v>35</v>
      </c>
      <c r="H24" s="64">
        <f t="shared" si="0"/>
        <v>35</v>
      </c>
      <c r="I24" s="48">
        <v>42281</v>
      </c>
      <c r="J24" s="10" t="s">
        <v>96</v>
      </c>
      <c r="L24" s="10" t="s">
        <v>176</v>
      </c>
      <c r="M24" s="10"/>
      <c r="N24" s="10"/>
    </row>
    <row r="25" spans="1:14">
      <c r="A25" s="1"/>
      <c r="C25" s="124" t="s">
        <v>719</v>
      </c>
      <c r="D25" s="10" t="s">
        <v>105</v>
      </c>
      <c r="E25">
        <v>75</v>
      </c>
      <c r="F25">
        <v>75</v>
      </c>
      <c r="G25">
        <v>75</v>
      </c>
      <c r="H25" s="64">
        <f t="shared" si="0"/>
        <v>75</v>
      </c>
      <c r="J25" s="10"/>
    </row>
    <row r="26" spans="1:14" s="41" customFormat="1">
      <c r="A26" s="14"/>
      <c r="B26" s="63"/>
      <c r="C26" s="124" t="s">
        <v>720</v>
      </c>
      <c r="D26" s="10" t="s">
        <v>105</v>
      </c>
      <c r="E26">
        <v>75</v>
      </c>
      <c r="F26">
        <v>75</v>
      </c>
      <c r="G26">
        <v>75</v>
      </c>
      <c r="H26" s="64">
        <f t="shared" si="0"/>
        <v>75</v>
      </c>
      <c r="I26" s="48"/>
      <c r="J26" s="10"/>
      <c r="L26"/>
      <c r="M26"/>
      <c r="N26"/>
    </row>
    <row r="27" spans="1:14" s="41" customFormat="1">
      <c r="A27" s="1" t="s">
        <v>721</v>
      </c>
      <c r="C27"/>
      <c r="D27"/>
      <c r="E27"/>
      <c r="F27"/>
      <c r="G27"/>
      <c r="H27"/>
      <c r="I27" s="48"/>
      <c r="J27"/>
      <c r="L27"/>
      <c r="M27"/>
      <c r="N27"/>
    </row>
    <row r="28" spans="1:14" s="41" customFormat="1">
      <c r="A28" s="8">
        <f>COUNTA(B2:B25)</f>
        <v>23</v>
      </c>
      <c r="C28"/>
      <c r="D28"/>
      <c r="E28"/>
      <c r="F28"/>
      <c r="G28"/>
      <c r="H28"/>
      <c r="I28" s="48"/>
      <c r="J28"/>
      <c r="L28"/>
      <c r="M28"/>
      <c r="N28"/>
    </row>
    <row r="29" spans="1:14" s="41" customFormat="1">
      <c r="A29" s="1" t="s">
        <v>169</v>
      </c>
      <c r="C29"/>
      <c r="D29"/>
      <c r="E29"/>
      <c r="F29"/>
      <c r="G29"/>
      <c r="H29"/>
      <c r="I29" s="48"/>
      <c r="J29"/>
      <c r="L29"/>
      <c r="M29"/>
      <c r="N29"/>
    </row>
    <row r="30" spans="1:14" s="41" customFormat="1">
      <c r="A30" s="6">
        <f>SUM(E:E)</f>
        <v>1297</v>
      </c>
      <c r="C30"/>
      <c r="D30"/>
      <c r="E30"/>
      <c r="F30"/>
      <c r="G30"/>
      <c r="H30"/>
      <c r="I30" s="48"/>
      <c r="J30"/>
      <c r="L30"/>
      <c r="M30"/>
      <c r="N30"/>
    </row>
    <row r="31" spans="1:14" s="41" customFormat="1">
      <c r="A31" s="64" t="s">
        <v>669</v>
      </c>
      <c r="C31"/>
      <c r="D31"/>
      <c r="E31"/>
      <c r="F31"/>
      <c r="G31"/>
      <c r="H31"/>
      <c r="I31" s="48"/>
      <c r="J31"/>
      <c r="L31"/>
      <c r="M31"/>
      <c r="N31"/>
    </row>
    <row r="32" spans="1:14" s="41" customFormat="1">
      <c r="A32" s="6">
        <f>AVERAGE(E:E)</f>
        <v>51.88</v>
      </c>
      <c r="C32"/>
      <c r="D32"/>
      <c r="E32"/>
      <c r="F32"/>
      <c r="G32"/>
      <c r="H32"/>
      <c r="I32" s="48"/>
      <c r="J32"/>
      <c r="L32"/>
      <c r="M32"/>
      <c r="N32"/>
    </row>
    <row r="33" spans="1:3">
      <c r="A33" s="1" t="s">
        <v>159</v>
      </c>
    </row>
    <row r="34" spans="1:3">
      <c r="A34" s="6">
        <f>SUM(H:H)</f>
        <v>1736</v>
      </c>
      <c r="C34" s="10" t="s">
        <v>722</v>
      </c>
    </row>
    <row r="35" spans="1:3">
      <c r="A35" s="10" t="s">
        <v>160</v>
      </c>
      <c r="C35" s="10"/>
    </row>
    <row r="36" spans="1:3">
      <c r="A36" s="10">
        <f>(A34-(A28*5))*0.85</f>
        <v>1377.85</v>
      </c>
      <c r="C36" s="10"/>
    </row>
    <row r="37" spans="1:3">
      <c r="A37" s="1" t="s">
        <v>162</v>
      </c>
    </row>
    <row r="38" spans="1:3">
      <c r="A38" s="2">
        <f>COUNTIF(J:J,"Completed")</f>
        <v>2</v>
      </c>
    </row>
    <row r="39" spans="1:3">
      <c r="A39" s="1" t="s">
        <v>163</v>
      </c>
    </row>
    <row r="40" spans="1:3">
      <c r="A40" s="2">
        <f>COUNTIF(J:J,"CBD")</f>
        <v>0</v>
      </c>
    </row>
    <row r="41" spans="1:3">
      <c r="A41" s="1" t="s">
        <v>164</v>
      </c>
    </row>
    <row r="42" spans="1:3">
      <c r="A42" s="1">
        <f>SUM(A38,A40)</f>
        <v>2</v>
      </c>
    </row>
    <row r="43" spans="1:3">
      <c r="A43" s="1" t="s">
        <v>96</v>
      </c>
    </row>
    <row r="44" spans="1:3">
      <c r="A44" s="2">
        <f>COUNTIF(J:J,"Undone")</f>
        <v>20</v>
      </c>
    </row>
    <row r="45" spans="1:3">
      <c r="A45" s="1" t="s">
        <v>125</v>
      </c>
    </row>
    <row r="46" spans="1:3">
      <c r="A46" s="2">
        <f>COUNTIF(J:J,"Pending")</f>
        <v>1</v>
      </c>
    </row>
    <row r="47" spans="1:3">
      <c r="A47" s="1" t="s">
        <v>167</v>
      </c>
    </row>
    <row r="48" spans="1:3">
      <c r="A48" s="1">
        <f>SUM(A44,A46)</f>
        <v>21</v>
      </c>
    </row>
    <row r="49" spans="1:2">
      <c r="A49" s="1" t="s">
        <v>168</v>
      </c>
    </row>
    <row r="50" spans="1:2">
      <c r="A50" s="11">
        <f>(A42)/(A28)</f>
        <v>8.6956521739130432E-2</v>
      </c>
    </row>
    <row r="51" spans="1:2">
      <c r="A51" s="10" t="s">
        <v>692</v>
      </c>
    </row>
    <row r="52" spans="1:2">
      <c r="A52" s="11">
        <f>SUM(1-(A34/A30))</f>
        <v>-0.33847340015420202</v>
      </c>
    </row>
    <row r="53" spans="1:2">
      <c r="A53" s="140" t="s">
        <v>693</v>
      </c>
    </row>
    <row r="54" spans="1:2">
      <c r="A54" s="47" t="e">
        <f>AVERAGE(#REF!)</f>
        <v>#REF!</v>
      </c>
    </row>
    <row r="55" spans="1:2">
      <c r="A55" t="s">
        <v>673</v>
      </c>
    </row>
    <row r="56" spans="1:2">
      <c r="A56" t="s">
        <v>674</v>
      </c>
    </row>
    <row r="57" spans="1:2">
      <c r="A57" t="s">
        <v>675</v>
      </c>
    </row>
    <row r="58" spans="1:2">
      <c r="A58" t="s">
        <v>676</v>
      </c>
    </row>
    <row r="59" spans="1:2">
      <c r="A59" t="s">
        <v>677</v>
      </c>
    </row>
    <row r="60" spans="1:2">
      <c r="A60" t="s">
        <v>678</v>
      </c>
    </row>
    <row r="62" spans="1:2">
      <c r="A62" t="s">
        <v>679</v>
      </c>
    </row>
    <row r="63" spans="1:2">
      <c r="A63" s="10" t="s">
        <v>680</v>
      </c>
      <c r="B63" s="63" t="s">
        <v>681</v>
      </c>
    </row>
    <row r="64" spans="1:2">
      <c r="A64" t="s">
        <v>244</v>
      </c>
      <c r="B64" s="41">
        <f>COUNTIF(M:M,"Nis America")</f>
        <v>9</v>
      </c>
    </row>
    <row r="65" spans="1:2">
      <c r="A65" t="s">
        <v>82</v>
      </c>
      <c r="B65" s="41">
        <f>COUNTIF(M:M,"SCEA")</f>
        <v>0</v>
      </c>
    </row>
    <row r="66" spans="1:2">
      <c r="A66" t="s">
        <v>122</v>
      </c>
      <c r="B66" s="41">
        <f>COUNTIF(M:M,"EA")</f>
        <v>0</v>
      </c>
    </row>
    <row r="67" spans="1:2">
      <c r="A67" t="s">
        <v>305</v>
      </c>
      <c r="B67" s="41">
        <f>COUNTIF(M:M,"Squarenix")</f>
        <v>0</v>
      </c>
    </row>
    <row r="68" spans="1:2">
      <c r="A68" t="s">
        <v>240</v>
      </c>
      <c r="B68" s="41">
        <f>COUNTIF(M:M,"Bandai Namco")</f>
        <v>0</v>
      </c>
    </row>
    <row r="69" spans="1:2">
      <c r="A69" t="s">
        <v>136</v>
      </c>
      <c r="B69" s="41">
        <f>COUNTIF(M:M,"Koei")</f>
        <v>0</v>
      </c>
    </row>
    <row r="70" spans="1:2">
      <c r="A70" t="s">
        <v>177</v>
      </c>
      <c r="B70" s="41">
        <f>COUNTIF(M:M,"Atlus")</f>
        <v>3</v>
      </c>
    </row>
    <row r="71" spans="1:2">
      <c r="A71" t="s">
        <v>533</v>
      </c>
      <c r="B71" s="41">
        <f>COUNTIF(M:M,"Bethesda")</f>
        <v>0</v>
      </c>
    </row>
    <row r="72" spans="1:2">
      <c r="A72" t="s">
        <v>185</v>
      </c>
      <c r="B72" s="41">
        <f>COUNTIF(M:M,"WB Games")</f>
        <v>0</v>
      </c>
    </row>
    <row r="73" spans="1:2">
      <c r="A73" t="s">
        <v>189</v>
      </c>
      <c r="B73" s="41">
        <f>COUNTIF(M:M,"2K Games")</f>
        <v>0</v>
      </c>
    </row>
    <row r="74" spans="1:2">
      <c r="A74" t="s">
        <v>255</v>
      </c>
      <c r="B74" s="41">
        <f>COUNTIF(M:M,"Capcom")</f>
        <v>0</v>
      </c>
    </row>
    <row r="75" spans="1:2">
      <c r="A75" t="s">
        <v>558</v>
      </c>
      <c r="B75" s="41">
        <f>COUNTIF(M:M,"Aksys")</f>
        <v>3</v>
      </c>
    </row>
    <row r="76" spans="1:2">
      <c r="A76" t="s">
        <v>258</v>
      </c>
      <c r="B76" s="41">
        <f>COUNTIF(M:M,"Sega")</f>
        <v>0</v>
      </c>
    </row>
    <row r="77" spans="1:2">
      <c r="A77" t="s">
        <v>215</v>
      </c>
      <c r="B77" s="41">
        <f>COUNTIF(M:M,"Lucasarts")</f>
        <v>0</v>
      </c>
    </row>
    <row r="78" spans="1:2">
      <c r="A78" t="s">
        <v>303</v>
      </c>
      <c r="B78" s="41">
        <f>COUNTIF(M:M,"Tecmo")</f>
        <v>1</v>
      </c>
    </row>
    <row r="79" spans="1:2">
      <c r="A79" t="s">
        <v>151</v>
      </c>
      <c r="B79" s="41">
        <f>COUNTIF(M:M,"Natsume")</f>
        <v>0</v>
      </c>
    </row>
    <row r="80" spans="1:2">
      <c r="A80" t="s">
        <v>582</v>
      </c>
      <c r="B80" s="41">
        <f>COUNTIF(M:M,"Disney")</f>
        <v>0</v>
      </c>
    </row>
    <row r="81" spans="1:2">
      <c r="A81" t="s">
        <v>200</v>
      </c>
      <c r="B81" s="41">
        <f>COUNTIF(M:M,"Midway")</f>
        <v>0</v>
      </c>
    </row>
    <row r="82" spans="1:2">
      <c r="A82" t="s">
        <v>218</v>
      </c>
      <c r="B82" s="41">
        <f>COUNTIF(M:M,"Rockstar")</f>
        <v>0</v>
      </c>
    </row>
    <row r="83" spans="1:2">
      <c r="A83" t="s">
        <v>626</v>
      </c>
      <c r="B83" s="41">
        <f>COUNTIF(M:M,"Screenlife")</f>
        <v>0</v>
      </c>
    </row>
    <row r="84" spans="1:2">
      <c r="A84" s="10" t="s">
        <v>647</v>
      </c>
      <c r="B84" s="41">
        <f>COUNTIF(M:M,"Xseed")</f>
        <v>2</v>
      </c>
    </row>
    <row r="85" spans="1:2">
      <c r="A85" t="s">
        <v>723</v>
      </c>
      <c r="B85" s="41">
        <f>COUNTIF(M:M,"Tt Games")</f>
        <v>0</v>
      </c>
    </row>
  </sheetData>
  <pageMargins left="0.75" right="0.75" top="1" bottom="1" header="0.4921259845" footer="0.4921259845"/>
  <pageSetup orientation="portrait" horizontalDpi="4294967293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8000"/>
  </sheetPr>
  <dimension ref="A1:N37"/>
  <sheetViews>
    <sheetView workbookViewId="0" xr3:uid="{85D5C41F-068E-5C55-9968-509E7C2A5619}">
      <selection activeCell="A36" sqref="A36"/>
    </sheetView>
  </sheetViews>
  <sheetFormatPr defaultRowHeight="12.75"/>
  <cols>
    <col min="1" max="1" width="16.28515625" bestFit="1" customWidth="1"/>
    <col min="3" max="3" width="17.42578125" bestFit="1" customWidth="1"/>
    <col min="9" max="9" width="10.140625" bestFit="1" customWidth="1"/>
    <col min="11" max="11" width="9.140625" style="76"/>
  </cols>
  <sheetData>
    <row r="1" spans="1:1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s="10" t="s">
        <v>724</v>
      </c>
      <c r="I1" s="48" t="s">
        <v>725</v>
      </c>
      <c r="J1" t="s">
        <v>73</v>
      </c>
      <c r="K1" s="76" t="s">
        <v>74</v>
      </c>
      <c r="L1" t="s">
        <v>75</v>
      </c>
      <c r="M1" t="s">
        <v>1</v>
      </c>
      <c r="N1" t="s">
        <v>726</v>
      </c>
    </row>
    <row r="2" spans="1:14">
      <c r="A2" s="1"/>
      <c r="C2" s="10" t="s">
        <v>727</v>
      </c>
      <c r="D2" s="10" t="s">
        <v>81</v>
      </c>
      <c r="E2">
        <v>45</v>
      </c>
      <c r="F2" s="39">
        <v>55</v>
      </c>
      <c r="G2">
        <v>55</v>
      </c>
      <c r="H2" s="64">
        <f t="shared" ref="H2:H6" si="0">MIN(F2:G2)</f>
        <v>55</v>
      </c>
      <c r="I2" s="48">
        <v>42022</v>
      </c>
      <c r="J2" s="10" t="s">
        <v>61</v>
      </c>
      <c r="K2" s="77">
        <v>10</v>
      </c>
      <c r="L2" s="10" t="s">
        <v>90</v>
      </c>
      <c r="M2" s="10" t="s">
        <v>30</v>
      </c>
      <c r="N2" s="10" t="s">
        <v>728</v>
      </c>
    </row>
    <row r="3" spans="1:14">
      <c r="A3" s="1"/>
      <c r="C3" s="10" t="s">
        <v>729</v>
      </c>
      <c r="D3" s="10" t="s">
        <v>81</v>
      </c>
      <c r="E3">
        <v>0</v>
      </c>
      <c r="F3" s="32">
        <v>10</v>
      </c>
      <c r="G3">
        <v>11</v>
      </c>
      <c r="H3" s="64">
        <f t="shared" si="0"/>
        <v>10</v>
      </c>
      <c r="I3" s="48">
        <v>42134</v>
      </c>
      <c r="J3" s="10" t="s">
        <v>61</v>
      </c>
      <c r="K3" s="77"/>
      <c r="L3" s="10" t="s">
        <v>90</v>
      </c>
      <c r="M3" s="10" t="s">
        <v>30</v>
      </c>
      <c r="N3" s="10" t="s">
        <v>728</v>
      </c>
    </row>
    <row r="4" spans="1:14">
      <c r="A4" s="1"/>
      <c r="C4" s="10" t="s">
        <v>730</v>
      </c>
      <c r="D4" s="10" t="s">
        <v>81</v>
      </c>
      <c r="E4">
        <v>0</v>
      </c>
      <c r="F4" s="39">
        <v>8</v>
      </c>
      <c r="G4" t="s">
        <v>89</v>
      </c>
      <c r="H4" s="64">
        <f t="shared" si="0"/>
        <v>8</v>
      </c>
      <c r="I4" s="48">
        <v>42022</v>
      </c>
      <c r="J4" s="10" t="s">
        <v>61</v>
      </c>
      <c r="K4" s="77">
        <v>2</v>
      </c>
      <c r="L4" s="10" t="s">
        <v>90</v>
      </c>
      <c r="M4" s="10" t="s">
        <v>731</v>
      </c>
      <c r="N4" s="10" t="s">
        <v>728</v>
      </c>
    </row>
    <row r="5" spans="1:14">
      <c r="C5" s="10" t="s">
        <v>732</v>
      </c>
      <c r="D5" s="10" t="s">
        <v>81</v>
      </c>
      <c r="E5">
        <v>0</v>
      </c>
      <c r="F5">
        <v>25</v>
      </c>
      <c r="G5">
        <v>25</v>
      </c>
      <c r="H5" s="64">
        <f t="shared" si="0"/>
        <v>25</v>
      </c>
      <c r="I5" s="48">
        <v>42134</v>
      </c>
      <c r="J5" s="10" t="s">
        <v>61</v>
      </c>
      <c r="K5" s="77">
        <v>8</v>
      </c>
      <c r="L5" s="10" t="s">
        <v>90</v>
      </c>
      <c r="M5" s="10" t="s">
        <v>30</v>
      </c>
      <c r="N5" s="10" t="s">
        <v>728</v>
      </c>
    </row>
    <row r="6" spans="1:14">
      <c r="C6" s="10" t="s">
        <v>733</v>
      </c>
      <c r="D6" s="10" t="s">
        <v>81</v>
      </c>
      <c r="E6">
        <v>0</v>
      </c>
      <c r="F6">
        <v>7</v>
      </c>
      <c r="G6">
        <v>9</v>
      </c>
      <c r="H6" s="64">
        <f t="shared" si="0"/>
        <v>7</v>
      </c>
      <c r="I6" s="48">
        <v>42134</v>
      </c>
      <c r="J6" s="10" t="s">
        <v>61</v>
      </c>
      <c r="K6" s="77" t="s">
        <v>734</v>
      </c>
      <c r="L6" s="10" t="s">
        <v>90</v>
      </c>
      <c r="M6" s="10" t="s">
        <v>30</v>
      </c>
      <c r="N6" s="10" t="s">
        <v>728</v>
      </c>
    </row>
    <row r="7" spans="1:14">
      <c r="I7" s="48"/>
    </row>
    <row r="8" spans="1:14">
      <c r="I8" s="48"/>
    </row>
    <row r="9" spans="1:14">
      <c r="C9" s="10"/>
      <c r="D9" s="10"/>
      <c r="I9" s="48"/>
      <c r="J9" s="10"/>
      <c r="L9" s="10"/>
      <c r="M9" s="10"/>
      <c r="N9" s="10"/>
    </row>
    <row r="10" spans="1:14">
      <c r="I10" s="48"/>
    </row>
    <row r="11" spans="1:14">
      <c r="I11" s="48"/>
    </row>
    <row r="12" spans="1:14">
      <c r="I12" s="48"/>
      <c r="N12" s="10"/>
    </row>
    <row r="13" spans="1:14">
      <c r="I13" s="48"/>
    </row>
    <row r="14" spans="1:14">
      <c r="A14" s="1" t="s">
        <v>169</v>
      </c>
      <c r="I14" s="48"/>
    </row>
    <row r="15" spans="1:14">
      <c r="A15" s="6">
        <f>SUM(E:E)</f>
        <v>45</v>
      </c>
      <c r="I15" s="48"/>
    </row>
    <row r="16" spans="1:14">
      <c r="A16" s="14" t="s">
        <v>735</v>
      </c>
      <c r="I16" s="48"/>
    </row>
    <row r="17" spans="1:9">
      <c r="A17" s="8">
        <f>COUNTA(C:C)-1</f>
        <v>5</v>
      </c>
      <c r="I17" s="48"/>
    </row>
    <row r="18" spans="1:9">
      <c r="A18" s="1" t="s">
        <v>736</v>
      </c>
      <c r="I18" s="48"/>
    </row>
    <row r="19" spans="1:9">
      <c r="A19" s="2">
        <f>COUNTIF(J:J,"Never")</f>
        <v>0</v>
      </c>
      <c r="I19" s="48"/>
    </row>
    <row r="20" spans="1:9">
      <c r="A20" s="1" t="s">
        <v>162</v>
      </c>
      <c r="I20" s="48"/>
    </row>
    <row r="21" spans="1:9">
      <c r="A21" s="2">
        <f>COUNTIF(J:J,"Completed")</f>
        <v>5</v>
      </c>
      <c r="I21" s="48"/>
    </row>
    <row r="22" spans="1:9">
      <c r="A22" s="1" t="s">
        <v>163</v>
      </c>
      <c r="I22" s="48"/>
    </row>
    <row r="23" spans="1:9">
      <c r="A23" s="2">
        <f>COUNTIF(J:J,"CBD")</f>
        <v>0</v>
      </c>
      <c r="I23" s="48"/>
    </row>
    <row r="24" spans="1:9">
      <c r="A24" s="1" t="s">
        <v>164</v>
      </c>
      <c r="I24" s="48"/>
    </row>
    <row r="25" spans="1:9">
      <c r="A25" s="1">
        <f>SUM(A21,A23,A19)</f>
        <v>5</v>
      </c>
      <c r="I25" s="48"/>
    </row>
    <row r="26" spans="1:9">
      <c r="A26" s="1" t="s">
        <v>96</v>
      </c>
      <c r="I26" s="48"/>
    </row>
    <row r="27" spans="1:9">
      <c r="A27" s="2">
        <f>COUNTIF(J:J,"Undone")</f>
        <v>0</v>
      </c>
      <c r="I27" s="48"/>
    </row>
    <row r="28" spans="1:9">
      <c r="A28" s="1" t="s">
        <v>125</v>
      </c>
      <c r="I28" s="48"/>
    </row>
    <row r="29" spans="1:9">
      <c r="A29" s="2">
        <f>COUNTIF(J:J,"Pending")</f>
        <v>0</v>
      </c>
      <c r="I29" s="48"/>
    </row>
    <row r="30" spans="1:9">
      <c r="A30" s="1" t="s">
        <v>167</v>
      </c>
      <c r="I30" s="48"/>
    </row>
    <row r="31" spans="1:9">
      <c r="A31" s="1">
        <f>SUM(A27,A29)</f>
        <v>0</v>
      </c>
      <c r="I31" s="48"/>
    </row>
    <row r="32" spans="1:9">
      <c r="A32" s="1" t="s">
        <v>168</v>
      </c>
      <c r="I32" s="48"/>
    </row>
    <row r="33" spans="1:9">
      <c r="A33" s="11">
        <f>(A25)/(A17)</f>
        <v>1</v>
      </c>
      <c r="I33" s="48"/>
    </row>
    <row r="34" spans="1:9">
      <c r="A34" s="10" t="s">
        <v>159</v>
      </c>
      <c r="I34" s="48"/>
    </row>
    <row r="35" spans="1:9">
      <c r="A35">
        <f>SUM(H:H)</f>
        <v>105</v>
      </c>
      <c r="I35" s="48"/>
    </row>
    <row r="36" spans="1:9">
      <c r="A36" s="10" t="s">
        <v>160</v>
      </c>
    </row>
    <row r="37" spans="1:9">
      <c r="A37" s="10">
        <f>(A35-(A17*5))*0.85</f>
        <v>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00"/>
  </sheetPr>
  <dimension ref="A1:N44"/>
  <sheetViews>
    <sheetView workbookViewId="0" xr3:uid="{44B22561-5205-5C8A-B808-2C70100D228F}">
      <selection activeCell="J15" sqref="J15"/>
    </sheetView>
  </sheetViews>
  <sheetFormatPr defaultColWidth="11.42578125" defaultRowHeight="12.75"/>
  <cols>
    <col min="1" max="1" width="15.85546875" bestFit="1" customWidth="1"/>
    <col min="3" max="3" width="39.28515625" bestFit="1" customWidth="1"/>
    <col min="9" max="9" width="12.42578125" style="48" bestFit="1" customWidth="1"/>
  </cols>
  <sheetData>
    <row r="1" spans="1:1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10" t="s">
        <v>69</v>
      </c>
      <c r="H1" s="10" t="s">
        <v>724</v>
      </c>
      <c r="I1" s="48" t="s">
        <v>725</v>
      </c>
      <c r="J1" t="s">
        <v>73</v>
      </c>
      <c r="K1" t="s">
        <v>74</v>
      </c>
      <c r="L1" t="s">
        <v>75</v>
      </c>
      <c r="M1" t="s">
        <v>1</v>
      </c>
      <c r="N1" t="s">
        <v>726</v>
      </c>
    </row>
    <row r="2" spans="1:14">
      <c r="A2" s="1"/>
      <c r="C2" s="10" t="s">
        <v>737</v>
      </c>
      <c r="D2" s="10" t="s">
        <v>81</v>
      </c>
      <c r="E2">
        <v>0</v>
      </c>
      <c r="F2">
        <v>20</v>
      </c>
      <c r="G2" s="10">
        <v>25</v>
      </c>
      <c r="H2" s="64">
        <f t="shared" ref="H2:H19" si="0">MIN(F2:G2)</f>
        <v>20</v>
      </c>
      <c r="I2" s="48">
        <v>42405</v>
      </c>
      <c r="J2" s="10" t="s">
        <v>96</v>
      </c>
      <c r="L2" s="10" t="s">
        <v>90</v>
      </c>
      <c r="M2" s="10" t="s">
        <v>305</v>
      </c>
      <c r="N2" s="10" t="s">
        <v>728</v>
      </c>
    </row>
    <row r="3" spans="1:14">
      <c r="A3" s="1"/>
      <c r="C3" s="10" t="s">
        <v>738</v>
      </c>
      <c r="D3" s="10" t="s">
        <v>81</v>
      </c>
      <c r="E3">
        <v>0</v>
      </c>
      <c r="F3">
        <v>21</v>
      </c>
      <c r="G3" s="10">
        <v>27</v>
      </c>
      <c r="H3" s="64">
        <f t="shared" si="0"/>
        <v>21</v>
      </c>
      <c r="I3" s="48">
        <v>42405</v>
      </c>
      <c r="J3" s="10" t="s">
        <v>61</v>
      </c>
      <c r="L3" s="10" t="s">
        <v>90</v>
      </c>
      <c r="M3" s="10" t="s">
        <v>305</v>
      </c>
      <c r="N3" s="10" t="s">
        <v>728</v>
      </c>
    </row>
    <row r="4" spans="1:14">
      <c r="A4" s="1"/>
      <c r="C4" s="10" t="s">
        <v>739</v>
      </c>
      <c r="D4" s="10" t="s">
        <v>81</v>
      </c>
      <c r="E4">
        <v>0</v>
      </c>
      <c r="F4">
        <v>42</v>
      </c>
      <c r="G4" s="10">
        <v>65</v>
      </c>
      <c r="H4" s="64">
        <f t="shared" si="0"/>
        <v>42</v>
      </c>
      <c r="I4" s="48">
        <v>42405</v>
      </c>
      <c r="J4" s="10" t="s">
        <v>96</v>
      </c>
      <c r="L4" s="10" t="s">
        <v>90</v>
      </c>
      <c r="M4" s="10" t="s">
        <v>305</v>
      </c>
      <c r="N4" s="10" t="s">
        <v>728</v>
      </c>
    </row>
    <row r="5" spans="1:14">
      <c r="A5" s="1"/>
      <c r="C5" s="10" t="s">
        <v>88</v>
      </c>
      <c r="D5" s="10" t="s">
        <v>81</v>
      </c>
      <c r="E5">
        <v>40</v>
      </c>
      <c r="F5" s="39">
        <v>45</v>
      </c>
      <c r="G5" s="32">
        <v>65</v>
      </c>
      <c r="H5" s="64">
        <f t="shared" si="0"/>
        <v>45</v>
      </c>
      <c r="I5" s="48">
        <v>42169</v>
      </c>
      <c r="J5" s="10" t="s">
        <v>61</v>
      </c>
      <c r="L5" s="10" t="s">
        <v>90</v>
      </c>
      <c r="M5" s="10" t="s">
        <v>305</v>
      </c>
      <c r="N5" s="10" t="s">
        <v>740</v>
      </c>
    </row>
    <row r="6" spans="1:14">
      <c r="A6" s="1"/>
      <c r="C6" t="s">
        <v>741</v>
      </c>
      <c r="D6" t="s">
        <v>81</v>
      </c>
      <c r="E6">
        <v>40</v>
      </c>
      <c r="F6" s="39">
        <v>120</v>
      </c>
      <c r="G6" s="32" t="s">
        <v>89</v>
      </c>
      <c r="H6" s="64">
        <f t="shared" si="0"/>
        <v>120</v>
      </c>
      <c r="I6" s="48">
        <v>42169</v>
      </c>
      <c r="J6" t="s">
        <v>61</v>
      </c>
      <c r="L6" t="s">
        <v>90</v>
      </c>
      <c r="M6" t="s">
        <v>30</v>
      </c>
      <c r="N6" t="s">
        <v>740</v>
      </c>
    </row>
    <row r="7" spans="1:14">
      <c r="C7" t="s">
        <v>742</v>
      </c>
      <c r="D7" t="s">
        <v>81</v>
      </c>
      <c r="E7">
        <v>40</v>
      </c>
      <c r="F7" s="87">
        <v>90</v>
      </c>
      <c r="G7" s="10" t="s">
        <v>89</v>
      </c>
      <c r="H7" s="64">
        <f t="shared" si="0"/>
        <v>90</v>
      </c>
      <c r="I7" s="48">
        <v>42169</v>
      </c>
      <c r="J7" t="s">
        <v>61</v>
      </c>
      <c r="L7" t="s">
        <v>90</v>
      </c>
      <c r="M7" t="s">
        <v>30</v>
      </c>
      <c r="N7" t="s">
        <v>740</v>
      </c>
    </row>
    <row r="8" spans="1:14">
      <c r="C8" s="10" t="s">
        <v>743</v>
      </c>
      <c r="D8" s="10" t="s">
        <v>81</v>
      </c>
      <c r="E8">
        <v>0</v>
      </c>
      <c r="F8" s="32">
        <v>30</v>
      </c>
      <c r="G8" s="10">
        <v>20</v>
      </c>
      <c r="H8" s="64">
        <f t="shared" si="0"/>
        <v>20</v>
      </c>
      <c r="I8" s="48">
        <v>42405</v>
      </c>
      <c r="J8" s="10" t="s">
        <v>96</v>
      </c>
      <c r="L8" s="10" t="s">
        <v>90</v>
      </c>
      <c r="M8" s="10" t="s">
        <v>30</v>
      </c>
      <c r="N8" s="10" t="s">
        <v>728</v>
      </c>
    </row>
    <row r="9" spans="1:14">
      <c r="C9" s="10" t="s">
        <v>744</v>
      </c>
      <c r="D9" s="10" t="s">
        <v>81</v>
      </c>
      <c r="E9">
        <v>0</v>
      </c>
      <c r="F9" s="32">
        <v>30</v>
      </c>
      <c r="G9" s="10">
        <v>37</v>
      </c>
      <c r="H9" s="64">
        <f t="shared" si="0"/>
        <v>30</v>
      </c>
      <c r="I9" s="48">
        <v>42405</v>
      </c>
      <c r="J9" s="10" t="s">
        <v>96</v>
      </c>
      <c r="L9" s="10" t="s">
        <v>90</v>
      </c>
      <c r="M9" s="10" t="s">
        <v>30</v>
      </c>
      <c r="N9" s="10" t="s">
        <v>728</v>
      </c>
    </row>
    <row r="10" spans="1:14">
      <c r="C10" t="s">
        <v>745</v>
      </c>
      <c r="D10" t="s">
        <v>81</v>
      </c>
      <c r="E10">
        <v>35</v>
      </c>
      <c r="F10" s="87">
        <v>90</v>
      </c>
      <c r="G10" s="88">
        <v>255</v>
      </c>
      <c r="H10" s="64">
        <f t="shared" si="0"/>
        <v>90</v>
      </c>
      <c r="I10" s="48">
        <v>42169</v>
      </c>
      <c r="J10" t="s">
        <v>125</v>
      </c>
      <c r="L10" t="s">
        <v>90</v>
      </c>
      <c r="M10" t="s">
        <v>151</v>
      </c>
      <c r="N10" s="10" t="s">
        <v>740</v>
      </c>
    </row>
    <row r="11" spans="1:14">
      <c r="C11" t="s">
        <v>746</v>
      </c>
      <c r="D11" t="s">
        <v>81</v>
      </c>
      <c r="E11">
        <v>10</v>
      </c>
      <c r="F11" s="32">
        <v>40</v>
      </c>
      <c r="G11" s="32">
        <v>75</v>
      </c>
      <c r="H11" s="64">
        <f t="shared" si="0"/>
        <v>40</v>
      </c>
      <c r="I11" s="48">
        <v>42176</v>
      </c>
      <c r="J11" t="s">
        <v>96</v>
      </c>
      <c r="L11" t="s">
        <v>90</v>
      </c>
      <c r="M11" t="s">
        <v>151</v>
      </c>
      <c r="N11" s="10" t="s">
        <v>728</v>
      </c>
    </row>
    <row r="12" spans="1:14">
      <c r="C12" t="s">
        <v>747</v>
      </c>
      <c r="D12" t="s">
        <v>81</v>
      </c>
      <c r="E12">
        <v>20</v>
      </c>
      <c r="F12" s="87">
        <v>100</v>
      </c>
      <c r="G12">
        <v>235</v>
      </c>
      <c r="H12" s="64">
        <f t="shared" si="0"/>
        <v>100</v>
      </c>
      <c r="I12" s="48">
        <v>42169</v>
      </c>
      <c r="J12" t="s">
        <v>61</v>
      </c>
      <c r="L12" t="s">
        <v>90</v>
      </c>
      <c r="M12" t="s">
        <v>30</v>
      </c>
      <c r="N12" t="s">
        <v>740</v>
      </c>
    </row>
    <row r="13" spans="1:14">
      <c r="C13" s="10" t="s">
        <v>748</v>
      </c>
      <c r="D13" t="s">
        <v>81</v>
      </c>
      <c r="E13">
        <v>40</v>
      </c>
      <c r="F13" s="87">
        <v>56</v>
      </c>
      <c r="G13">
        <v>48</v>
      </c>
      <c r="H13" s="64">
        <f t="shared" si="0"/>
        <v>48</v>
      </c>
      <c r="I13" s="48">
        <v>42169</v>
      </c>
      <c r="J13" t="s">
        <v>125</v>
      </c>
      <c r="L13" t="s">
        <v>90</v>
      </c>
      <c r="M13" t="s">
        <v>255</v>
      </c>
      <c r="N13" t="s">
        <v>740</v>
      </c>
    </row>
    <row r="14" spans="1:14">
      <c r="C14" s="10" t="s">
        <v>749</v>
      </c>
      <c r="D14" s="10" t="s">
        <v>81</v>
      </c>
      <c r="E14">
        <v>45</v>
      </c>
      <c r="F14" s="87">
        <v>98</v>
      </c>
      <c r="G14" s="10" t="s">
        <v>89</v>
      </c>
      <c r="H14" s="64">
        <f t="shared" si="0"/>
        <v>98</v>
      </c>
      <c r="I14" s="48">
        <v>42169</v>
      </c>
      <c r="J14" s="10" t="s">
        <v>61</v>
      </c>
      <c r="L14" s="10" t="s">
        <v>90</v>
      </c>
      <c r="M14" s="10" t="s">
        <v>30</v>
      </c>
      <c r="N14" s="10" t="s">
        <v>740</v>
      </c>
    </row>
    <row r="15" spans="1:14">
      <c r="C15" s="10" t="s">
        <v>750</v>
      </c>
      <c r="D15" s="10" t="s">
        <v>81</v>
      </c>
      <c r="E15">
        <v>0</v>
      </c>
      <c r="F15" s="87">
        <v>33</v>
      </c>
      <c r="G15" s="10">
        <v>35</v>
      </c>
      <c r="H15" s="64">
        <f t="shared" si="0"/>
        <v>33</v>
      </c>
      <c r="I15" s="48">
        <v>42405</v>
      </c>
      <c r="J15" s="10"/>
      <c r="L15" s="10"/>
      <c r="M15" s="10"/>
      <c r="N15" s="10"/>
    </row>
    <row r="16" spans="1:14">
      <c r="C16" t="s">
        <v>751</v>
      </c>
      <c r="D16" t="s">
        <v>81</v>
      </c>
      <c r="E16">
        <v>35</v>
      </c>
      <c r="F16">
        <v>68</v>
      </c>
      <c r="G16">
        <v>44</v>
      </c>
      <c r="H16" s="64">
        <f t="shared" si="0"/>
        <v>44</v>
      </c>
      <c r="I16" s="48">
        <v>42169</v>
      </c>
      <c r="J16" t="s">
        <v>125</v>
      </c>
      <c r="L16" t="s">
        <v>90</v>
      </c>
      <c r="M16" t="s">
        <v>177</v>
      </c>
      <c r="N16" t="s">
        <v>740</v>
      </c>
    </row>
    <row r="17" spans="1:14">
      <c r="C17" t="s">
        <v>752</v>
      </c>
      <c r="D17" t="s">
        <v>81</v>
      </c>
      <c r="E17">
        <v>35</v>
      </c>
      <c r="F17" s="37">
        <v>86</v>
      </c>
      <c r="G17" s="10" t="s">
        <v>89</v>
      </c>
      <c r="H17" s="64">
        <f t="shared" si="0"/>
        <v>86</v>
      </c>
      <c r="I17" s="48">
        <v>42347</v>
      </c>
      <c r="J17" t="s">
        <v>125</v>
      </c>
      <c r="L17" t="s">
        <v>90</v>
      </c>
      <c r="M17" t="s">
        <v>177</v>
      </c>
      <c r="N17" t="s">
        <v>740</v>
      </c>
    </row>
    <row r="18" spans="1:14">
      <c r="C18" t="s">
        <v>753</v>
      </c>
      <c r="D18" t="s">
        <v>81</v>
      </c>
      <c r="E18">
        <v>40</v>
      </c>
      <c r="F18" s="39">
        <v>53</v>
      </c>
      <c r="G18">
        <v>51</v>
      </c>
      <c r="H18" s="64">
        <f t="shared" si="0"/>
        <v>51</v>
      </c>
      <c r="I18" s="48">
        <v>42169</v>
      </c>
      <c r="J18" t="s">
        <v>61</v>
      </c>
      <c r="L18" t="s">
        <v>90</v>
      </c>
      <c r="M18" t="s">
        <v>305</v>
      </c>
      <c r="N18" s="10" t="s">
        <v>740</v>
      </c>
    </row>
    <row r="19" spans="1:14">
      <c r="C19" s="10" t="s">
        <v>754</v>
      </c>
      <c r="D19" s="10" t="s">
        <v>81</v>
      </c>
      <c r="E19">
        <v>0</v>
      </c>
      <c r="F19" s="32">
        <v>55</v>
      </c>
      <c r="G19">
        <v>60</v>
      </c>
      <c r="H19" s="64">
        <f t="shared" si="0"/>
        <v>55</v>
      </c>
      <c r="I19" s="48">
        <v>42405</v>
      </c>
      <c r="J19" s="10" t="s">
        <v>96</v>
      </c>
      <c r="L19" s="10" t="s">
        <v>90</v>
      </c>
      <c r="M19" s="10" t="s">
        <v>305</v>
      </c>
      <c r="N19" s="10" t="s">
        <v>728</v>
      </c>
    </row>
    <row r="21" spans="1:14">
      <c r="A21" s="1" t="s">
        <v>169</v>
      </c>
    </row>
    <row r="22" spans="1:14">
      <c r="A22" s="6">
        <f>SUM(E:E)</f>
        <v>380</v>
      </c>
    </row>
    <row r="23" spans="1:14">
      <c r="A23" s="14" t="s">
        <v>735</v>
      </c>
    </row>
    <row r="24" spans="1:14">
      <c r="A24" s="8">
        <f>COUNTA(C:C)-1</f>
        <v>18</v>
      </c>
    </row>
    <row r="25" spans="1:14">
      <c r="A25" s="1" t="s">
        <v>736</v>
      </c>
    </row>
    <row r="26" spans="1:14">
      <c r="A26" s="2">
        <f>COUNTIF(J:J,"Never")</f>
        <v>0</v>
      </c>
    </row>
    <row r="27" spans="1:14">
      <c r="A27" s="1" t="s">
        <v>162</v>
      </c>
    </row>
    <row r="28" spans="1:14">
      <c r="A28" s="2">
        <f>COUNTIF(J:J,"Completed")</f>
        <v>7</v>
      </c>
    </row>
    <row r="29" spans="1:14">
      <c r="A29" s="1" t="s">
        <v>163</v>
      </c>
    </row>
    <row r="30" spans="1:14">
      <c r="A30" s="2">
        <f>COUNTIF(J:J,"CBD")</f>
        <v>0</v>
      </c>
    </row>
    <row r="31" spans="1:14">
      <c r="A31" s="1" t="s">
        <v>164</v>
      </c>
    </row>
    <row r="32" spans="1:14">
      <c r="A32" s="1">
        <f>SUM(A28,A30,A26)</f>
        <v>7</v>
      </c>
    </row>
    <row r="33" spans="1:1">
      <c r="A33" s="1" t="s">
        <v>96</v>
      </c>
    </row>
    <row r="34" spans="1:1">
      <c r="A34" s="2">
        <f>COUNTIF(J:J,"Undone")</f>
        <v>6</v>
      </c>
    </row>
    <row r="35" spans="1:1">
      <c r="A35" s="1" t="s">
        <v>125</v>
      </c>
    </row>
    <row r="36" spans="1:1">
      <c r="A36" s="2">
        <f>COUNTIF(J:J,"Pending")</f>
        <v>4</v>
      </c>
    </row>
    <row r="37" spans="1:1">
      <c r="A37" s="1" t="s">
        <v>167</v>
      </c>
    </row>
    <row r="38" spans="1:1">
      <c r="A38" s="1">
        <f>SUM(A34,A36)</f>
        <v>10</v>
      </c>
    </row>
    <row r="39" spans="1:1">
      <c r="A39" s="1" t="s">
        <v>168</v>
      </c>
    </row>
    <row r="40" spans="1:1">
      <c r="A40" s="11">
        <f>(A32)/(A24)</f>
        <v>0.3888888888888889</v>
      </c>
    </row>
    <row r="41" spans="1:1">
      <c r="A41" s="10" t="s">
        <v>159</v>
      </c>
    </row>
    <row r="42" spans="1:1">
      <c r="A42">
        <f>SUM(H:H)</f>
        <v>1033</v>
      </c>
    </row>
    <row r="43" spans="1:1">
      <c r="A43" s="10" t="s">
        <v>160</v>
      </c>
    </row>
    <row r="44" spans="1:1">
      <c r="A44" s="10">
        <f>(A42-(A24*5))*0.85</f>
        <v>801.55</v>
      </c>
    </row>
  </sheetData>
  <phoneticPr fontId="2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Maison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 Authorized Customer</dc:creator>
  <cp:keywords/>
  <dc:description/>
  <cp:lastModifiedBy>Luc Laverdure</cp:lastModifiedBy>
  <cp:revision/>
  <dcterms:created xsi:type="dcterms:W3CDTF">2009-01-07T19:00:21Z</dcterms:created>
  <dcterms:modified xsi:type="dcterms:W3CDTF">2018-08-08T16:33:54Z</dcterms:modified>
  <cp:category/>
  <cp:contentStatus/>
</cp:coreProperties>
</file>