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ljones08_student_ubc_ca/Documents/First Year Semester 2/APSC 101/RWH/"/>
    </mc:Choice>
  </mc:AlternateContent>
  <xr:revisionPtr revIDLastSave="176544" documentId="8_{4A1E4CF9-5582-440B-9C8A-A4BF7C4F640D}" xr6:coauthVersionLast="47" xr6:coauthVersionMax="47" xr10:uidLastSave="{227EEA3F-B208-4FAB-95AB-335B77098E88}"/>
  <bookViews>
    <workbookView xWindow="-90" yWindow="-90" windowWidth="19380" windowHeight="11460" tabRatio="645" xr2:uid="{00000000-000D-0000-FFFF-FFFF00000000}"/>
  </bookViews>
  <sheets>
    <sheet name="Main" sheetId="15" r:id="rId1"/>
    <sheet name="Pump Main" sheetId="16" r:id="rId2"/>
    <sheet name="Storage System Flow" sheetId="23" r:id="rId3"/>
    <sheet name="Filter Life Span" sheetId="22" r:id="rId4"/>
    <sheet name="Energy" sheetId="21" r:id="rId5"/>
    <sheet name="Consumption" sheetId="13" r:id="rId6"/>
    <sheet name="Maintenance" sheetId="24" r:id="rId7"/>
    <sheet name="Cost" sheetId="20" r:id="rId8"/>
    <sheet name="GHG" sheetId="18" r:id="rId9"/>
    <sheet name="Risk" sheetId="8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20" l="1"/>
  <c r="C7" i="20" s="1"/>
  <c r="F7" i="20" s="1"/>
  <c r="I9" i="15"/>
  <c r="C12" i="15"/>
  <c r="B2" i="16" s="1"/>
  <c r="I30" i="15"/>
  <c r="F30" i="15"/>
  <c r="E30" i="15"/>
  <c r="H30" i="15"/>
  <c r="G30" i="15"/>
  <c r="C11" i="15"/>
  <c r="G6" i="18"/>
  <c r="B2" i="13"/>
  <c r="D5" i="22"/>
  <c r="D4" i="22"/>
  <c r="D3" i="22"/>
  <c r="T4" i="21"/>
  <c r="K4" i="21"/>
  <c r="T3" i="21"/>
  <c r="Q3" i="21"/>
  <c r="Q4" i="21"/>
  <c r="B4" i="21"/>
  <c r="D23" i="21" s="1"/>
  <c r="B2" i="21"/>
  <c r="Q5" i="21"/>
  <c r="D3" i="18"/>
  <c r="C4" i="18" s="1"/>
  <c r="G5" i="16"/>
  <c r="G5" i="23"/>
  <c r="H5" i="16"/>
  <c r="H5" i="23"/>
  <c r="C4" i="22"/>
  <c r="C5" i="22"/>
  <c r="C3" i="22"/>
  <c r="B10" i="13"/>
  <c r="A50" i="13" s="1"/>
  <c r="A50" i="21" s="1"/>
  <c r="B7" i="24"/>
  <c r="B9" i="24"/>
  <c r="E14" i="20"/>
  <c r="B3" i="23"/>
  <c r="AH16" i="23" s="1"/>
  <c r="B3" i="16"/>
  <c r="C6" i="20"/>
  <c r="F6" i="20" s="1"/>
  <c r="B3" i="20"/>
  <c r="F3" i="20" s="1"/>
  <c r="F6" i="23"/>
  <c r="F2" i="23"/>
  <c r="B31" i="23" s="1"/>
  <c r="F3" i="23"/>
  <c r="F4" i="23"/>
  <c r="O6" i="23"/>
  <c r="W6" i="23"/>
  <c r="F11" i="23"/>
  <c r="F12" i="23"/>
  <c r="F13" i="23"/>
  <c r="F14" i="23"/>
  <c r="F15" i="23"/>
  <c r="F16" i="23"/>
  <c r="F17" i="23"/>
  <c r="F18" i="23"/>
  <c r="F19" i="23"/>
  <c r="F20" i="23"/>
  <c r="F21" i="23"/>
  <c r="F22" i="23"/>
  <c r="F23" i="23"/>
  <c r="F24" i="23"/>
  <c r="F25" i="23"/>
  <c r="F26" i="23"/>
  <c r="F27" i="23"/>
  <c r="F28" i="23"/>
  <c r="F29" i="23"/>
  <c r="F30" i="23"/>
  <c r="F31" i="23"/>
  <c r="F32" i="23"/>
  <c r="F33" i="23"/>
  <c r="F34" i="23"/>
  <c r="F35" i="23"/>
  <c r="F36" i="23"/>
  <c r="F37" i="23"/>
  <c r="F38" i="23"/>
  <c r="F39" i="23"/>
  <c r="F40" i="23"/>
  <c r="F41" i="23"/>
  <c r="A42" i="23"/>
  <c r="F42" i="23"/>
  <c r="A43" i="23"/>
  <c r="F43" i="23"/>
  <c r="A44" i="23"/>
  <c r="A45" i="23" s="1"/>
  <c r="F44" i="23"/>
  <c r="F45" i="23"/>
  <c r="F46" i="23"/>
  <c r="F47" i="23"/>
  <c r="F48" i="23"/>
  <c r="F49" i="23"/>
  <c r="F50" i="23"/>
  <c r="F51" i="23"/>
  <c r="F52" i="23"/>
  <c r="F53" i="23"/>
  <c r="F54" i="23"/>
  <c r="F55" i="23"/>
  <c r="F56" i="23"/>
  <c r="F57" i="23"/>
  <c r="F58" i="23"/>
  <c r="F59" i="23"/>
  <c r="F60" i="23"/>
  <c r="F61" i="23"/>
  <c r="F62" i="23"/>
  <c r="F63" i="23"/>
  <c r="F64" i="23"/>
  <c r="F65" i="23"/>
  <c r="F66" i="23"/>
  <c r="B4" i="13"/>
  <c r="B6" i="13"/>
  <c r="B3" i="13"/>
  <c r="C27" i="15"/>
  <c r="Q1" i="21" s="1"/>
  <c r="R377" i="21"/>
  <c r="N4" i="21"/>
  <c r="W1" i="21"/>
  <c r="N1" i="21"/>
  <c r="N28" i="21" s="1"/>
  <c r="J5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A43" i="16"/>
  <c r="A44" i="16"/>
  <c r="A45" i="16"/>
  <c r="A46" i="16"/>
  <c r="A47" i="16"/>
  <c r="A48" i="16"/>
  <c r="A49" i="16"/>
  <c r="A50" i="16"/>
  <c r="A51" i="16"/>
  <c r="A52" i="16"/>
  <c r="A53" i="16"/>
  <c r="A54" i="16"/>
  <c r="A55" i="16" s="1"/>
  <c r="A56" i="16" s="1"/>
  <c r="A57" i="16" s="1"/>
  <c r="A58" i="16" s="1"/>
  <c r="A59" i="16" s="1"/>
  <c r="A60" i="16" s="1"/>
  <c r="A61" i="16" s="1"/>
  <c r="A62" i="16" s="1"/>
  <c r="A63" i="16" s="1"/>
  <c r="A64" i="16" s="1"/>
  <c r="A65" i="16" s="1"/>
  <c r="A66" i="16" s="1"/>
  <c r="A42" i="16"/>
  <c r="B15" i="20"/>
  <c r="C15" i="20" s="1"/>
  <c r="B20" i="20"/>
  <c r="B19" i="20"/>
  <c r="B18" i="20"/>
  <c r="F18" i="20" s="1"/>
  <c r="B17" i="20"/>
  <c r="F17" i="20" s="1"/>
  <c r="B16" i="20"/>
  <c r="B14" i="20"/>
  <c r="B13" i="20"/>
  <c r="B12" i="20"/>
  <c r="D12" i="20" s="1"/>
  <c r="B11" i="20"/>
  <c r="B10" i="20"/>
  <c r="B9" i="20"/>
  <c r="B5" i="20"/>
  <c r="C5" i="20" s="1"/>
  <c r="F5" i="20" s="1"/>
  <c r="B4" i="20"/>
  <c r="F4" i="20" s="1"/>
  <c r="W6" i="16"/>
  <c r="O6" i="16"/>
  <c r="F24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11" i="16"/>
  <c r="G3" i="18"/>
  <c r="G4" i="18" s="1"/>
  <c r="G5" i="18" s="1"/>
  <c r="F2" i="15"/>
  <c r="J6" i="16"/>
  <c r="J4" i="16"/>
  <c r="J3" i="16"/>
  <c r="J2" i="16"/>
  <c r="F3" i="16"/>
  <c r="F4" i="16"/>
  <c r="F2" i="16"/>
  <c r="B57" i="16" s="1"/>
  <c r="F14" i="20" l="1"/>
  <c r="B12" i="16"/>
  <c r="D14" i="23"/>
  <c r="F9" i="15"/>
  <c r="K9" i="15" s="1"/>
  <c r="B12" i="23"/>
  <c r="N12" i="21"/>
  <c r="G7" i="18"/>
  <c r="S277" i="21"/>
  <c r="T277" i="21" s="1"/>
  <c r="S318" i="21"/>
  <c r="T318" i="21" s="1"/>
  <c r="S317" i="21"/>
  <c r="T317" i="21" s="1"/>
  <c r="S316" i="21"/>
  <c r="T316" i="21" s="1"/>
  <c r="S313" i="21"/>
  <c r="T313" i="21" s="1"/>
  <c r="S278" i="21"/>
  <c r="T278" i="21" s="1"/>
  <c r="S16" i="21"/>
  <c r="T16" i="21" s="1"/>
  <c r="S67" i="21"/>
  <c r="T67" i="21" s="1"/>
  <c r="S219" i="21"/>
  <c r="T219" i="21" s="1"/>
  <c r="S369" i="21"/>
  <c r="T369" i="21" s="1"/>
  <c r="S215" i="21"/>
  <c r="T215" i="21" s="1"/>
  <c r="S368" i="21"/>
  <c r="T368" i="21" s="1"/>
  <c r="S188" i="21"/>
  <c r="T188" i="21" s="1"/>
  <c r="S326" i="21"/>
  <c r="T326" i="21" s="1"/>
  <c r="S197" i="21"/>
  <c r="T197" i="21" s="1"/>
  <c r="S371" i="21"/>
  <c r="T371" i="21" s="1"/>
  <c r="S218" i="21"/>
  <c r="T218" i="21" s="1"/>
  <c r="S373" i="21"/>
  <c r="T373" i="21" s="1"/>
  <c r="S255" i="21"/>
  <c r="T255" i="21" s="1"/>
  <c r="S52" i="21"/>
  <c r="T52" i="21" s="1"/>
  <c r="S259" i="21"/>
  <c r="T259" i="21" s="1"/>
  <c r="S113" i="21"/>
  <c r="T113" i="21" s="1"/>
  <c r="S370" i="21"/>
  <c r="T370" i="21" s="1"/>
  <c r="S140" i="21"/>
  <c r="T140" i="21" s="1"/>
  <c r="S141" i="21"/>
  <c r="T141" i="21" s="1"/>
  <c r="S142" i="21"/>
  <c r="T142" i="21" s="1"/>
  <c r="S146" i="21"/>
  <c r="T146" i="21" s="1"/>
  <c r="S275" i="21"/>
  <c r="T275" i="21" s="1"/>
  <c r="S71" i="21"/>
  <c r="T71" i="21" s="1"/>
  <c r="S69" i="21"/>
  <c r="T69" i="21" s="1"/>
  <c r="S59" i="21"/>
  <c r="T59" i="21" s="1"/>
  <c r="S349" i="21"/>
  <c r="T349" i="21" s="1"/>
  <c r="S311" i="21"/>
  <c r="T311" i="21" s="1"/>
  <c r="S254" i="21"/>
  <c r="T254" i="21" s="1"/>
  <c r="S186" i="21"/>
  <c r="T186" i="21" s="1"/>
  <c r="S112" i="21"/>
  <c r="T112" i="21" s="1"/>
  <c r="S39" i="21"/>
  <c r="T39" i="21" s="1"/>
  <c r="S347" i="21"/>
  <c r="T347" i="21" s="1"/>
  <c r="S305" i="21"/>
  <c r="T305" i="21" s="1"/>
  <c r="S253" i="21"/>
  <c r="T253" i="21" s="1"/>
  <c r="S185" i="21"/>
  <c r="T185" i="21" s="1"/>
  <c r="S111" i="21"/>
  <c r="T111" i="21" s="1"/>
  <c r="S38" i="21"/>
  <c r="T38" i="21" s="1"/>
  <c r="S346" i="21"/>
  <c r="T346" i="21" s="1"/>
  <c r="S295" i="21"/>
  <c r="T295" i="21" s="1"/>
  <c r="S249" i="21"/>
  <c r="T249" i="21" s="1"/>
  <c r="S184" i="21"/>
  <c r="T184" i="21" s="1"/>
  <c r="S110" i="21"/>
  <c r="T110" i="21" s="1"/>
  <c r="S23" i="21"/>
  <c r="T23" i="21" s="1"/>
  <c r="S345" i="21"/>
  <c r="T345" i="21" s="1"/>
  <c r="S292" i="21"/>
  <c r="T292" i="21" s="1"/>
  <c r="S244" i="21"/>
  <c r="T244" i="21" s="1"/>
  <c r="S176" i="21"/>
  <c r="T176" i="21" s="1"/>
  <c r="S105" i="21"/>
  <c r="T105" i="21" s="1"/>
  <c r="S20" i="21"/>
  <c r="T20" i="21" s="1"/>
  <c r="S344" i="21"/>
  <c r="T344" i="21" s="1"/>
  <c r="S291" i="21"/>
  <c r="T291" i="21" s="1"/>
  <c r="S226" i="21"/>
  <c r="T226" i="21" s="1"/>
  <c r="S169" i="21"/>
  <c r="T169" i="21" s="1"/>
  <c r="S104" i="21"/>
  <c r="T104" i="21" s="1"/>
  <c r="S19" i="21"/>
  <c r="T19" i="21" s="1"/>
  <c r="S338" i="21"/>
  <c r="T338" i="21" s="1"/>
  <c r="S289" i="21"/>
  <c r="T289" i="21" s="1"/>
  <c r="S225" i="21"/>
  <c r="T225" i="21" s="1"/>
  <c r="S160" i="21"/>
  <c r="T160" i="21" s="1"/>
  <c r="S102" i="21"/>
  <c r="T102" i="21" s="1"/>
  <c r="S18" i="21"/>
  <c r="T18" i="21" s="1"/>
  <c r="S374" i="21"/>
  <c r="T374" i="21" s="1"/>
  <c r="S334" i="21"/>
  <c r="T334" i="21" s="1"/>
  <c r="S286" i="21"/>
  <c r="T286" i="21" s="1"/>
  <c r="S224" i="21"/>
  <c r="T224" i="21" s="1"/>
  <c r="S159" i="21"/>
  <c r="T159" i="21" s="1"/>
  <c r="S80" i="21"/>
  <c r="T80" i="21" s="1"/>
  <c r="S352" i="21"/>
  <c r="T352" i="21" s="1"/>
  <c r="S315" i="21"/>
  <c r="T315" i="21" s="1"/>
  <c r="S260" i="21"/>
  <c r="T260" i="21" s="1"/>
  <c r="S217" i="21"/>
  <c r="T217" i="21" s="1"/>
  <c r="S145" i="21"/>
  <c r="T145" i="21" s="1"/>
  <c r="S72" i="21"/>
  <c r="T72" i="21" s="1"/>
  <c r="S25" i="21"/>
  <c r="T25" i="21" s="1"/>
  <c r="S43" i="21"/>
  <c r="T43" i="21" s="1"/>
  <c r="S64" i="21"/>
  <c r="T64" i="21" s="1"/>
  <c r="S83" i="21"/>
  <c r="T83" i="21" s="1"/>
  <c r="S100" i="21"/>
  <c r="T100" i="21" s="1"/>
  <c r="S118" i="21"/>
  <c r="T118" i="21" s="1"/>
  <c r="S135" i="21"/>
  <c r="T135" i="21" s="1"/>
  <c r="S153" i="21"/>
  <c r="T153" i="21" s="1"/>
  <c r="S171" i="21"/>
  <c r="T171" i="21" s="1"/>
  <c r="S187" i="21"/>
  <c r="T187" i="21" s="1"/>
  <c r="S203" i="21"/>
  <c r="T203" i="21" s="1"/>
  <c r="S220" i="21"/>
  <c r="T220" i="21" s="1"/>
  <c r="S239" i="21"/>
  <c r="T239" i="21" s="1"/>
  <c r="S256" i="21"/>
  <c r="T256" i="21" s="1"/>
  <c r="S272" i="21"/>
  <c r="T272" i="21" s="1"/>
  <c r="S290" i="21"/>
  <c r="T290" i="21" s="1"/>
  <c r="S306" i="21"/>
  <c r="T306" i="21" s="1"/>
  <c r="S325" i="21"/>
  <c r="T325" i="21" s="1"/>
  <c r="S342" i="21"/>
  <c r="T342" i="21" s="1"/>
  <c r="S358" i="21"/>
  <c r="T358" i="21" s="1"/>
  <c r="S375" i="21"/>
  <c r="T375" i="21" s="1"/>
  <c r="S26" i="21"/>
  <c r="T26" i="21" s="1"/>
  <c r="S48" i="21"/>
  <c r="T48" i="21" s="1"/>
  <c r="S33" i="21"/>
  <c r="T33" i="21" s="1"/>
  <c r="S53" i="21"/>
  <c r="T53" i="21" s="1"/>
  <c r="S73" i="21"/>
  <c r="T73" i="21" s="1"/>
  <c r="S96" i="21"/>
  <c r="T96" i="21" s="1"/>
  <c r="S114" i="21"/>
  <c r="T114" i="21" s="1"/>
  <c r="S133" i="21"/>
  <c r="T133" i="21" s="1"/>
  <c r="S152" i="21"/>
  <c r="T152" i="21" s="1"/>
  <c r="S172" i="21"/>
  <c r="T172" i="21" s="1"/>
  <c r="S189" i="21"/>
  <c r="T189" i="21" s="1"/>
  <c r="S210" i="21"/>
  <c r="T210" i="21" s="1"/>
  <c r="S227" i="21"/>
  <c r="T227" i="21" s="1"/>
  <c r="S245" i="21"/>
  <c r="T245" i="21" s="1"/>
  <c r="S263" i="21"/>
  <c r="T263" i="21" s="1"/>
  <c r="S283" i="21"/>
  <c r="T283" i="21" s="1"/>
  <c r="S302" i="21"/>
  <c r="T302" i="21" s="1"/>
  <c r="S319" i="21"/>
  <c r="T319" i="21" s="1"/>
  <c r="S339" i="21"/>
  <c r="T339" i="21" s="1"/>
  <c r="S357" i="21"/>
  <c r="T357" i="21" s="1"/>
  <c r="S376" i="21"/>
  <c r="T376" i="21" s="1"/>
  <c r="S35" i="21"/>
  <c r="T35" i="21" s="1"/>
  <c r="S54" i="21"/>
  <c r="T54" i="21" s="1"/>
  <c r="S74" i="21"/>
  <c r="T74" i="21" s="1"/>
  <c r="S97" i="21"/>
  <c r="T97" i="21" s="1"/>
  <c r="S115" i="21"/>
  <c r="T115" i="21" s="1"/>
  <c r="S134" i="21"/>
  <c r="T134" i="21" s="1"/>
  <c r="S154" i="21"/>
  <c r="T154" i="21" s="1"/>
  <c r="S173" i="21"/>
  <c r="T173" i="21" s="1"/>
  <c r="S190" i="21"/>
  <c r="T190" i="21" s="1"/>
  <c r="S211" i="21"/>
  <c r="T211" i="21" s="1"/>
  <c r="S229" i="21"/>
  <c r="T229" i="21" s="1"/>
  <c r="S246" i="21"/>
  <c r="T246" i="21" s="1"/>
  <c r="S267" i="21"/>
  <c r="T267" i="21" s="1"/>
  <c r="S284" i="21"/>
  <c r="T284" i="21" s="1"/>
  <c r="S303" i="21"/>
  <c r="T303" i="21" s="1"/>
  <c r="S320" i="21"/>
  <c r="T320" i="21" s="1"/>
  <c r="S341" i="21"/>
  <c r="T341" i="21" s="1"/>
  <c r="S359" i="21"/>
  <c r="T359" i="21" s="1"/>
  <c r="S12" i="21"/>
  <c r="T12" i="21" s="1"/>
  <c r="S36" i="21"/>
  <c r="T36" i="21" s="1"/>
  <c r="S56" i="21"/>
  <c r="T56" i="21" s="1"/>
  <c r="S78" i="21"/>
  <c r="T78" i="21" s="1"/>
  <c r="S98" i="21"/>
  <c r="T98" i="21" s="1"/>
  <c r="S116" i="21"/>
  <c r="T116" i="21" s="1"/>
  <c r="S138" i="21"/>
  <c r="T138" i="21" s="1"/>
  <c r="S155" i="21"/>
  <c r="T155" i="21" s="1"/>
  <c r="S174" i="21"/>
  <c r="T174" i="21" s="1"/>
  <c r="S191" i="21"/>
  <c r="T191" i="21" s="1"/>
  <c r="S212" i="21"/>
  <c r="T212" i="21" s="1"/>
  <c r="S230" i="21"/>
  <c r="T230" i="21" s="1"/>
  <c r="S247" i="21"/>
  <c r="T247" i="21" s="1"/>
  <c r="S268" i="21"/>
  <c r="T268" i="21" s="1"/>
  <c r="S285" i="21"/>
  <c r="T285" i="21" s="1"/>
  <c r="S304" i="21"/>
  <c r="T304" i="21" s="1"/>
  <c r="S323" i="21"/>
  <c r="T323" i="21" s="1"/>
  <c r="S343" i="21"/>
  <c r="T343" i="21" s="1"/>
  <c r="S361" i="21"/>
  <c r="T361" i="21" s="1"/>
  <c r="S14" i="21"/>
  <c r="T14" i="21" s="1"/>
  <c r="S37" i="21"/>
  <c r="T37" i="21" s="1"/>
  <c r="S57" i="21"/>
  <c r="T57" i="21" s="1"/>
  <c r="S79" i="21"/>
  <c r="T79" i="21" s="1"/>
  <c r="S99" i="21"/>
  <c r="T99" i="21" s="1"/>
  <c r="S119" i="21"/>
  <c r="T119" i="21" s="1"/>
  <c r="S139" i="21"/>
  <c r="T139" i="21" s="1"/>
  <c r="S158" i="21"/>
  <c r="T158" i="21" s="1"/>
  <c r="S175" i="21"/>
  <c r="T175" i="21" s="1"/>
  <c r="S195" i="21"/>
  <c r="T195" i="21" s="1"/>
  <c r="S213" i="21"/>
  <c r="T213" i="21" s="1"/>
  <c r="S24" i="21"/>
  <c r="T24" i="21" s="1"/>
  <c r="S63" i="21"/>
  <c r="T63" i="21" s="1"/>
  <c r="S88" i="21"/>
  <c r="T88" i="21" s="1"/>
  <c r="S124" i="21"/>
  <c r="T124" i="21" s="1"/>
  <c r="S147" i="21"/>
  <c r="T147" i="21" s="1"/>
  <c r="S177" i="21"/>
  <c r="T177" i="21" s="1"/>
  <c r="S202" i="21"/>
  <c r="T202" i="21" s="1"/>
  <c r="S232" i="21"/>
  <c r="T232" i="21" s="1"/>
  <c r="S257" i="21"/>
  <c r="T257" i="21" s="1"/>
  <c r="S281" i="21"/>
  <c r="T281" i="21" s="1"/>
  <c r="S309" i="21"/>
  <c r="T309" i="21" s="1"/>
  <c r="S331" i="21"/>
  <c r="T331" i="21" s="1"/>
  <c r="S355" i="21"/>
  <c r="T355" i="21" s="1"/>
  <c r="S27" i="21"/>
  <c r="T27" i="21" s="1"/>
  <c r="S65" i="21"/>
  <c r="T65" i="21" s="1"/>
  <c r="S90" i="21"/>
  <c r="T90" i="21" s="1"/>
  <c r="S125" i="21"/>
  <c r="T125" i="21" s="1"/>
  <c r="S148" i="21"/>
  <c r="T148" i="21" s="1"/>
  <c r="S181" i="21"/>
  <c r="T181" i="21" s="1"/>
  <c r="S205" i="21"/>
  <c r="T205" i="21" s="1"/>
  <c r="S233" i="21"/>
  <c r="T233" i="21" s="1"/>
  <c r="S258" i="21"/>
  <c r="T258" i="21" s="1"/>
  <c r="S282" i="21"/>
  <c r="T282" i="21" s="1"/>
  <c r="S310" i="21"/>
  <c r="T310" i="21" s="1"/>
  <c r="S332" i="21"/>
  <c r="T332" i="21" s="1"/>
  <c r="S356" i="21"/>
  <c r="T356" i="21" s="1"/>
  <c r="S31" i="21"/>
  <c r="T31" i="21" s="1"/>
  <c r="S66" i="21"/>
  <c r="T66" i="21" s="1"/>
  <c r="S93" i="21"/>
  <c r="T93" i="21" s="1"/>
  <c r="S126" i="21"/>
  <c r="T126" i="21" s="1"/>
  <c r="S149" i="21"/>
  <c r="T149" i="21" s="1"/>
  <c r="S182" i="21"/>
  <c r="T182" i="21" s="1"/>
  <c r="S206" i="21"/>
  <c r="T206" i="21" s="1"/>
  <c r="S234" i="21"/>
  <c r="T234" i="21" s="1"/>
  <c r="S367" i="21"/>
  <c r="T367" i="21" s="1"/>
  <c r="S333" i="21"/>
  <c r="T333" i="21" s="1"/>
  <c r="S299" i="21"/>
  <c r="T299" i="21" s="1"/>
  <c r="S273" i="21"/>
  <c r="T273" i="21" s="1"/>
  <c r="S243" i="21"/>
  <c r="T243" i="21" s="1"/>
  <c r="S214" i="21"/>
  <c r="T214" i="21" s="1"/>
  <c r="S167" i="21"/>
  <c r="T167" i="21" s="1"/>
  <c r="S131" i="21"/>
  <c r="T131" i="21" s="1"/>
  <c r="S101" i="21"/>
  <c r="T101" i="21" s="1"/>
  <c r="S51" i="21"/>
  <c r="T51" i="21" s="1"/>
  <c r="S363" i="21"/>
  <c r="T363" i="21" s="1"/>
  <c r="S330" i="21"/>
  <c r="T330" i="21" s="1"/>
  <c r="S298" i="21"/>
  <c r="T298" i="21" s="1"/>
  <c r="S271" i="21"/>
  <c r="T271" i="21" s="1"/>
  <c r="S242" i="21"/>
  <c r="T242" i="21" s="1"/>
  <c r="S201" i="21"/>
  <c r="T201" i="21" s="1"/>
  <c r="S166" i="21"/>
  <c r="T166" i="21" s="1"/>
  <c r="S129" i="21"/>
  <c r="T129" i="21" s="1"/>
  <c r="S87" i="21"/>
  <c r="T87" i="21" s="1"/>
  <c r="S50" i="21"/>
  <c r="T50" i="21" s="1"/>
  <c r="S362" i="21"/>
  <c r="T362" i="21" s="1"/>
  <c r="S329" i="21"/>
  <c r="T329" i="21" s="1"/>
  <c r="S297" i="21"/>
  <c r="T297" i="21" s="1"/>
  <c r="S270" i="21"/>
  <c r="T270" i="21" s="1"/>
  <c r="S241" i="21"/>
  <c r="T241" i="21" s="1"/>
  <c r="S200" i="21"/>
  <c r="T200" i="21" s="1"/>
  <c r="S163" i="21"/>
  <c r="T163" i="21" s="1"/>
  <c r="S128" i="21"/>
  <c r="T128" i="21" s="1"/>
  <c r="S86" i="21"/>
  <c r="T86" i="21" s="1"/>
  <c r="S49" i="21"/>
  <c r="T49" i="21" s="1"/>
  <c r="S354" i="21"/>
  <c r="T354" i="21" s="1"/>
  <c r="S328" i="21"/>
  <c r="T328" i="21" s="1"/>
  <c r="S296" i="21"/>
  <c r="T296" i="21" s="1"/>
  <c r="S269" i="21"/>
  <c r="T269" i="21" s="1"/>
  <c r="S238" i="21"/>
  <c r="T238" i="21" s="1"/>
  <c r="S199" i="21"/>
  <c r="T199" i="21" s="1"/>
  <c r="S162" i="21"/>
  <c r="T162" i="21" s="1"/>
  <c r="S127" i="21"/>
  <c r="T127" i="21" s="1"/>
  <c r="S85" i="21"/>
  <c r="T85" i="21" s="1"/>
  <c r="S41" i="21"/>
  <c r="T41" i="21" s="1"/>
  <c r="S262" i="21"/>
  <c r="T262" i="21" s="1"/>
  <c r="S231" i="21"/>
  <c r="T231" i="21" s="1"/>
  <c r="S198" i="21"/>
  <c r="T198" i="21" s="1"/>
  <c r="S161" i="21"/>
  <c r="T161" i="21" s="1"/>
  <c r="S121" i="21"/>
  <c r="T121" i="21" s="1"/>
  <c r="S84" i="21"/>
  <c r="T84" i="21" s="1"/>
  <c r="S40" i="21"/>
  <c r="T40" i="21" s="1"/>
  <c r="S22" i="21"/>
  <c r="T22" i="21" s="1"/>
  <c r="S21" i="21"/>
  <c r="T21" i="21" s="1"/>
  <c r="S34" i="21"/>
  <c r="T34" i="21" s="1"/>
  <c r="S46" i="21"/>
  <c r="T46" i="21" s="1"/>
  <c r="S58" i="21"/>
  <c r="T58" i="21" s="1"/>
  <c r="S70" i="21"/>
  <c r="T70" i="21" s="1"/>
  <c r="S82" i="21"/>
  <c r="T82" i="21" s="1"/>
  <c r="S94" i="21"/>
  <c r="T94" i="21" s="1"/>
  <c r="S106" i="21"/>
  <c r="T106" i="21" s="1"/>
  <c r="S15" i="21"/>
  <c r="T15" i="21" s="1"/>
  <c r="S29" i="21"/>
  <c r="T29" i="21" s="1"/>
  <c r="S42" i="21"/>
  <c r="T42" i="21" s="1"/>
  <c r="S55" i="21"/>
  <c r="T55" i="21" s="1"/>
  <c r="S68" i="21"/>
  <c r="T68" i="21" s="1"/>
  <c r="S81" i="21"/>
  <c r="T81" i="21" s="1"/>
  <c r="S95" i="21"/>
  <c r="T95" i="21" s="1"/>
  <c r="S108" i="21"/>
  <c r="T108" i="21" s="1"/>
  <c r="S120" i="21"/>
  <c r="T120" i="21" s="1"/>
  <c r="S132" i="21"/>
  <c r="T132" i="21" s="1"/>
  <c r="S144" i="21"/>
  <c r="T144" i="21" s="1"/>
  <c r="S156" i="21"/>
  <c r="T156" i="21" s="1"/>
  <c r="S168" i="21"/>
  <c r="T168" i="21" s="1"/>
  <c r="S180" i="21"/>
  <c r="T180" i="21" s="1"/>
  <c r="S192" i="21"/>
  <c r="T192" i="21" s="1"/>
  <c r="S204" i="21"/>
  <c r="T204" i="21" s="1"/>
  <c r="S216" i="21"/>
  <c r="T216" i="21" s="1"/>
  <c r="S228" i="21"/>
  <c r="T228" i="21" s="1"/>
  <c r="S240" i="21"/>
  <c r="T240" i="21" s="1"/>
  <c r="S252" i="21"/>
  <c r="T252" i="21" s="1"/>
  <c r="S264" i="21"/>
  <c r="T264" i="21" s="1"/>
  <c r="S276" i="21"/>
  <c r="T276" i="21" s="1"/>
  <c r="S288" i="21"/>
  <c r="T288" i="21" s="1"/>
  <c r="S300" i="21"/>
  <c r="T300" i="21" s="1"/>
  <c r="S312" i="21"/>
  <c r="T312" i="21" s="1"/>
  <c r="S324" i="21"/>
  <c r="T324" i="21" s="1"/>
  <c r="S336" i="21"/>
  <c r="T336" i="21" s="1"/>
  <c r="S348" i="21"/>
  <c r="T348" i="21" s="1"/>
  <c r="S360" i="21"/>
  <c r="T360" i="21" s="1"/>
  <c r="S372" i="21"/>
  <c r="T372" i="21" s="1"/>
  <c r="S17" i="21"/>
  <c r="T17" i="21" s="1"/>
  <c r="S32" i="21"/>
  <c r="T32" i="21" s="1"/>
  <c r="S47" i="21"/>
  <c r="T47" i="21" s="1"/>
  <c r="S61" i="21"/>
  <c r="T61" i="21" s="1"/>
  <c r="S75" i="21"/>
  <c r="T75" i="21" s="1"/>
  <c r="S89" i="21"/>
  <c r="T89" i="21" s="1"/>
  <c r="S103" i="21"/>
  <c r="T103" i="21" s="1"/>
  <c r="S117" i="21"/>
  <c r="T117" i="21" s="1"/>
  <c r="S130" i="21"/>
  <c r="T130" i="21" s="1"/>
  <c r="S143" i="21"/>
  <c r="T143" i="21" s="1"/>
  <c r="S157" i="21"/>
  <c r="T157" i="21" s="1"/>
  <c r="S170" i="21"/>
  <c r="T170" i="21" s="1"/>
  <c r="S183" i="21"/>
  <c r="T183" i="21" s="1"/>
  <c r="S196" i="21"/>
  <c r="T196" i="21" s="1"/>
  <c r="S209" i="21"/>
  <c r="T209" i="21" s="1"/>
  <c r="S222" i="21"/>
  <c r="T222" i="21" s="1"/>
  <c r="S235" i="21"/>
  <c r="T235" i="21" s="1"/>
  <c r="S248" i="21"/>
  <c r="T248" i="21" s="1"/>
  <c r="S261" i="21"/>
  <c r="T261" i="21" s="1"/>
  <c r="S274" i="21"/>
  <c r="T274" i="21" s="1"/>
  <c r="S287" i="21"/>
  <c r="T287" i="21" s="1"/>
  <c r="S301" i="21"/>
  <c r="T301" i="21" s="1"/>
  <c r="S314" i="21"/>
  <c r="T314" i="21" s="1"/>
  <c r="S327" i="21"/>
  <c r="T327" i="21" s="1"/>
  <c r="S340" i="21"/>
  <c r="T340" i="21" s="1"/>
  <c r="S353" i="21"/>
  <c r="T353" i="21" s="1"/>
  <c r="S366" i="21"/>
  <c r="T366" i="21" s="1"/>
  <c r="S365" i="21"/>
  <c r="T365" i="21" s="1"/>
  <c r="S351" i="21"/>
  <c r="T351" i="21" s="1"/>
  <c r="S337" i="21"/>
  <c r="T337" i="21" s="1"/>
  <c r="S322" i="21"/>
  <c r="T322" i="21" s="1"/>
  <c r="S308" i="21"/>
  <c r="T308" i="21" s="1"/>
  <c r="S294" i="21"/>
  <c r="T294" i="21" s="1"/>
  <c r="S280" i="21"/>
  <c r="T280" i="21" s="1"/>
  <c r="S266" i="21"/>
  <c r="T266" i="21" s="1"/>
  <c r="S251" i="21"/>
  <c r="T251" i="21" s="1"/>
  <c r="S237" i="21"/>
  <c r="T237" i="21" s="1"/>
  <c r="S223" i="21"/>
  <c r="T223" i="21" s="1"/>
  <c r="S208" i="21"/>
  <c r="T208" i="21" s="1"/>
  <c r="S194" i="21"/>
  <c r="T194" i="21" s="1"/>
  <c r="S179" i="21"/>
  <c r="T179" i="21" s="1"/>
  <c r="S165" i="21"/>
  <c r="T165" i="21" s="1"/>
  <c r="S151" i="21"/>
  <c r="T151" i="21" s="1"/>
  <c r="S137" i="21"/>
  <c r="T137" i="21" s="1"/>
  <c r="S123" i="21"/>
  <c r="T123" i="21" s="1"/>
  <c r="S109" i="21"/>
  <c r="T109" i="21" s="1"/>
  <c r="S92" i="21"/>
  <c r="T92" i="21" s="1"/>
  <c r="S77" i="21"/>
  <c r="T77" i="21" s="1"/>
  <c r="S62" i="21"/>
  <c r="T62" i="21" s="1"/>
  <c r="S45" i="21"/>
  <c r="T45" i="21" s="1"/>
  <c r="S30" i="21"/>
  <c r="T30" i="21" s="1"/>
  <c r="S13" i="21"/>
  <c r="T13" i="21" s="1"/>
  <c r="S364" i="21"/>
  <c r="T364" i="21" s="1"/>
  <c r="S350" i="21"/>
  <c r="T350" i="21" s="1"/>
  <c r="S335" i="21"/>
  <c r="T335" i="21" s="1"/>
  <c r="S321" i="21"/>
  <c r="T321" i="21" s="1"/>
  <c r="S307" i="21"/>
  <c r="T307" i="21" s="1"/>
  <c r="S293" i="21"/>
  <c r="T293" i="21" s="1"/>
  <c r="S279" i="21"/>
  <c r="T279" i="21" s="1"/>
  <c r="S265" i="21"/>
  <c r="T265" i="21" s="1"/>
  <c r="S250" i="21"/>
  <c r="T250" i="21" s="1"/>
  <c r="S236" i="21"/>
  <c r="T236" i="21" s="1"/>
  <c r="S221" i="21"/>
  <c r="T221" i="21" s="1"/>
  <c r="S207" i="21"/>
  <c r="T207" i="21" s="1"/>
  <c r="S193" i="21"/>
  <c r="T193" i="21" s="1"/>
  <c r="S178" i="21"/>
  <c r="T178" i="21" s="1"/>
  <c r="S164" i="21"/>
  <c r="T164" i="21" s="1"/>
  <c r="S150" i="21"/>
  <c r="T150" i="21" s="1"/>
  <c r="S136" i="21"/>
  <c r="T136" i="21" s="1"/>
  <c r="S122" i="21"/>
  <c r="T122" i="21" s="1"/>
  <c r="S107" i="21"/>
  <c r="T107" i="21" s="1"/>
  <c r="S91" i="21"/>
  <c r="T91" i="21" s="1"/>
  <c r="S76" i="21"/>
  <c r="T76" i="21" s="1"/>
  <c r="S60" i="21"/>
  <c r="T60" i="21" s="1"/>
  <c r="S44" i="21"/>
  <c r="T44" i="21" s="1"/>
  <c r="S28" i="21"/>
  <c r="T28" i="21" s="1"/>
  <c r="N13" i="21"/>
  <c r="C12" i="16"/>
  <c r="D11" i="23"/>
  <c r="I2" i="15"/>
  <c r="K2" i="15" s="1"/>
  <c r="D6" i="22" a="1"/>
  <c r="D6" i="22" s="1"/>
  <c r="C18" i="15" s="1"/>
  <c r="F5" i="16" s="1"/>
  <c r="D11" i="16" s="1"/>
  <c r="B16" i="23"/>
  <c r="A13" i="13"/>
  <c r="A12" i="13"/>
  <c r="C31" i="15"/>
  <c r="C3" i="18"/>
  <c r="C5" i="18" s="1"/>
  <c r="N304" i="21"/>
  <c r="N163" i="21"/>
  <c r="N303" i="21"/>
  <c r="N162" i="21"/>
  <c r="N302" i="21"/>
  <c r="N161" i="21"/>
  <c r="N150" i="21"/>
  <c r="N289" i="21"/>
  <c r="N147" i="21"/>
  <c r="N146" i="21"/>
  <c r="N369" i="21"/>
  <c r="N126" i="21"/>
  <c r="N368" i="21"/>
  <c r="N87" i="21"/>
  <c r="N367" i="21"/>
  <c r="N229" i="21"/>
  <c r="N366" i="21"/>
  <c r="N85" i="21"/>
  <c r="N365" i="21"/>
  <c r="N84" i="21"/>
  <c r="N364" i="21"/>
  <c r="N226" i="21"/>
  <c r="N363" i="21"/>
  <c r="N82" i="21"/>
  <c r="N81" i="21"/>
  <c r="N361" i="21"/>
  <c r="N71" i="21"/>
  <c r="N342" i="21"/>
  <c r="N222" i="21"/>
  <c r="N70" i="21"/>
  <c r="N301" i="21"/>
  <c r="N151" i="21"/>
  <c r="N300" i="21"/>
  <c r="N291" i="21"/>
  <c r="N149" i="21"/>
  <c r="N290" i="21"/>
  <c r="N148" i="21"/>
  <c r="N269" i="21"/>
  <c r="N266" i="21"/>
  <c r="N230" i="21"/>
  <c r="N86" i="21"/>
  <c r="N228" i="21"/>
  <c r="N227" i="21"/>
  <c r="N83" i="21"/>
  <c r="N225" i="21"/>
  <c r="N362" i="21"/>
  <c r="N224" i="21"/>
  <c r="N223" i="21"/>
  <c r="N305" i="21"/>
  <c r="N202" i="21"/>
  <c r="N50" i="21"/>
  <c r="N341" i="21"/>
  <c r="N268" i="21"/>
  <c r="N201" i="21"/>
  <c r="N49" i="21"/>
  <c r="N340" i="21"/>
  <c r="N267" i="21"/>
  <c r="N191" i="21"/>
  <c r="N124" i="21"/>
  <c r="N48" i="21"/>
  <c r="N331" i="21"/>
  <c r="N190" i="21"/>
  <c r="N123" i="21"/>
  <c r="N265" i="21"/>
  <c r="N329" i="21"/>
  <c r="N188" i="21"/>
  <c r="N121" i="21"/>
  <c r="N327" i="21"/>
  <c r="N262" i="21"/>
  <c r="N186" i="21"/>
  <c r="N110" i="21"/>
  <c r="N43" i="21"/>
  <c r="N109" i="21"/>
  <c r="N47" i="21"/>
  <c r="N330" i="21"/>
  <c r="N122" i="21"/>
  <c r="N264" i="21"/>
  <c r="N45" i="21"/>
  <c r="N185" i="21"/>
  <c r="N325" i="21"/>
  <c r="N251" i="21"/>
  <c r="N184" i="21"/>
  <c r="N108" i="21"/>
  <c r="N41" i="21"/>
  <c r="N125" i="21"/>
  <c r="N189" i="21"/>
  <c r="N46" i="21"/>
  <c r="N328" i="21"/>
  <c r="N263" i="21"/>
  <c r="N187" i="21"/>
  <c r="N111" i="21"/>
  <c r="N44" i="21"/>
  <c r="N326" i="21"/>
  <c r="N261" i="21"/>
  <c r="N42" i="21"/>
  <c r="N370" i="21"/>
  <c r="N306" i="21"/>
  <c r="N231" i="21"/>
  <c r="N164" i="21"/>
  <c r="N88" i="21"/>
  <c r="N21" i="21"/>
  <c r="N288" i="21"/>
  <c r="N107" i="21"/>
  <c r="N31" i="21"/>
  <c r="N221" i="21"/>
  <c r="N351" i="21"/>
  <c r="N323" i="21"/>
  <c r="N249" i="21"/>
  <c r="N211" i="21"/>
  <c r="N182" i="21"/>
  <c r="N144" i="21"/>
  <c r="N106" i="21"/>
  <c r="N30" i="21"/>
  <c r="N350" i="21"/>
  <c r="N322" i="21"/>
  <c r="N286" i="21"/>
  <c r="N248" i="21"/>
  <c r="N210" i="21"/>
  <c r="N181" i="21"/>
  <c r="N143" i="21"/>
  <c r="N105" i="21"/>
  <c r="N67" i="21"/>
  <c r="N29" i="21"/>
  <c r="N32" i="21"/>
  <c r="N52" i="21"/>
  <c r="N72" i="21"/>
  <c r="N92" i="21"/>
  <c r="N112" i="21"/>
  <c r="N132" i="21"/>
  <c r="N152" i="21"/>
  <c r="N172" i="21"/>
  <c r="N192" i="21"/>
  <c r="N212" i="21"/>
  <c r="N232" i="21"/>
  <c r="N252" i="21"/>
  <c r="N272" i="21"/>
  <c r="N292" i="21"/>
  <c r="N312" i="21"/>
  <c r="N332" i="21"/>
  <c r="N352" i="21"/>
  <c r="N372" i="21"/>
  <c r="N34" i="21"/>
  <c r="N235" i="21"/>
  <c r="N375" i="21"/>
  <c r="N338" i="21"/>
  <c r="N19" i="21"/>
  <c r="N199" i="21"/>
  <c r="N33" i="21"/>
  <c r="N53" i="21"/>
  <c r="N73" i="21"/>
  <c r="N93" i="21"/>
  <c r="N113" i="21"/>
  <c r="N133" i="21"/>
  <c r="N153" i="21"/>
  <c r="N173" i="21"/>
  <c r="N193" i="21"/>
  <c r="N213" i="21"/>
  <c r="N233" i="21"/>
  <c r="N253" i="21"/>
  <c r="N273" i="21"/>
  <c r="N293" i="21"/>
  <c r="N313" i="21"/>
  <c r="N333" i="21"/>
  <c r="N353" i="21"/>
  <c r="N373" i="21"/>
  <c r="N14" i="21"/>
  <c r="N54" i="21"/>
  <c r="N74" i="21"/>
  <c r="N94" i="21"/>
  <c r="N114" i="21"/>
  <c r="N134" i="21"/>
  <c r="N154" i="21"/>
  <c r="N174" i="21"/>
  <c r="N194" i="21"/>
  <c r="N214" i="21"/>
  <c r="N234" i="21"/>
  <c r="N254" i="21"/>
  <c r="N274" i="21"/>
  <c r="N294" i="21"/>
  <c r="N314" i="21"/>
  <c r="N334" i="21"/>
  <c r="N354" i="21"/>
  <c r="N374" i="21"/>
  <c r="N15" i="21"/>
  <c r="N35" i="21"/>
  <c r="N55" i="21"/>
  <c r="N75" i="21"/>
  <c r="N95" i="21"/>
  <c r="N115" i="21"/>
  <c r="N135" i="21"/>
  <c r="N155" i="21"/>
  <c r="N175" i="21"/>
  <c r="N195" i="21"/>
  <c r="N215" i="21"/>
  <c r="N255" i="21"/>
  <c r="N275" i="21"/>
  <c r="N295" i="21"/>
  <c r="N315" i="21"/>
  <c r="N335" i="21"/>
  <c r="N355" i="21"/>
  <c r="N298" i="21"/>
  <c r="N39" i="21"/>
  <c r="N59" i="21"/>
  <c r="N79" i="21"/>
  <c r="N99" i="21"/>
  <c r="N119" i="21"/>
  <c r="N139" i="21"/>
  <c r="N159" i="21"/>
  <c r="N179" i="21"/>
  <c r="N219" i="21"/>
  <c r="N239" i="21"/>
  <c r="N259" i="21"/>
  <c r="N279" i="21"/>
  <c r="N299" i="21"/>
  <c r="N319" i="21"/>
  <c r="N339" i="21"/>
  <c r="N359" i="21"/>
  <c r="N20" i="21"/>
  <c r="N40" i="21"/>
  <c r="N60" i="21"/>
  <c r="N80" i="21"/>
  <c r="N100" i="21"/>
  <c r="N120" i="21"/>
  <c r="N140" i="21"/>
  <c r="N160" i="21"/>
  <c r="N180" i="21"/>
  <c r="N200" i="21"/>
  <c r="N220" i="21"/>
  <c r="N240" i="21"/>
  <c r="N260" i="21"/>
  <c r="N280" i="21"/>
  <c r="N16" i="21"/>
  <c r="N36" i="21"/>
  <c r="N56" i="21"/>
  <c r="N76" i="21"/>
  <c r="N96" i="21"/>
  <c r="N116" i="21"/>
  <c r="N136" i="21"/>
  <c r="N156" i="21"/>
  <c r="N176" i="21"/>
  <c r="N196" i="21"/>
  <c r="N216" i="21"/>
  <c r="N236" i="21"/>
  <c r="N256" i="21"/>
  <c r="N276" i="21"/>
  <c r="N296" i="21"/>
  <c r="N316" i="21"/>
  <c r="N336" i="21"/>
  <c r="N356" i="21"/>
  <c r="N376" i="21"/>
  <c r="N17" i="21"/>
  <c r="N37" i="21"/>
  <c r="N57" i="21"/>
  <c r="N77" i="21"/>
  <c r="N97" i="21"/>
  <c r="N117" i="21"/>
  <c r="N137" i="21"/>
  <c r="N157" i="21"/>
  <c r="N177" i="21"/>
  <c r="N197" i="21"/>
  <c r="N217" i="21"/>
  <c r="N237" i="21"/>
  <c r="N257" i="21"/>
  <c r="N277" i="21"/>
  <c r="N297" i="21"/>
  <c r="N317" i="21"/>
  <c r="N337" i="21"/>
  <c r="N357" i="21"/>
  <c r="N18" i="21"/>
  <c r="N38" i="21"/>
  <c r="N58" i="21"/>
  <c r="N78" i="21"/>
  <c r="N98" i="21"/>
  <c r="N118" i="21"/>
  <c r="N138" i="21"/>
  <c r="N158" i="21"/>
  <c r="N178" i="21"/>
  <c r="N198" i="21"/>
  <c r="N218" i="21"/>
  <c r="N238" i="21"/>
  <c r="N258" i="21"/>
  <c r="N278" i="21"/>
  <c r="N318" i="21"/>
  <c r="N358" i="21"/>
  <c r="N360" i="21"/>
  <c r="N324" i="21"/>
  <c r="N250" i="21"/>
  <c r="N183" i="21"/>
  <c r="N145" i="21"/>
  <c r="N69" i="21"/>
  <c r="N287" i="21"/>
  <c r="N68" i="21"/>
  <c r="N349" i="21"/>
  <c r="N321" i="21"/>
  <c r="N285" i="21"/>
  <c r="N247" i="21"/>
  <c r="N209" i="21"/>
  <c r="N171" i="21"/>
  <c r="N142" i="21"/>
  <c r="N104" i="21"/>
  <c r="N66" i="21"/>
  <c r="N348" i="21"/>
  <c r="N320" i="21"/>
  <c r="N284" i="21"/>
  <c r="N246" i="21"/>
  <c r="N208" i="21"/>
  <c r="N170" i="21"/>
  <c r="N141" i="21"/>
  <c r="N103" i="21"/>
  <c r="N65" i="21"/>
  <c r="N27" i="21"/>
  <c r="N347" i="21"/>
  <c r="N311" i="21"/>
  <c r="N283" i="21"/>
  <c r="N245" i="21"/>
  <c r="N207" i="21"/>
  <c r="N169" i="21"/>
  <c r="N131" i="21"/>
  <c r="N102" i="21"/>
  <c r="N64" i="21"/>
  <c r="N26" i="21"/>
  <c r="N346" i="21"/>
  <c r="N310" i="21"/>
  <c r="N282" i="21"/>
  <c r="N244" i="21"/>
  <c r="N206" i="21"/>
  <c r="N168" i="21"/>
  <c r="N130" i="21"/>
  <c r="N101" i="21"/>
  <c r="N63" i="21"/>
  <c r="N25" i="21"/>
  <c r="N345" i="21"/>
  <c r="N309" i="21"/>
  <c r="N281" i="21"/>
  <c r="N243" i="21"/>
  <c r="N205" i="21"/>
  <c r="N167" i="21"/>
  <c r="N129" i="21"/>
  <c r="N91" i="21"/>
  <c r="N62" i="21"/>
  <c r="N24" i="21"/>
  <c r="N344" i="21"/>
  <c r="N308" i="21"/>
  <c r="N271" i="21"/>
  <c r="N242" i="21"/>
  <c r="N204" i="21"/>
  <c r="N166" i="21"/>
  <c r="N128" i="21"/>
  <c r="N90" i="21"/>
  <c r="N61" i="21"/>
  <c r="N23" i="21"/>
  <c r="N371" i="21"/>
  <c r="N343" i="21"/>
  <c r="N307" i="21"/>
  <c r="N270" i="21"/>
  <c r="N241" i="21"/>
  <c r="N203" i="21"/>
  <c r="N165" i="21"/>
  <c r="N127" i="21"/>
  <c r="N89" i="21"/>
  <c r="N51" i="21"/>
  <c r="N22" i="21"/>
  <c r="D368" i="21"/>
  <c r="D365" i="21"/>
  <c r="D363" i="21"/>
  <c r="D220" i="21"/>
  <c r="D187" i="21"/>
  <c r="D330" i="21"/>
  <c r="D161" i="21"/>
  <c r="D119" i="21"/>
  <c r="D86" i="21"/>
  <c r="D42" i="21"/>
  <c r="D162" i="21"/>
  <c r="D316" i="21"/>
  <c r="D311" i="21"/>
  <c r="D143" i="21"/>
  <c r="D279" i="21"/>
  <c r="D134" i="21"/>
  <c r="D275" i="21"/>
  <c r="D273" i="21"/>
  <c r="D243" i="21"/>
  <c r="D22" i="21"/>
  <c r="D228" i="21"/>
  <c r="B8" i="20"/>
  <c r="F8" i="20" s="1"/>
  <c r="B2" i="23"/>
  <c r="E3" i="22"/>
  <c r="E5" i="22"/>
  <c r="E4" i="22"/>
  <c r="B286" i="13"/>
  <c r="B286" i="21" s="1"/>
  <c r="A286" i="13"/>
  <c r="A286" i="21" s="1"/>
  <c r="B172" i="13"/>
  <c r="B172" i="21" s="1"/>
  <c r="B140" i="13"/>
  <c r="B140" i="21" s="1"/>
  <c r="B258" i="13"/>
  <c r="B258" i="21" s="1"/>
  <c r="A140" i="13"/>
  <c r="A140" i="21" s="1"/>
  <c r="A350" i="13"/>
  <c r="A350" i="21" s="1"/>
  <c r="B247" i="13"/>
  <c r="B247" i="21" s="1"/>
  <c r="A136" i="13"/>
  <c r="A136" i="21" s="1"/>
  <c r="B349" i="13"/>
  <c r="B349" i="21" s="1"/>
  <c r="A247" i="13"/>
  <c r="A247" i="21" s="1"/>
  <c r="B135" i="13"/>
  <c r="B135" i="21" s="1"/>
  <c r="A349" i="13"/>
  <c r="A349" i="21" s="1"/>
  <c r="B246" i="13"/>
  <c r="B246" i="21" s="1"/>
  <c r="A102" i="13"/>
  <c r="A102" i="21" s="1"/>
  <c r="B348" i="13"/>
  <c r="B348" i="21" s="1"/>
  <c r="B218" i="13"/>
  <c r="B218" i="21" s="1"/>
  <c r="B101" i="13"/>
  <c r="B101" i="21" s="1"/>
  <c r="A321" i="13"/>
  <c r="A321" i="21" s="1"/>
  <c r="B215" i="13"/>
  <c r="B215" i="21" s="1"/>
  <c r="A99" i="13"/>
  <c r="A99" i="21" s="1"/>
  <c r="A320" i="13"/>
  <c r="A320" i="21" s="1"/>
  <c r="B213" i="13"/>
  <c r="B213" i="21" s="1"/>
  <c r="B86" i="13"/>
  <c r="B86" i="21" s="1"/>
  <c r="B319" i="13"/>
  <c r="B319" i="21" s="1"/>
  <c r="A213" i="13"/>
  <c r="A213" i="21" s="1"/>
  <c r="A62" i="13"/>
  <c r="A62" i="21" s="1"/>
  <c r="A319" i="13"/>
  <c r="A319" i="21" s="1"/>
  <c r="B185" i="13"/>
  <c r="B185" i="21" s="1"/>
  <c r="B50" i="13"/>
  <c r="B50" i="21" s="1"/>
  <c r="B287" i="13"/>
  <c r="B287" i="21" s="1"/>
  <c r="B184" i="13"/>
  <c r="B184" i="21" s="1"/>
  <c r="B7" i="13"/>
  <c r="A34" i="13"/>
  <c r="A51" i="13"/>
  <c r="A51" i="21" s="1"/>
  <c r="B70" i="13"/>
  <c r="B70" i="21" s="1"/>
  <c r="A87" i="13"/>
  <c r="A87" i="21" s="1"/>
  <c r="B106" i="13"/>
  <c r="B106" i="21" s="1"/>
  <c r="A127" i="13"/>
  <c r="A127" i="21" s="1"/>
  <c r="A141" i="13"/>
  <c r="A141" i="21" s="1"/>
  <c r="A158" i="13"/>
  <c r="A158" i="21" s="1"/>
  <c r="B173" i="13"/>
  <c r="B187" i="13"/>
  <c r="B205" i="13"/>
  <c r="B219" i="13"/>
  <c r="B219" i="21" s="1"/>
  <c r="A235" i="13"/>
  <c r="A235" i="21" s="1"/>
  <c r="A248" i="13"/>
  <c r="A248" i="21" s="1"/>
  <c r="A264" i="13"/>
  <c r="A264" i="21" s="1"/>
  <c r="A279" i="13"/>
  <c r="A279" i="21" s="1"/>
  <c r="A295" i="13"/>
  <c r="A295" i="21" s="1"/>
  <c r="A308" i="13"/>
  <c r="A308" i="21" s="1"/>
  <c r="A322" i="13"/>
  <c r="A322" i="21" s="1"/>
  <c r="B337" i="13"/>
  <c r="B337" i="21" s="1"/>
  <c r="B354" i="13"/>
  <c r="B368" i="13"/>
  <c r="B36" i="13"/>
  <c r="B36" i="21" s="1"/>
  <c r="A159" i="13"/>
  <c r="A159" i="21" s="1"/>
  <c r="B207" i="13"/>
  <c r="B236" i="13"/>
  <c r="B236" i="21" s="1"/>
  <c r="B268" i="13"/>
  <c r="B268" i="21" s="1"/>
  <c r="A297" i="13"/>
  <c r="A297" i="21" s="1"/>
  <c r="B325" i="13"/>
  <c r="B325" i="21" s="1"/>
  <c r="B356" i="13"/>
  <c r="B356" i="21" s="1"/>
  <c r="B38" i="13"/>
  <c r="B38" i="21" s="1"/>
  <c r="B57" i="13"/>
  <c r="B57" i="21" s="1"/>
  <c r="B92" i="13"/>
  <c r="B92" i="21" s="1"/>
  <c r="B128" i="13"/>
  <c r="B162" i="13"/>
  <c r="B162" i="21" s="1"/>
  <c r="A194" i="13"/>
  <c r="A194" i="21" s="1"/>
  <c r="A225" i="13"/>
  <c r="A225" i="21" s="1"/>
  <c r="B251" i="13"/>
  <c r="B251" i="21" s="1"/>
  <c r="B282" i="13"/>
  <c r="B282" i="21" s="1"/>
  <c r="A312" i="13"/>
  <c r="A312" i="21" s="1"/>
  <c r="A342" i="13"/>
  <c r="A342" i="21" s="1"/>
  <c r="B371" i="13"/>
  <c r="B371" i="21" s="1"/>
  <c r="B20" i="13"/>
  <c r="B20" i="21" s="1"/>
  <c r="B73" i="13"/>
  <c r="B73" i="21" s="1"/>
  <c r="A115" i="13"/>
  <c r="A115" i="21" s="1"/>
  <c r="B147" i="13"/>
  <c r="B147" i="21" s="1"/>
  <c r="B182" i="13"/>
  <c r="B182" i="21" s="1"/>
  <c r="B208" i="13"/>
  <c r="B237" i="13"/>
  <c r="B237" i="21" s="1"/>
  <c r="A270" i="13"/>
  <c r="A270" i="21" s="1"/>
  <c r="A298" i="13"/>
  <c r="A298" i="21" s="1"/>
  <c r="B329" i="13"/>
  <c r="B329" i="21" s="1"/>
  <c r="B357" i="13"/>
  <c r="B357" i="21" s="1"/>
  <c r="B40" i="13"/>
  <c r="B40" i="21" s="1"/>
  <c r="B59" i="13"/>
  <c r="B59" i="21" s="1"/>
  <c r="B97" i="13"/>
  <c r="B97" i="21" s="1"/>
  <c r="B129" i="13"/>
  <c r="A164" i="13"/>
  <c r="A164" i="21" s="1"/>
  <c r="B196" i="13"/>
  <c r="A226" i="13"/>
  <c r="A226" i="21" s="1"/>
  <c r="A256" i="13"/>
  <c r="A256" i="21" s="1"/>
  <c r="B285" i="13"/>
  <c r="B285" i="21" s="1"/>
  <c r="A313" i="13"/>
  <c r="A313" i="21" s="1"/>
  <c r="A344" i="13"/>
  <c r="A344" i="21" s="1"/>
  <c r="B372" i="13"/>
  <c r="B372" i="21" s="1"/>
  <c r="B23" i="13"/>
  <c r="B23" i="21" s="1"/>
  <c r="B61" i="13"/>
  <c r="B61" i="21" s="1"/>
  <c r="B98" i="13"/>
  <c r="B98" i="21" s="1"/>
  <c r="A130" i="13"/>
  <c r="A130" i="21" s="1"/>
  <c r="B165" i="13"/>
  <c r="A184" i="13"/>
  <c r="A184" i="21" s="1"/>
  <c r="B212" i="13"/>
  <c r="B212" i="21" s="1"/>
  <c r="B243" i="13"/>
  <c r="B243" i="21" s="1"/>
  <c r="A271" i="13"/>
  <c r="A271" i="21" s="1"/>
  <c r="B299" i="13"/>
  <c r="B299" i="21" s="1"/>
  <c r="A316" i="13"/>
  <c r="A316" i="21" s="1"/>
  <c r="B330" i="13"/>
  <c r="B330" i="21" s="1"/>
  <c r="B34" i="13"/>
  <c r="B34" i="21" s="1"/>
  <c r="B51" i="13"/>
  <c r="B51" i="21" s="1"/>
  <c r="B71" i="13"/>
  <c r="A91" i="13"/>
  <c r="A91" i="21" s="1"/>
  <c r="B107" i="13"/>
  <c r="B127" i="13"/>
  <c r="B142" i="13"/>
  <c r="B142" i="21" s="1"/>
  <c r="B158" i="13"/>
  <c r="B158" i="21" s="1"/>
  <c r="B175" i="13"/>
  <c r="B175" i="21" s="1"/>
  <c r="B190" i="13"/>
  <c r="B190" i="21" s="1"/>
  <c r="A207" i="13"/>
  <c r="A207" i="21" s="1"/>
  <c r="A220" i="13"/>
  <c r="A220" i="21" s="1"/>
  <c r="A236" i="13"/>
  <c r="A236" i="21" s="1"/>
  <c r="A250" i="13"/>
  <c r="A250" i="21" s="1"/>
  <c r="B264" i="13"/>
  <c r="B279" i="13"/>
  <c r="B279" i="21" s="1"/>
  <c r="B296" i="13"/>
  <c r="B296" i="21" s="1"/>
  <c r="B310" i="13"/>
  <c r="B310" i="21" s="1"/>
  <c r="B322" i="13"/>
  <c r="B322" i="21" s="1"/>
  <c r="A339" i="13"/>
  <c r="A339" i="21" s="1"/>
  <c r="A355" i="13"/>
  <c r="A355" i="21" s="1"/>
  <c r="A370" i="13"/>
  <c r="A370" i="21" s="1"/>
  <c r="B16" i="13"/>
  <c r="B16" i="21" s="1"/>
  <c r="A57" i="13"/>
  <c r="A57" i="21" s="1"/>
  <c r="B72" i="13"/>
  <c r="B72" i="21" s="1"/>
  <c r="A92" i="13"/>
  <c r="A92" i="21" s="1"/>
  <c r="A109" i="13"/>
  <c r="A109" i="21" s="1"/>
  <c r="A128" i="13"/>
  <c r="A128" i="21" s="1"/>
  <c r="B143" i="13"/>
  <c r="A176" i="13"/>
  <c r="A176" i="21" s="1"/>
  <c r="B193" i="13"/>
  <c r="A222" i="13"/>
  <c r="A222" i="21" s="1"/>
  <c r="B250" i="13"/>
  <c r="B250" i="21" s="1"/>
  <c r="A280" i="13"/>
  <c r="A280" i="21" s="1"/>
  <c r="B311" i="13"/>
  <c r="B311" i="21" s="1"/>
  <c r="B341" i="13"/>
  <c r="B341" i="21" s="1"/>
  <c r="B370" i="13"/>
  <c r="B370" i="21" s="1"/>
  <c r="A19" i="13"/>
  <c r="A73" i="13"/>
  <c r="A73" i="21" s="1"/>
  <c r="B114" i="13"/>
  <c r="B144" i="13"/>
  <c r="B144" i="21" s="1"/>
  <c r="A177" i="13"/>
  <c r="A177" i="21" s="1"/>
  <c r="A208" i="13"/>
  <c r="A208" i="21" s="1"/>
  <c r="A237" i="13"/>
  <c r="A237" i="21" s="1"/>
  <c r="B269" i="13"/>
  <c r="B269" i="21" s="1"/>
  <c r="B297" i="13"/>
  <c r="B297" i="21" s="1"/>
  <c r="B327" i="13"/>
  <c r="B327" i="21" s="1"/>
  <c r="A357" i="13"/>
  <c r="A357" i="21" s="1"/>
  <c r="A40" i="13"/>
  <c r="A58" i="13"/>
  <c r="A58" i="21" s="1"/>
  <c r="A97" i="13"/>
  <c r="A97" i="21" s="1"/>
  <c r="A129" i="13"/>
  <c r="A129" i="21" s="1"/>
  <c r="A163" i="13"/>
  <c r="A163" i="21" s="1"/>
  <c r="B194" i="13"/>
  <c r="B194" i="21" s="1"/>
  <c r="B225" i="13"/>
  <c r="B225" i="21" s="1"/>
  <c r="B255" i="13"/>
  <c r="A285" i="13"/>
  <c r="A285" i="21" s="1"/>
  <c r="B312" i="13"/>
  <c r="B312" i="21" s="1"/>
  <c r="B342" i="13"/>
  <c r="B342" i="21" s="1"/>
  <c r="A372" i="13"/>
  <c r="A372" i="21" s="1"/>
  <c r="A21" i="13"/>
  <c r="B76" i="13"/>
  <c r="B76" i="21" s="1"/>
  <c r="B115" i="13"/>
  <c r="B115" i="21" s="1"/>
  <c r="A148" i="13"/>
  <c r="A148" i="21" s="1"/>
  <c r="B183" i="13"/>
  <c r="A211" i="13"/>
  <c r="A211" i="21" s="1"/>
  <c r="B239" i="13"/>
  <c r="B239" i="21" s="1"/>
  <c r="B270" i="13"/>
  <c r="B298" i="13"/>
  <c r="B298" i="21" s="1"/>
  <c r="A330" i="13"/>
  <c r="A330" i="21" s="1"/>
  <c r="A358" i="13"/>
  <c r="A358" i="21" s="1"/>
  <c r="B41" i="13"/>
  <c r="B41" i="21" s="1"/>
  <c r="B80" i="13"/>
  <c r="B80" i="21" s="1"/>
  <c r="A116" i="13"/>
  <c r="A116" i="21" s="1"/>
  <c r="B148" i="13"/>
  <c r="B148" i="21" s="1"/>
  <c r="B197" i="13"/>
  <c r="B197" i="21" s="1"/>
  <c r="B226" i="13"/>
  <c r="B256" i="13"/>
  <c r="B256" i="21" s="1"/>
  <c r="B63" i="13"/>
  <c r="B105" i="13"/>
  <c r="B149" i="13"/>
  <c r="B149" i="21" s="1"/>
  <c r="A186" i="13"/>
  <c r="A186" i="21" s="1"/>
  <c r="A219" i="13"/>
  <c r="A219" i="21" s="1"/>
  <c r="A259" i="13"/>
  <c r="A259" i="21" s="1"/>
  <c r="B289" i="13"/>
  <c r="B289" i="21" s="1"/>
  <c r="B321" i="13"/>
  <c r="B321" i="21" s="1"/>
  <c r="B358" i="13"/>
  <c r="B358" i="21" s="1"/>
  <c r="A24" i="13"/>
  <c r="A69" i="13"/>
  <c r="A69" i="21" s="1"/>
  <c r="A106" i="13"/>
  <c r="A106" i="21" s="1"/>
  <c r="A154" i="13"/>
  <c r="A154" i="21" s="1"/>
  <c r="B186" i="13"/>
  <c r="B186" i="21" s="1"/>
  <c r="B227" i="13"/>
  <c r="B227" i="21" s="1"/>
  <c r="B260" i="13"/>
  <c r="B260" i="21" s="1"/>
  <c r="A291" i="13"/>
  <c r="A291" i="21" s="1"/>
  <c r="A332" i="13"/>
  <c r="A332" i="21" s="1"/>
  <c r="A362" i="13"/>
  <c r="A362" i="21" s="1"/>
  <c r="B24" i="13"/>
  <c r="B24" i="21" s="1"/>
  <c r="B69" i="13"/>
  <c r="B69" i="21" s="1"/>
  <c r="B118" i="13"/>
  <c r="B118" i="21" s="1"/>
  <c r="B154" i="13"/>
  <c r="B154" i="21" s="1"/>
  <c r="A187" i="13"/>
  <c r="A187" i="21" s="1"/>
  <c r="B229" i="13"/>
  <c r="A261" i="13"/>
  <c r="A261" i="21" s="1"/>
  <c r="B292" i="13"/>
  <c r="B292" i="21" s="1"/>
  <c r="B332" i="13"/>
  <c r="B332" i="21" s="1"/>
  <c r="B362" i="13"/>
  <c r="B362" i="21" s="1"/>
  <c r="A27" i="13"/>
  <c r="A70" i="13"/>
  <c r="A70" i="21" s="1"/>
  <c r="B119" i="13"/>
  <c r="B119" i="21" s="1"/>
  <c r="B155" i="13"/>
  <c r="B155" i="21" s="1"/>
  <c r="A199" i="13"/>
  <c r="A199" i="21" s="1"/>
  <c r="A230" i="13"/>
  <c r="A230" i="21" s="1"/>
  <c r="A262" i="13"/>
  <c r="A262" i="21" s="1"/>
  <c r="B301" i="13"/>
  <c r="B301" i="21" s="1"/>
  <c r="A333" i="13"/>
  <c r="A333" i="21" s="1"/>
  <c r="A363" i="13"/>
  <c r="A363" i="21" s="1"/>
  <c r="B27" i="13"/>
  <c r="B27" i="21" s="1"/>
  <c r="B82" i="13"/>
  <c r="B82" i="21" s="1"/>
  <c r="A120" i="13"/>
  <c r="A120" i="21" s="1"/>
  <c r="A156" i="13"/>
  <c r="A156" i="21" s="1"/>
  <c r="B199" i="13"/>
  <c r="B199" i="21" s="1"/>
  <c r="A234" i="13"/>
  <c r="A234" i="21" s="1"/>
  <c r="B271" i="13"/>
  <c r="B271" i="21" s="1"/>
  <c r="B305" i="13"/>
  <c r="B305" i="21" s="1"/>
  <c r="B336" i="13"/>
  <c r="A366" i="13"/>
  <c r="A366" i="21" s="1"/>
  <c r="A28" i="13"/>
  <c r="B83" i="13"/>
  <c r="B83" i="21" s="1"/>
  <c r="B120" i="13"/>
  <c r="B120" i="21" s="1"/>
  <c r="A166" i="13"/>
  <c r="A166" i="21" s="1"/>
  <c r="A200" i="13"/>
  <c r="A200" i="21" s="1"/>
  <c r="B234" i="13"/>
  <c r="B234" i="21" s="1"/>
  <c r="A273" i="13"/>
  <c r="A273" i="21" s="1"/>
  <c r="A306" i="13"/>
  <c r="A306" i="21" s="1"/>
  <c r="A337" i="13"/>
  <c r="A337" i="21" s="1"/>
  <c r="A368" i="13"/>
  <c r="A368" i="21" s="1"/>
  <c r="B43" i="13"/>
  <c r="B43" i="21" s="1"/>
  <c r="A84" i="13"/>
  <c r="A84" i="21" s="1"/>
  <c r="A121" i="13"/>
  <c r="A121" i="21" s="1"/>
  <c r="B169" i="13"/>
  <c r="B169" i="21" s="1"/>
  <c r="B201" i="13"/>
  <c r="B201" i="21" s="1"/>
  <c r="A244" i="13"/>
  <c r="A244" i="21" s="1"/>
  <c r="B276" i="13"/>
  <c r="B276" i="21" s="1"/>
  <c r="B306" i="13"/>
  <c r="B306" i="21" s="1"/>
  <c r="B347" i="13"/>
  <c r="B347" i="21" s="1"/>
  <c r="B373" i="13"/>
  <c r="B373" i="21" s="1"/>
  <c r="A44" i="13"/>
  <c r="A44" i="21" s="1"/>
  <c r="A86" i="13"/>
  <c r="A86" i="21" s="1"/>
  <c r="A134" i="13"/>
  <c r="A134" i="21" s="1"/>
  <c r="B171" i="13"/>
  <c r="A204" i="13"/>
  <c r="A204" i="21" s="1"/>
  <c r="B244" i="13"/>
  <c r="B244" i="21" s="1"/>
  <c r="A277" i="13"/>
  <c r="A277" i="21" s="1"/>
  <c r="A307" i="13"/>
  <c r="A307" i="21" s="1"/>
  <c r="A348" i="13"/>
  <c r="A348" i="21" s="1"/>
  <c r="A375" i="13"/>
  <c r="A375" i="21" s="1"/>
  <c r="B277" i="13"/>
  <c r="B277" i="21" s="1"/>
  <c r="A172" i="13"/>
  <c r="A172" i="21" s="1"/>
  <c r="B48" i="13"/>
  <c r="B48" i="21" s="1"/>
  <c r="B17" i="13"/>
  <c r="B17" i="21" s="1"/>
  <c r="B28" i="13"/>
  <c r="B28" i="21" s="1"/>
  <c r="A42" i="13"/>
  <c r="B54" i="13"/>
  <c r="B54" i="21" s="1"/>
  <c r="A64" i="13"/>
  <c r="A64" i="21" s="1"/>
  <c r="B77" i="13"/>
  <c r="B77" i="21" s="1"/>
  <c r="B87" i="13"/>
  <c r="B87" i="21" s="1"/>
  <c r="B99" i="13"/>
  <c r="B99" i="21" s="1"/>
  <c r="B111" i="13"/>
  <c r="B111" i="21" s="1"/>
  <c r="B121" i="13"/>
  <c r="B121" i="21" s="1"/>
  <c r="B134" i="13"/>
  <c r="B134" i="21" s="1"/>
  <c r="A145" i="13"/>
  <c r="A145" i="21" s="1"/>
  <c r="B156" i="13"/>
  <c r="B156" i="21" s="1"/>
  <c r="B168" i="13"/>
  <c r="B168" i="21" s="1"/>
  <c r="B178" i="13"/>
  <c r="B178" i="21" s="1"/>
  <c r="B191" i="13"/>
  <c r="B191" i="21" s="1"/>
  <c r="B200" i="13"/>
  <c r="B200" i="21" s="1"/>
  <c r="B211" i="13"/>
  <c r="B211" i="21" s="1"/>
  <c r="B220" i="13"/>
  <c r="B220" i="21" s="1"/>
  <c r="B230" i="13"/>
  <c r="B230" i="21" s="1"/>
  <c r="B242" i="13"/>
  <c r="B242" i="21" s="1"/>
  <c r="A252" i="13"/>
  <c r="A252" i="21" s="1"/>
  <c r="B262" i="13"/>
  <c r="B262" i="21" s="1"/>
  <c r="A272" i="13"/>
  <c r="A272" i="21" s="1"/>
  <c r="A283" i="13"/>
  <c r="A283" i="21" s="1"/>
  <c r="B293" i="13"/>
  <c r="B293" i="21" s="1"/>
  <c r="A304" i="13"/>
  <c r="A304" i="21" s="1"/>
  <c r="B313" i="13"/>
  <c r="B313" i="21" s="1"/>
  <c r="B323" i="13"/>
  <c r="B323" i="21" s="1"/>
  <c r="A334" i="13"/>
  <c r="A334" i="21" s="1"/>
  <c r="B344" i="13"/>
  <c r="B344" i="21" s="1"/>
  <c r="B355" i="13"/>
  <c r="B355" i="21" s="1"/>
  <c r="B364" i="13"/>
  <c r="B364" i="21" s="1"/>
  <c r="B375" i="13"/>
  <c r="B375" i="21" s="1"/>
  <c r="A18" i="13"/>
  <c r="A31" i="13"/>
  <c r="B42" i="13"/>
  <c r="A55" i="13"/>
  <c r="A55" i="21" s="1"/>
  <c r="B66" i="13"/>
  <c r="B66" i="21" s="1"/>
  <c r="A78" i="13"/>
  <c r="A78" i="21" s="1"/>
  <c r="A90" i="13"/>
  <c r="A90" i="21" s="1"/>
  <c r="A100" i="13"/>
  <c r="A100" i="21" s="1"/>
  <c r="A112" i="13"/>
  <c r="A112" i="21" s="1"/>
  <c r="A123" i="13"/>
  <c r="A123" i="21" s="1"/>
  <c r="A135" i="13"/>
  <c r="A135" i="21" s="1"/>
  <c r="A147" i="13"/>
  <c r="A147" i="21" s="1"/>
  <c r="B157" i="13"/>
  <c r="B157" i="21" s="1"/>
  <c r="A169" i="13"/>
  <c r="A169" i="21" s="1"/>
  <c r="B180" i="13"/>
  <c r="B180" i="21" s="1"/>
  <c r="A192" i="13"/>
  <c r="A192" i="21" s="1"/>
  <c r="A201" i="13"/>
  <c r="A201" i="21" s="1"/>
  <c r="A212" i="13"/>
  <c r="A212" i="21" s="1"/>
  <c r="B221" i="13"/>
  <c r="B221" i="21" s="1"/>
  <c r="B233" i="13"/>
  <c r="B233" i="21" s="1"/>
  <c r="A243" i="13"/>
  <c r="A243" i="21" s="1"/>
  <c r="B253" i="13"/>
  <c r="B253" i="21" s="1"/>
  <c r="B263" i="13"/>
  <c r="B263" i="21" s="1"/>
  <c r="B272" i="13"/>
  <c r="B272" i="21" s="1"/>
  <c r="B284" i="13"/>
  <c r="B284" i="21" s="1"/>
  <c r="A294" i="13"/>
  <c r="A294" i="21" s="1"/>
  <c r="B304" i="13"/>
  <c r="B304" i="21" s="1"/>
  <c r="B314" i="13"/>
  <c r="A325" i="13"/>
  <c r="A325" i="21" s="1"/>
  <c r="A336" i="13"/>
  <c r="A336" i="21" s="1"/>
  <c r="A346" i="13"/>
  <c r="A346" i="21" s="1"/>
  <c r="A356" i="13"/>
  <c r="A356" i="21" s="1"/>
  <c r="B365" i="13"/>
  <c r="B365" i="21" s="1"/>
  <c r="A376" i="13"/>
  <c r="A376" i="21" s="1"/>
  <c r="B18" i="13"/>
  <c r="B31" i="13"/>
  <c r="B31" i="21" s="1"/>
  <c r="A43" i="13"/>
  <c r="A43" i="21" s="1"/>
  <c r="B55" i="13"/>
  <c r="B55" i="21" s="1"/>
  <c r="B68" i="13"/>
  <c r="B68" i="21" s="1"/>
  <c r="A79" i="13"/>
  <c r="A79" i="21" s="1"/>
  <c r="B90" i="13"/>
  <c r="B90" i="21" s="1"/>
  <c r="B100" i="13"/>
  <c r="B100" i="21" s="1"/>
  <c r="B112" i="13"/>
  <c r="B112" i="21" s="1"/>
  <c r="A364" i="13"/>
  <c r="A364" i="21" s="1"/>
  <c r="A354" i="13"/>
  <c r="A354" i="21" s="1"/>
  <c r="B340" i="13"/>
  <c r="B340" i="21" s="1"/>
  <c r="B328" i="13"/>
  <c r="B328" i="21" s="1"/>
  <c r="B315" i="13"/>
  <c r="B315" i="21" s="1"/>
  <c r="B303" i="13"/>
  <c r="B303" i="21" s="1"/>
  <c r="B290" i="13"/>
  <c r="B290" i="21" s="1"/>
  <c r="B278" i="13"/>
  <c r="B267" i="13"/>
  <c r="B267" i="21" s="1"/>
  <c r="B254" i="13"/>
  <c r="B254" i="21" s="1"/>
  <c r="B241" i="13"/>
  <c r="B228" i="13"/>
  <c r="B228" i="21" s="1"/>
  <c r="A218" i="13"/>
  <c r="A218" i="21" s="1"/>
  <c r="A205" i="13"/>
  <c r="A205" i="21" s="1"/>
  <c r="A193" i="13"/>
  <c r="A193" i="21" s="1"/>
  <c r="A178" i="13"/>
  <c r="A178" i="21" s="1"/>
  <c r="A165" i="13"/>
  <c r="A165" i="21" s="1"/>
  <c r="A152" i="13"/>
  <c r="A152" i="21" s="1"/>
  <c r="A138" i="13"/>
  <c r="A138" i="21" s="1"/>
  <c r="B126" i="13"/>
  <c r="B126" i="21" s="1"/>
  <c r="B108" i="13"/>
  <c r="B94" i="13"/>
  <c r="B94" i="21" s="1"/>
  <c r="A80" i="13"/>
  <c r="A80" i="21" s="1"/>
  <c r="A63" i="13"/>
  <c r="A63" i="21" s="1"/>
  <c r="B49" i="13"/>
  <c r="B49" i="21" s="1"/>
  <c r="B33" i="13"/>
  <c r="B33" i="21" s="1"/>
  <c r="B376" i="13"/>
  <c r="B376" i="21" s="1"/>
  <c r="B363" i="13"/>
  <c r="B363" i="21" s="1"/>
  <c r="B350" i="13"/>
  <c r="B350" i="21" s="1"/>
  <c r="B339" i="13"/>
  <c r="B339" i="21" s="1"/>
  <c r="A328" i="13"/>
  <c r="A328" i="21" s="1"/>
  <c r="A315" i="13"/>
  <c r="A315" i="21" s="1"/>
  <c r="A302" i="13"/>
  <c r="A302" i="21" s="1"/>
  <c r="A290" i="13"/>
  <c r="A290" i="21" s="1"/>
  <c r="A278" i="13"/>
  <c r="A278" i="21" s="1"/>
  <c r="A265" i="13"/>
  <c r="A265" i="21" s="1"/>
  <c r="A254" i="13"/>
  <c r="A254" i="21" s="1"/>
  <c r="A240" i="13"/>
  <c r="A240" i="21" s="1"/>
  <c r="A228" i="13"/>
  <c r="A228" i="21" s="1"/>
  <c r="B216" i="13"/>
  <c r="B216" i="21" s="1"/>
  <c r="B204" i="13"/>
  <c r="B204" i="21" s="1"/>
  <c r="B192" i="13"/>
  <c r="B192" i="21" s="1"/>
  <c r="B177" i="13"/>
  <c r="B164" i="13"/>
  <c r="A150" i="13"/>
  <c r="A150" i="21" s="1"/>
  <c r="B136" i="13"/>
  <c r="B136" i="21" s="1"/>
  <c r="A126" i="13"/>
  <c r="A126" i="21" s="1"/>
  <c r="A108" i="13"/>
  <c r="A108" i="21" s="1"/>
  <c r="A93" i="13"/>
  <c r="A93" i="21" s="1"/>
  <c r="B79" i="13"/>
  <c r="B79" i="21" s="1"/>
  <c r="B62" i="13"/>
  <c r="B62" i="21" s="1"/>
  <c r="A49" i="13"/>
  <c r="A49" i="21" s="1"/>
  <c r="A32" i="13"/>
  <c r="A17" i="13"/>
  <c r="A23" i="13"/>
  <c r="A29" i="13"/>
  <c r="A35" i="13"/>
  <c r="A41" i="13"/>
  <c r="A47" i="13"/>
  <c r="A47" i="21" s="1"/>
  <c r="A53" i="13"/>
  <c r="A53" i="21" s="1"/>
  <c r="A59" i="13"/>
  <c r="A59" i="21" s="1"/>
  <c r="A65" i="13"/>
  <c r="A65" i="21" s="1"/>
  <c r="A71" i="13"/>
  <c r="A71" i="21" s="1"/>
  <c r="A77" i="13"/>
  <c r="A77" i="21" s="1"/>
  <c r="A83" i="13"/>
  <c r="A83" i="21" s="1"/>
  <c r="A89" i="13"/>
  <c r="A89" i="21" s="1"/>
  <c r="A95" i="13"/>
  <c r="A95" i="21" s="1"/>
  <c r="A101" i="13"/>
  <c r="A101" i="21" s="1"/>
  <c r="A107" i="13"/>
  <c r="A107" i="21" s="1"/>
  <c r="A113" i="13"/>
  <c r="A113" i="21" s="1"/>
  <c r="A119" i="13"/>
  <c r="A119" i="21" s="1"/>
  <c r="A125" i="13"/>
  <c r="A125" i="21" s="1"/>
  <c r="A131" i="13"/>
  <c r="A131" i="21" s="1"/>
  <c r="A137" i="13"/>
  <c r="A137" i="21" s="1"/>
  <c r="A143" i="13"/>
  <c r="A143" i="21" s="1"/>
  <c r="A149" i="13"/>
  <c r="A149" i="21" s="1"/>
  <c r="A155" i="13"/>
  <c r="A155" i="21" s="1"/>
  <c r="A161" i="13"/>
  <c r="A161" i="21" s="1"/>
  <c r="A167" i="13"/>
  <c r="A167" i="21" s="1"/>
  <c r="A173" i="13"/>
  <c r="A173" i="21" s="1"/>
  <c r="A179" i="13"/>
  <c r="A179" i="21" s="1"/>
  <c r="A185" i="13"/>
  <c r="A185" i="21" s="1"/>
  <c r="A191" i="13"/>
  <c r="A191" i="21" s="1"/>
  <c r="A197" i="13"/>
  <c r="A197" i="21" s="1"/>
  <c r="A203" i="13"/>
  <c r="A203" i="21" s="1"/>
  <c r="A209" i="13"/>
  <c r="A209" i="21" s="1"/>
  <c r="A215" i="13"/>
  <c r="A215" i="21" s="1"/>
  <c r="A221" i="13"/>
  <c r="A221" i="21" s="1"/>
  <c r="A227" i="13"/>
  <c r="A227" i="21" s="1"/>
  <c r="A233" i="13"/>
  <c r="A233" i="21" s="1"/>
  <c r="A239" i="13"/>
  <c r="A239" i="21" s="1"/>
  <c r="A245" i="13"/>
  <c r="A245" i="21" s="1"/>
  <c r="A251" i="13"/>
  <c r="A251" i="21" s="1"/>
  <c r="A257" i="13"/>
  <c r="A257" i="21" s="1"/>
  <c r="A263" i="13"/>
  <c r="A263" i="21" s="1"/>
  <c r="A269" i="13"/>
  <c r="A269" i="21" s="1"/>
  <c r="A275" i="13"/>
  <c r="A275" i="21" s="1"/>
  <c r="A281" i="13"/>
  <c r="A281" i="21" s="1"/>
  <c r="A287" i="13"/>
  <c r="A287" i="21" s="1"/>
  <c r="A293" i="13"/>
  <c r="A293" i="21" s="1"/>
  <c r="A299" i="13"/>
  <c r="A299" i="21" s="1"/>
  <c r="A305" i="13"/>
  <c r="A305" i="21" s="1"/>
  <c r="A311" i="13"/>
  <c r="A311" i="21" s="1"/>
  <c r="A317" i="13"/>
  <c r="A317" i="21" s="1"/>
  <c r="A323" i="13"/>
  <c r="A323" i="21" s="1"/>
  <c r="A329" i="13"/>
  <c r="A329" i="21" s="1"/>
  <c r="A335" i="13"/>
  <c r="A335" i="21" s="1"/>
  <c r="A341" i="13"/>
  <c r="A341" i="21" s="1"/>
  <c r="A347" i="13"/>
  <c r="A347" i="21" s="1"/>
  <c r="A353" i="13"/>
  <c r="A353" i="21" s="1"/>
  <c r="A359" i="13"/>
  <c r="A359" i="21" s="1"/>
  <c r="A365" i="13"/>
  <c r="A365" i="21" s="1"/>
  <c r="A371" i="13"/>
  <c r="A371" i="21" s="1"/>
  <c r="B12" i="13"/>
  <c r="B19" i="13"/>
  <c r="B19" i="21" s="1"/>
  <c r="A26" i="13"/>
  <c r="B32" i="13"/>
  <c r="B32" i="21" s="1"/>
  <c r="A39" i="13"/>
  <c r="B45" i="13"/>
  <c r="B45" i="21" s="1"/>
  <c r="A52" i="13"/>
  <c r="A52" i="21" s="1"/>
  <c r="B58" i="13"/>
  <c r="B58" i="21" s="1"/>
  <c r="B65" i="13"/>
  <c r="A72" i="13"/>
  <c r="A72" i="21" s="1"/>
  <c r="B78" i="13"/>
  <c r="B78" i="21" s="1"/>
  <c r="A85" i="13"/>
  <c r="A85" i="21" s="1"/>
  <c r="B91" i="13"/>
  <c r="B91" i="21" s="1"/>
  <c r="A98" i="13"/>
  <c r="A98" i="21" s="1"/>
  <c r="B104" i="13"/>
  <c r="A111" i="13"/>
  <c r="A111" i="21" s="1"/>
  <c r="B117" i="13"/>
  <c r="B117" i="21" s="1"/>
  <c r="A124" i="13"/>
  <c r="A124" i="21" s="1"/>
  <c r="B130" i="13"/>
  <c r="B137" i="13"/>
  <c r="B137" i="21" s="1"/>
  <c r="A144" i="13"/>
  <c r="A144" i="21" s="1"/>
  <c r="B150" i="13"/>
  <c r="B150" i="21" s="1"/>
  <c r="A157" i="13"/>
  <c r="A157" i="21" s="1"/>
  <c r="B163" i="13"/>
  <c r="A170" i="13"/>
  <c r="A170" i="21" s="1"/>
  <c r="B176" i="13"/>
  <c r="A183" i="13"/>
  <c r="A183" i="21" s="1"/>
  <c r="B189" i="13"/>
  <c r="B189" i="21" s="1"/>
  <c r="A196" i="13"/>
  <c r="A196" i="21" s="1"/>
  <c r="B202" i="13"/>
  <c r="B202" i="21" s="1"/>
  <c r="B209" i="13"/>
  <c r="A216" i="13"/>
  <c r="A216" i="21" s="1"/>
  <c r="B222" i="13"/>
  <c r="A229" i="13"/>
  <c r="A229" i="21" s="1"/>
  <c r="B235" i="13"/>
  <c r="B235" i="21" s="1"/>
  <c r="A242" i="13"/>
  <c r="A242" i="21" s="1"/>
  <c r="B248" i="13"/>
  <c r="B248" i="21" s="1"/>
  <c r="A255" i="13"/>
  <c r="A255" i="21" s="1"/>
  <c r="B261" i="13"/>
  <c r="B261" i="21" s="1"/>
  <c r="A268" i="13"/>
  <c r="A268" i="21" s="1"/>
  <c r="B274" i="13"/>
  <c r="B274" i="21" s="1"/>
  <c r="B281" i="13"/>
  <c r="B281" i="21" s="1"/>
  <c r="A288" i="13"/>
  <c r="A288" i="21" s="1"/>
  <c r="B294" i="13"/>
  <c r="A301" i="13"/>
  <c r="A301" i="21" s="1"/>
  <c r="B307" i="13"/>
  <c r="B307" i="21" s="1"/>
  <c r="A314" i="13"/>
  <c r="A314" i="21" s="1"/>
  <c r="B320" i="13"/>
  <c r="A327" i="13"/>
  <c r="A327" i="21" s="1"/>
  <c r="B333" i="13"/>
  <c r="A340" i="13"/>
  <c r="A340" i="21" s="1"/>
  <c r="B346" i="13"/>
  <c r="B346" i="21" s="1"/>
  <c r="B353" i="13"/>
  <c r="B353" i="21" s="1"/>
  <c r="A360" i="13"/>
  <c r="A360" i="21" s="1"/>
  <c r="B366" i="13"/>
  <c r="B366" i="21" s="1"/>
  <c r="A373" i="13"/>
  <c r="A373" i="21" s="1"/>
  <c r="B13" i="13"/>
  <c r="A20" i="13"/>
  <c r="B26" i="13"/>
  <c r="B26" i="21" s="1"/>
  <c r="A33" i="13"/>
  <c r="B39" i="13"/>
  <c r="B39" i="21" s="1"/>
  <c r="A46" i="13"/>
  <c r="A46" i="21" s="1"/>
  <c r="A14" i="13"/>
  <c r="B21" i="13"/>
  <c r="B21" i="21" s="1"/>
  <c r="B29" i="13"/>
  <c r="B29" i="21" s="1"/>
  <c r="A37" i="13"/>
  <c r="B44" i="13"/>
  <c r="B44" i="21" s="1"/>
  <c r="B52" i="13"/>
  <c r="A60" i="13"/>
  <c r="A60" i="21" s="1"/>
  <c r="A67" i="13"/>
  <c r="A67" i="21" s="1"/>
  <c r="A74" i="13"/>
  <c r="A74" i="21" s="1"/>
  <c r="A81" i="13"/>
  <c r="A81" i="21" s="1"/>
  <c r="A88" i="13"/>
  <c r="A88" i="21" s="1"/>
  <c r="B95" i="13"/>
  <c r="B95" i="21" s="1"/>
  <c r="B102" i="13"/>
  <c r="B102" i="21" s="1"/>
  <c r="B109" i="13"/>
  <c r="B109" i="21" s="1"/>
  <c r="B116" i="13"/>
  <c r="B116" i="21" s="1"/>
  <c r="B123" i="13"/>
  <c r="B131" i="13"/>
  <c r="B131" i="21" s="1"/>
  <c r="B138" i="13"/>
  <c r="B145" i="13"/>
  <c r="B152" i="13"/>
  <c r="B152" i="21" s="1"/>
  <c r="B159" i="13"/>
  <c r="B159" i="21" s="1"/>
  <c r="B166" i="13"/>
  <c r="B166" i="21" s="1"/>
  <c r="A174" i="13"/>
  <c r="A174" i="21" s="1"/>
  <c r="A181" i="13"/>
  <c r="A181" i="21" s="1"/>
  <c r="A188" i="13"/>
  <c r="A188" i="21" s="1"/>
  <c r="A195" i="13"/>
  <c r="A195" i="21" s="1"/>
  <c r="A202" i="13"/>
  <c r="A202" i="21" s="1"/>
  <c r="A210" i="13"/>
  <c r="A210" i="21" s="1"/>
  <c r="A217" i="13"/>
  <c r="A217" i="21" s="1"/>
  <c r="A224" i="13"/>
  <c r="A224" i="21" s="1"/>
  <c r="A231" i="13"/>
  <c r="A231" i="21" s="1"/>
  <c r="A238" i="13"/>
  <c r="A238" i="21" s="1"/>
  <c r="B245" i="13"/>
  <c r="B245" i="21" s="1"/>
  <c r="B252" i="13"/>
  <c r="B259" i="13"/>
  <c r="B259" i="21" s="1"/>
  <c r="B266" i="13"/>
  <c r="B273" i="13"/>
  <c r="B273" i="21" s="1"/>
  <c r="B280" i="13"/>
  <c r="B280" i="21" s="1"/>
  <c r="B288" i="13"/>
  <c r="B288" i="21" s="1"/>
  <c r="B295" i="13"/>
  <c r="B302" i="13"/>
  <c r="B309" i="13"/>
  <c r="B316" i="13"/>
  <c r="B316" i="21" s="1"/>
  <c r="A324" i="13"/>
  <c r="A324" i="21" s="1"/>
  <c r="A331" i="13"/>
  <c r="A331" i="21" s="1"/>
  <c r="A338" i="13"/>
  <c r="A338" i="21" s="1"/>
  <c r="A345" i="13"/>
  <c r="A345" i="21" s="1"/>
  <c r="A352" i="13"/>
  <c r="A352" i="21" s="1"/>
  <c r="B359" i="13"/>
  <c r="B359" i="21" s="1"/>
  <c r="A367" i="13"/>
  <c r="A367" i="21" s="1"/>
  <c r="A374" i="13"/>
  <c r="A374" i="21" s="1"/>
  <c r="B14" i="13"/>
  <c r="A22" i="13"/>
  <c r="A30" i="13"/>
  <c r="B37" i="13"/>
  <c r="B37" i="21" s="1"/>
  <c r="A45" i="13"/>
  <c r="A45" i="21" s="1"/>
  <c r="B53" i="13"/>
  <c r="B53" i="21" s="1"/>
  <c r="B60" i="13"/>
  <c r="B67" i="13"/>
  <c r="B67" i="21" s="1"/>
  <c r="B74" i="13"/>
  <c r="B74" i="21" s="1"/>
  <c r="B81" i="13"/>
  <c r="B88" i="13"/>
  <c r="B88" i="21" s="1"/>
  <c r="A96" i="13"/>
  <c r="A96" i="21" s="1"/>
  <c r="A103" i="13"/>
  <c r="A103" i="21" s="1"/>
  <c r="A110" i="13"/>
  <c r="A110" i="21" s="1"/>
  <c r="A117" i="13"/>
  <c r="A117" i="21" s="1"/>
  <c r="B124" i="13"/>
  <c r="A132" i="13"/>
  <c r="A132" i="21" s="1"/>
  <c r="A139" i="13"/>
  <c r="A139" i="21" s="1"/>
  <c r="A146" i="13"/>
  <c r="A146" i="21" s="1"/>
  <c r="A153" i="13"/>
  <c r="A153" i="21" s="1"/>
  <c r="A160" i="13"/>
  <c r="A160" i="21" s="1"/>
  <c r="B167" i="13"/>
  <c r="B167" i="21" s="1"/>
  <c r="B174" i="13"/>
  <c r="B174" i="21" s="1"/>
  <c r="B181" i="13"/>
  <c r="B181" i="21" s="1"/>
  <c r="B188" i="13"/>
  <c r="B188" i="21" s="1"/>
  <c r="B195" i="13"/>
  <c r="B195" i="21" s="1"/>
  <c r="B203" i="13"/>
  <c r="B210" i="13"/>
  <c r="B217" i="13"/>
  <c r="B217" i="21" s="1"/>
  <c r="B224" i="13"/>
  <c r="B224" i="21" s="1"/>
  <c r="B231" i="13"/>
  <c r="B231" i="21" s="1"/>
  <c r="B238" i="13"/>
  <c r="A246" i="13"/>
  <c r="A246" i="21" s="1"/>
  <c r="A253" i="13"/>
  <c r="A253" i="21" s="1"/>
  <c r="A260" i="13"/>
  <c r="A260" i="21" s="1"/>
  <c r="A267" i="13"/>
  <c r="A267" i="21" s="1"/>
  <c r="A274" i="13"/>
  <c r="A274" i="21" s="1"/>
  <c r="A282" i="13"/>
  <c r="A282" i="21" s="1"/>
  <c r="A289" i="13"/>
  <c r="A289" i="21" s="1"/>
  <c r="A296" i="13"/>
  <c r="A296" i="21" s="1"/>
  <c r="A303" i="13"/>
  <c r="A303" i="21" s="1"/>
  <c r="A310" i="13"/>
  <c r="A310" i="21" s="1"/>
  <c r="B317" i="13"/>
  <c r="B317" i="21" s="1"/>
  <c r="B324" i="13"/>
  <c r="B324" i="21" s="1"/>
  <c r="B331" i="13"/>
  <c r="B331" i="21" s="1"/>
  <c r="B338" i="13"/>
  <c r="B338" i="21" s="1"/>
  <c r="B345" i="13"/>
  <c r="B352" i="13"/>
  <c r="B352" i="21" s="1"/>
  <c r="B360" i="13"/>
  <c r="B360" i="21" s="1"/>
  <c r="B367" i="13"/>
  <c r="B367" i="21" s="1"/>
  <c r="B374" i="13"/>
  <c r="B374" i="21" s="1"/>
  <c r="A15" i="13"/>
  <c r="B22" i="13"/>
  <c r="B22" i="21" s="1"/>
  <c r="B30" i="13"/>
  <c r="B30" i="21" s="1"/>
  <c r="A38" i="13"/>
  <c r="B46" i="13"/>
  <c r="A54" i="13"/>
  <c r="A54" i="21" s="1"/>
  <c r="A61" i="13"/>
  <c r="A61" i="21" s="1"/>
  <c r="A68" i="13"/>
  <c r="A68" i="21" s="1"/>
  <c r="A75" i="13"/>
  <c r="A75" i="21" s="1"/>
  <c r="A82" i="13"/>
  <c r="A82" i="21" s="1"/>
  <c r="B89" i="13"/>
  <c r="B96" i="13"/>
  <c r="B96" i="21" s="1"/>
  <c r="B103" i="13"/>
  <c r="B110" i="13"/>
  <c r="B110" i="21" s="1"/>
  <c r="A118" i="13"/>
  <c r="A118" i="21" s="1"/>
  <c r="B125" i="13"/>
  <c r="B125" i="21" s="1"/>
  <c r="B132" i="13"/>
  <c r="B139" i="13"/>
  <c r="B139" i="21" s="1"/>
  <c r="B146" i="13"/>
  <c r="B146" i="21" s="1"/>
  <c r="B153" i="13"/>
  <c r="B153" i="21" s="1"/>
  <c r="B160" i="13"/>
  <c r="B160" i="21" s="1"/>
  <c r="A168" i="13"/>
  <c r="A168" i="21" s="1"/>
  <c r="A175" i="13"/>
  <c r="A175" i="21" s="1"/>
  <c r="A182" i="13"/>
  <c r="A182" i="21" s="1"/>
  <c r="B369" i="13"/>
  <c r="B361" i="13"/>
  <c r="B361" i="21" s="1"/>
  <c r="B351" i="13"/>
  <c r="B351" i="21" s="1"/>
  <c r="B343" i="13"/>
  <c r="B335" i="13"/>
  <c r="B335" i="21" s="1"/>
  <c r="B326" i="13"/>
  <c r="B326" i="21" s="1"/>
  <c r="B318" i="13"/>
  <c r="B318" i="21" s="1"/>
  <c r="A309" i="13"/>
  <c r="A309" i="21" s="1"/>
  <c r="B300" i="13"/>
  <c r="B300" i="21" s="1"/>
  <c r="A292" i="13"/>
  <c r="A292" i="21" s="1"/>
  <c r="A284" i="13"/>
  <c r="A284" i="21" s="1"/>
  <c r="A276" i="13"/>
  <c r="A276" i="21" s="1"/>
  <c r="A266" i="13"/>
  <c r="A266" i="21" s="1"/>
  <c r="A258" i="13"/>
  <c r="A258" i="21" s="1"/>
  <c r="B249" i="13"/>
  <c r="B249" i="21" s="1"/>
  <c r="A241" i="13"/>
  <c r="A241" i="21" s="1"/>
  <c r="B232" i="13"/>
  <c r="B223" i="13"/>
  <c r="B223" i="21" s="1"/>
  <c r="B214" i="13"/>
  <c r="B206" i="13"/>
  <c r="B198" i="13"/>
  <c r="B198" i="21" s="1"/>
  <c r="A190" i="13"/>
  <c r="A190" i="21" s="1"/>
  <c r="A180" i="13"/>
  <c r="A180" i="21" s="1"/>
  <c r="A171" i="13"/>
  <c r="A171" i="21" s="1"/>
  <c r="A162" i="13"/>
  <c r="A162" i="21" s="1"/>
  <c r="B151" i="13"/>
  <c r="B151" i="21" s="1"/>
  <c r="A142" i="13"/>
  <c r="A142" i="21" s="1"/>
  <c r="B133" i="13"/>
  <c r="B133" i="21" s="1"/>
  <c r="B122" i="13"/>
  <c r="B122" i="21" s="1"/>
  <c r="A114" i="13"/>
  <c r="A114" i="21" s="1"/>
  <c r="A105" i="13"/>
  <c r="A105" i="21" s="1"/>
  <c r="A94" i="13"/>
  <c r="A94" i="21" s="1"/>
  <c r="B85" i="13"/>
  <c r="B85" i="21" s="1"/>
  <c r="A76" i="13"/>
  <c r="A76" i="21" s="1"/>
  <c r="A66" i="13"/>
  <c r="A66" i="21" s="1"/>
  <c r="B56" i="13"/>
  <c r="B56" i="21" s="1"/>
  <c r="A48" i="13"/>
  <c r="A48" i="21" s="1"/>
  <c r="A36" i="13"/>
  <c r="B25" i="13"/>
  <c r="B25" i="21" s="1"/>
  <c r="A16" i="13"/>
  <c r="A369" i="13"/>
  <c r="A369" i="21" s="1"/>
  <c r="A361" i="13"/>
  <c r="A361" i="21" s="1"/>
  <c r="A351" i="13"/>
  <c r="A351" i="21" s="1"/>
  <c r="A343" i="13"/>
  <c r="A343" i="21" s="1"/>
  <c r="B334" i="13"/>
  <c r="B334" i="21" s="1"/>
  <c r="A326" i="13"/>
  <c r="A326" i="21" s="1"/>
  <c r="A318" i="13"/>
  <c r="A318" i="21" s="1"/>
  <c r="B308" i="13"/>
  <c r="B308" i="21" s="1"/>
  <c r="A300" i="13"/>
  <c r="A300" i="21" s="1"/>
  <c r="B291" i="13"/>
  <c r="B291" i="21" s="1"/>
  <c r="B283" i="13"/>
  <c r="B283" i="21" s="1"/>
  <c r="B275" i="13"/>
  <c r="B265" i="13"/>
  <c r="B265" i="21" s="1"/>
  <c r="B257" i="13"/>
  <c r="B257" i="21" s="1"/>
  <c r="A249" i="13"/>
  <c r="A249" i="21" s="1"/>
  <c r="B240" i="13"/>
  <c r="B240" i="21" s="1"/>
  <c r="A232" i="13"/>
  <c r="A232" i="21" s="1"/>
  <c r="A223" i="13"/>
  <c r="A223" i="21" s="1"/>
  <c r="A214" i="13"/>
  <c r="A214" i="21" s="1"/>
  <c r="A206" i="13"/>
  <c r="A206" i="21" s="1"/>
  <c r="A198" i="13"/>
  <c r="A198" i="21" s="1"/>
  <c r="A189" i="13"/>
  <c r="A189" i="21" s="1"/>
  <c r="B179" i="13"/>
  <c r="B179" i="21" s="1"/>
  <c r="B170" i="13"/>
  <c r="B170" i="21" s="1"/>
  <c r="B161" i="13"/>
  <c r="A151" i="13"/>
  <c r="A151" i="21" s="1"/>
  <c r="B141" i="13"/>
  <c r="B141" i="21" s="1"/>
  <c r="A133" i="13"/>
  <c r="A133" i="21" s="1"/>
  <c r="A122" i="13"/>
  <c r="A122" i="21" s="1"/>
  <c r="B113" i="13"/>
  <c r="A104" i="13"/>
  <c r="A104" i="21" s="1"/>
  <c r="B93" i="13"/>
  <c r="B84" i="13"/>
  <c r="B84" i="21" s="1"/>
  <c r="B75" i="13"/>
  <c r="B75" i="21" s="1"/>
  <c r="B64" i="13"/>
  <c r="B64" i="21" s="1"/>
  <c r="A56" i="13"/>
  <c r="A56" i="21" s="1"/>
  <c r="B47" i="13"/>
  <c r="B47" i="21" s="1"/>
  <c r="B35" i="13"/>
  <c r="B35" i="21" s="1"/>
  <c r="A25" i="13"/>
  <c r="B15" i="13"/>
  <c r="B15" i="21" s="1"/>
  <c r="D367" i="21"/>
  <c r="D328" i="21"/>
  <c r="D277" i="21"/>
  <c r="D185" i="21"/>
  <c r="D140" i="21"/>
  <c r="D81" i="21"/>
  <c r="D366" i="21"/>
  <c r="D318" i="21"/>
  <c r="D276" i="21"/>
  <c r="D231" i="21"/>
  <c r="D136" i="21"/>
  <c r="D79" i="21"/>
  <c r="D307" i="21"/>
  <c r="D305" i="21"/>
  <c r="D349" i="21"/>
  <c r="D300" i="21"/>
  <c r="D256" i="21"/>
  <c r="D204" i="21"/>
  <c r="D158" i="21"/>
  <c r="D110" i="21"/>
  <c r="D265" i="21"/>
  <c r="D117" i="21"/>
  <c r="D159" i="21"/>
  <c r="D348" i="21"/>
  <c r="D296" i="21"/>
  <c r="D254" i="21"/>
  <c r="D196" i="21"/>
  <c r="D153" i="21"/>
  <c r="D109" i="21"/>
  <c r="D215" i="21"/>
  <c r="D113" i="21"/>
  <c r="D345" i="21"/>
  <c r="D284" i="21"/>
  <c r="D250" i="21"/>
  <c r="D194" i="21"/>
  <c r="D149" i="21"/>
  <c r="D106" i="21"/>
  <c r="D350" i="21"/>
  <c r="D206" i="21"/>
  <c r="D334" i="21"/>
  <c r="D282" i="21"/>
  <c r="D247" i="21"/>
  <c r="D192" i="21"/>
  <c r="D146" i="21"/>
  <c r="D94" i="21"/>
  <c r="D356" i="21"/>
  <c r="D160" i="21"/>
  <c r="D258" i="21"/>
  <c r="D333" i="21"/>
  <c r="D280" i="21"/>
  <c r="D244" i="21"/>
  <c r="D188" i="21"/>
  <c r="D145" i="21"/>
  <c r="D87" i="21"/>
  <c r="D112" i="21"/>
  <c r="D40" i="21"/>
  <c r="D341" i="21"/>
  <c r="D298" i="21"/>
  <c r="D264" i="21"/>
  <c r="D226" i="21"/>
  <c r="D142" i="21"/>
  <c r="D105" i="21"/>
  <c r="D369" i="21"/>
  <c r="D339" i="21"/>
  <c r="D297" i="21"/>
  <c r="D262" i="21"/>
  <c r="D222" i="21"/>
  <c r="D170" i="21"/>
  <c r="D141" i="21"/>
  <c r="D96" i="21"/>
  <c r="D20" i="21"/>
  <c r="D19" i="21"/>
  <c r="D373" i="21"/>
  <c r="D347" i="21"/>
  <c r="D309" i="21"/>
  <c r="D278" i="21"/>
  <c r="D252" i="21"/>
  <c r="D219" i="21"/>
  <c r="D174" i="21"/>
  <c r="D144" i="21"/>
  <c r="D111" i="21"/>
  <c r="D75" i="21"/>
  <c r="D358" i="21"/>
  <c r="D329" i="21"/>
  <c r="D286" i="21"/>
  <c r="D263" i="21"/>
  <c r="D230" i="21"/>
  <c r="D189" i="21"/>
  <c r="D155" i="21"/>
  <c r="D121" i="21"/>
  <c r="D88" i="21"/>
  <c r="D70" i="21"/>
  <c r="D68" i="21"/>
  <c r="D326" i="21"/>
  <c r="D294" i="21"/>
  <c r="D271" i="21"/>
  <c r="D246" i="21"/>
  <c r="D218" i="21"/>
  <c r="D183" i="21"/>
  <c r="D151" i="21"/>
  <c r="D132" i="21"/>
  <c r="D104" i="21"/>
  <c r="D58" i="21"/>
  <c r="D320" i="21"/>
  <c r="D288" i="21"/>
  <c r="D269" i="21"/>
  <c r="D245" i="21"/>
  <c r="D217" i="21"/>
  <c r="D181" i="21"/>
  <c r="D150" i="21"/>
  <c r="D126" i="21"/>
  <c r="D102" i="21"/>
  <c r="D49" i="21"/>
  <c r="B11" i="23"/>
  <c r="B46" i="16"/>
  <c r="C46" i="16" s="1"/>
  <c r="D343" i="21"/>
  <c r="D332" i="21"/>
  <c r="D314" i="21"/>
  <c r="D241" i="21"/>
  <c r="D178" i="21"/>
  <c r="D166" i="21"/>
  <c r="D148" i="21"/>
  <c r="D130" i="21"/>
  <c r="D115" i="21"/>
  <c r="D108" i="21"/>
  <c r="D73" i="21"/>
  <c r="D35" i="21"/>
  <c r="D371" i="21"/>
  <c r="D354" i="21"/>
  <c r="D331" i="21"/>
  <c r="D324" i="21"/>
  <c r="D313" i="21"/>
  <c r="D248" i="21"/>
  <c r="D239" i="21"/>
  <c r="D213" i="21"/>
  <c r="D200" i="21"/>
  <c r="D190" i="21"/>
  <c r="D176" i="21"/>
  <c r="D164" i="21"/>
  <c r="D157" i="21"/>
  <c r="D147" i="21"/>
  <c r="D128" i="21"/>
  <c r="D100" i="21"/>
  <c r="D34" i="21"/>
  <c r="B54" i="16"/>
  <c r="C54" i="16" s="1"/>
  <c r="D370" i="21"/>
  <c r="D364" i="21"/>
  <c r="D352" i="21"/>
  <c r="D303" i="21"/>
  <c r="D290" i="21"/>
  <c r="D237" i="21"/>
  <c r="D224" i="21"/>
  <c r="D211" i="21"/>
  <c r="D198" i="21"/>
  <c r="D175" i="21"/>
  <c r="D156" i="21"/>
  <c r="D138" i="21"/>
  <c r="D127" i="21"/>
  <c r="D114" i="21"/>
  <c r="D107" i="21"/>
  <c r="D98" i="21"/>
  <c r="D85" i="21"/>
  <c r="D71" i="21"/>
  <c r="D51" i="21"/>
  <c r="D31" i="21"/>
  <c r="D59" i="23"/>
  <c r="D47" i="23"/>
  <c r="D35" i="23"/>
  <c r="D23" i="23"/>
  <c r="R42" i="23"/>
  <c r="R30" i="23"/>
  <c r="R18" i="23"/>
  <c r="Z41" i="23"/>
  <c r="Z29" i="23"/>
  <c r="Z17" i="23"/>
  <c r="AH39" i="23"/>
  <c r="AH27" i="23"/>
  <c r="AH15" i="23"/>
  <c r="B55" i="16"/>
  <c r="C55" i="16" s="1"/>
  <c r="D58" i="23"/>
  <c r="D46" i="23"/>
  <c r="D34" i="23"/>
  <c r="D22" i="23"/>
  <c r="R41" i="23"/>
  <c r="R29" i="23"/>
  <c r="R17" i="23"/>
  <c r="Z40" i="23"/>
  <c r="Z28" i="23"/>
  <c r="Z16" i="23"/>
  <c r="AH38" i="23"/>
  <c r="AH26" i="23"/>
  <c r="AH14" i="23"/>
  <c r="B62" i="16"/>
  <c r="D57" i="23"/>
  <c r="D45" i="23"/>
  <c r="D33" i="23"/>
  <c r="D21" i="23"/>
  <c r="R40" i="23"/>
  <c r="R28" i="23"/>
  <c r="R16" i="23"/>
  <c r="Z39" i="23"/>
  <c r="Z27" i="23"/>
  <c r="Z15" i="23"/>
  <c r="AH37" i="23"/>
  <c r="AH25" i="23"/>
  <c r="AH13" i="23"/>
  <c r="D56" i="23"/>
  <c r="D44" i="23"/>
  <c r="D32" i="23"/>
  <c r="D20" i="23"/>
  <c r="R39" i="23"/>
  <c r="R27" i="23"/>
  <c r="R15" i="23"/>
  <c r="Z38" i="23"/>
  <c r="Z26" i="23"/>
  <c r="Z14" i="23"/>
  <c r="AH36" i="23"/>
  <c r="AH24" i="23"/>
  <c r="AH12" i="23"/>
  <c r="B61" i="16"/>
  <c r="C61" i="16" s="1"/>
  <c r="D55" i="23"/>
  <c r="D43" i="23"/>
  <c r="D31" i="23"/>
  <c r="D19" i="23"/>
  <c r="R38" i="23"/>
  <c r="R26" i="23"/>
  <c r="R14" i="23"/>
  <c r="Z37" i="23"/>
  <c r="Z25" i="23"/>
  <c r="Z13" i="23"/>
  <c r="AH35" i="23"/>
  <c r="AH23" i="23"/>
  <c r="D66" i="21"/>
  <c r="D29" i="21"/>
  <c r="D16" i="21"/>
  <c r="B45" i="16"/>
  <c r="C45" i="16" s="1"/>
  <c r="B44" i="23"/>
  <c r="B36" i="23"/>
  <c r="B26" i="23"/>
  <c r="D66" i="23"/>
  <c r="D54" i="23"/>
  <c r="D42" i="23"/>
  <c r="D30" i="23"/>
  <c r="D18" i="23"/>
  <c r="R37" i="23"/>
  <c r="R25" i="23"/>
  <c r="R13" i="23"/>
  <c r="Z36" i="23"/>
  <c r="Z24" i="23"/>
  <c r="Z12" i="23"/>
  <c r="AH34" i="23"/>
  <c r="AH22" i="23"/>
  <c r="AH11" i="23"/>
  <c r="D77" i="21"/>
  <c r="D61" i="21"/>
  <c r="D14" i="21"/>
  <c r="D65" i="23"/>
  <c r="D53" i="23"/>
  <c r="D41" i="23"/>
  <c r="D29" i="23"/>
  <c r="D17" i="23"/>
  <c r="R36" i="23"/>
  <c r="R24" i="23"/>
  <c r="R12" i="23"/>
  <c r="Z35" i="23"/>
  <c r="Z23" i="23"/>
  <c r="AH45" i="23"/>
  <c r="AH33" i="23"/>
  <c r="AH21" i="23"/>
  <c r="Z11" i="23"/>
  <c r="D15" i="21"/>
  <c r="B59" i="16"/>
  <c r="C59" i="16" s="1"/>
  <c r="B51" i="16"/>
  <c r="C51" i="16" s="1"/>
  <c r="D64" i="23"/>
  <c r="D52" i="23"/>
  <c r="D40" i="23"/>
  <c r="D28" i="23"/>
  <c r="D16" i="23"/>
  <c r="R35" i="23"/>
  <c r="R23" i="23"/>
  <c r="R11" i="23"/>
  <c r="Z34" i="23"/>
  <c r="Z22" i="23"/>
  <c r="AH44" i="23"/>
  <c r="AH32" i="23"/>
  <c r="AH20" i="23"/>
  <c r="B66" i="16"/>
  <c r="C66" i="16" s="1"/>
  <c r="B44" i="16"/>
  <c r="C44" i="16" s="1"/>
  <c r="D63" i="23"/>
  <c r="D51" i="23"/>
  <c r="D39" i="23"/>
  <c r="D27" i="23"/>
  <c r="D15" i="23"/>
  <c r="R34" i="23"/>
  <c r="R22" i="23"/>
  <c r="Z45" i="23"/>
  <c r="Z33" i="23"/>
  <c r="Z21" i="23"/>
  <c r="AH43" i="23"/>
  <c r="AH31" i="23"/>
  <c r="AH19" i="23"/>
  <c r="C49" i="16"/>
  <c r="B50" i="16"/>
  <c r="C50" i="16" s="1"/>
  <c r="D62" i="23"/>
  <c r="D50" i="23"/>
  <c r="D38" i="23"/>
  <c r="D26" i="23"/>
  <c r="R45" i="23"/>
  <c r="R33" i="23"/>
  <c r="R21" i="23"/>
  <c r="Z44" i="23"/>
  <c r="Z32" i="23"/>
  <c r="Z20" i="23"/>
  <c r="AH42" i="23"/>
  <c r="AH30" i="23"/>
  <c r="AH18" i="23"/>
  <c r="B65" i="16"/>
  <c r="C65" i="16" s="1"/>
  <c r="D61" i="23"/>
  <c r="D49" i="23"/>
  <c r="D37" i="23"/>
  <c r="D25" i="23"/>
  <c r="D13" i="23"/>
  <c r="R44" i="23"/>
  <c r="R32" i="23"/>
  <c r="R20" i="23"/>
  <c r="Z43" i="23"/>
  <c r="Z31" i="23"/>
  <c r="Z19" i="23"/>
  <c r="AH41" i="23"/>
  <c r="AH29" i="23"/>
  <c r="AH17" i="23"/>
  <c r="B56" i="16"/>
  <c r="C56" i="16" s="1"/>
  <c r="B49" i="16"/>
  <c r="D60" i="23"/>
  <c r="D48" i="23"/>
  <c r="D36" i="23"/>
  <c r="D24" i="23"/>
  <c r="D12" i="23"/>
  <c r="R43" i="23"/>
  <c r="R31" i="23"/>
  <c r="R19" i="23"/>
  <c r="Z42" i="23"/>
  <c r="Z30" i="23"/>
  <c r="Z18" i="23"/>
  <c r="AH40" i="23"/>
  <c r="AH28" i="23"/>
  <c r="C16" i="20"/>
  <c r="F16" i="20" s="1"/>
  <c r="B45" i="23"/>
  <c r="A46" i="23"/>
  <c r="B30" i="23"/>
  <c r="B29" i="23"/>
  <c r="B41" i="23"/>
  <c r="B42" i="23"/>
  <c r="B22" i="23"/>
  <c r="B27" i="23"/>
  <c r="B35" i="23"/>
  <c r="B32" i="23"/>
  <c r="B37" i="23"/>
  <c r="B19" i="23"/>
  <c r="B24" i="23"/>
  <c r="B15" i="23"/>
  <c r="B17" i="23"/>
  <c r="B21" i="23"/>
  <c r="B34" i="23"/>
  <c r="B39" i="23"/>
  <c r="B13" i="23"/>
  <c r="B23" i="23"/>
  <c r="B25" i="23"/>
  <c r="B20" i="23"/>
  <c r="B14" i="23"/>
  <c r="B18" i="23"/>
  <c r="B40" i="23"/>
  <c r="B28" i="23"/>
  <c r="B43" i="23"/>
  <c r="B38" i="23"/>
  <c r="B33" i="23"/>
  <c r="D72" i="21"/>
  <c r="D57" i="21"/>
  <c r="D36" i="21"/>
  <c r="D33" i="21"/>
  <c r="D21" i="21"/>
  <c r="D53" i="21"/>
  <c r="D44" i="21"/>
  <c r="D12" i="21"/>
  <c r="D59" i="21"/>
  <c r="D50" i="21"/>
  <c r="D38" i="21"/>
  <c r="B21" i="16"/>
  <c r="C21" i="16" s="1"/>
  <c r="B60" i="16"/>
  <c r="C60" i="16" s="1"/>
  <c r="B64" i="16"/>
  <c r="C64" i="16" s="1"/>
  <c r="B58" i="16"/>
  <c r="C58" i="16" s="1"/>
  <c r="B53" i="16"/>
  <c r="C53" i="16" s="1"/>
  <c r="B48" i="16"/>
  <c r="C48" i="16" s="1"/>
  <c r="B43" i="16"/>
  <c r="C43" i="16" s="1"/>
  <c r="B63" i="16"/>
  <c r="C63" i="16" s="1"/>
  <c r="B52" i="16"/>
  <c r="C52" i="16" s="1"/>
  <c r="B47" i="16"/>
  <c r="C47" i="16" s="1"/>
  <c r="B42" i="16"/>
  <c r="C42" i="16" s="1"/>
  <c r="C62" i="16"/>
  <c r="C57" i="16"/>
  <c r="D15" i="20"/>
  <c r="B7" i="16"/>
  <c r="C7" i="16"/>
  <c r="D360" i="21"/>
  <c r="D335" i="21"/>
  <c r="D322" i="21"/>
  <c r="D315" i="21"/>
  <c r="D301" i="21"/>
  <c r="D299" i="21"/>
  <c r="D233" i="21"/>
  <c r="D207" i="21"/>
  <c r="D179" i="21"/>
  <c r="D177" i="21"/>
  <c r="D168" i="21"/>
  <c r="D123" i="21"/>
  <c r="D116" i="21"/>
  <c r="D90" i="21"/>
  <c r="D83" i="21"/>
  <c r="D62" i="21"/>
  <c r="D60" i="21"/>
  <c r="D46" i="21"/>
  <c r="D25" i="21"/>
  <c r="D375" i="21"/>
  <c r="D362" i="21"/>
  <c r="D346" i="21"/>
  <c r="D344" i="21"/>
  <c r="D342" i="21"/>
  <c r="D337" i="21"/>
  <c r="D292" i="21"/>
  <c r="D267" i="21"/>
  <c r="D260" i="21"/>
  <c r="D235" i="21"/>
  <c r="D209" i="21"/>
  <c r="D202" i="21"/>
  <c r="D172" i="21"/>
  <c r="D125" i="21"/>
  <c r="D92" i="21"/>
  <c r="D64" i="21"/>
  <c r="D55" i="21"/>
  <c r="D48" i="21"/>
  <c r="D27" i="21"/>
  <c r="D18" i="21"/>
  <c r="B11" i="16"/>
  <c r="C11" i="16" s="1"/>
  <c r="B22" i="16"/>
  <c r="B33" i="16"/>
  <c r="B34" i="16"/>
  <c r="C34" i="16" s="1"/>
  <c r="D336" i="21"/>
  <c r="D302" i="21"/>
  <c r="D289" i="21"/>
  <c r="D285" i="21"/>
  <c r="D281" i="21"/>
  <c r="D251" i="21"/>
  <c r="D232" i="21"/>
  <c r="D163" i="21"/>
  <c r="D152" i="21"/>
  <c r="D129" i="21"/>
  <c r="D91" i="21"/>
  <c r="D74" i="21"/>
  <c r="D65" i="21"/>
  <c r="D24" i="21"/>
  <c r="D374" i="21"/>
  <c r="D351" i="21"/>
  <c r="D338" i="21"/>
  <c r="D319" i="21"/>
  <c r="D317" i="21"/>
  <c r="D268" i="21"/>
  <c r="D240" i="21"/>
  <c r="D238" i="21"/>
  <c r="D236" i="21"/>
  <c r="D234" i="21"/>
  <c r="D225" i="21"/>
  <c r="D223" i="21"/>
  <c r="D210" i="21"/>
  <c r="D197" i="21"/>
  <c r="D195" i="21"/>
  <c r="D193" i="21"/>
  <c r="D191" i="21"/>
  <c r="D182" i="21"/>
  <c r="D131" i="21"/>
  <c r="D120" i="21"/>
  <c r="D118" i="21"/>
  <c r="D80" i="21"/>
  <c r="D78" i="21"/>
  <c r="D76" i="21"/>
  <c r="D67" i="21"/>
  <c r="D54" i="21"/>
  <c r="D41" i="21"/>
  <c r="D39" i="21"/>
  <c r="D372" i="21"/>
  <c r="D287" i="21"/>
  <c r="D283" i="21"/>
  <c r="D266" i="21"/>
  <c r="D253" i="21"/>
  <c r="D249" i="21"/>
  <c r="D221" i="21"/>
  <c r="D208" i="21"/>
  <c r="D89" i="21"/>
  <c r="D63" i="21"/>
  <c r="D37" i="21"/>
  <c r="D359" i="21"/>
  <c r="D357" i="21"/>
  <c r="D355" i="21"/>
  <c r="D353" i="21"/>
  <c r="D325" i="21"/>
  <c r="D323" i="21"/>
  <c r="D321" i="21"/>
  <c r="D304" i="21"/>
  <c r="D291" i="21"/>
  <c r="D272" i="21"/>
  <c r="D270" i="21"/>
  <c r="D257" i="21"/>
  <c r="D255" i="21"/>
  <c r="D242" i="21"/>
  <c r="D214" i="21"/>
  <c r="D212" i="21"/>
  <c r="D199" i="21"/>
  <c r="D184" i="21"/>
  <c r="D171" i="21"/>
  <c r="D169" i="21"/>
  <c r="D167" i="21"/>
  <c r="D165" i="21"/>
  <c r="D154" i="21"/>
  <c r="D137" i="21"/>
  <c r="D135" i="21"/>
  <c r="D133" i="21"/>
  <c r="D124" i="21"/>
  <c r="D122" i="21"/>
  <c r="D101" i="21"/>
  <c r="D99" i="21"/>
  <c r="D97" i="21"/>
  <c r="D95" i="21"/>
  <c r="D93" i="21"/>
  <c r="D82" i="21"/>
  <c r="D56" i="21"/>
  <c r="D43" i="21"/>
  <c r="D30" i="21"/>
  <c r="D28" i="21"/>
  <c r="D13" i="21"/>
  <c r="D180" i="21"/>
  <c r="D52" i="21"/>
  <c r="D26" i="21"/>
  <c r="D376" i="21"/>
  <c r="D361" i="21"/>
  <c r="D340" i="21"/>
  <c r="D327" i="21"/>
  <c r="D312" i="21"/>
  <c r="D310" i="21"/>
  <c r="D308" i="21"/>
  <c r="D306" i="21"/>
  <c r="D295" i="21"/>
  <c r="D293" i="21"/>
  <c r="D274" i="21"/>
  <c r="D261" i="21"/>
  <c r="D259" i="21"/>
  <c r="D229" i="21"/>
  <c r="D227" i="21"/>
  <c r="D216" i="21"/>
  <c r="D205" i="21"/>
  <c r="D203" i="21"/>
  <c r="D201" i="21"/>
  <c r="D186" i="21"/>
  <c r="D173" i="21"/>
  <c r="D139" i="21"/>
  <c r="D103" i="21"/>
  <c r="D84" i="21"/>
  <c r="D69" i="21"/>
  <c r="D47" i="21"/>
  <c r="D45" i="21"/>
  <c r="D32" i="21"/>
  <c r="D17" i="21"/>
  <c r="C12" i="20"/>
  <c r="F12" i="20" s="1"/>
  <c r="G8" i="18"/>
  <c r="B32" i="16"/>
  <c r="C32" i="16" s="1"/>
  <c r="B20" i="16"/>
  <c r="B31" i="16"/>
  <c r="B19" i="16"/>
  <c r="B30" i="16"/>
  <c r="B18" i="16"/>
  <c r="B40" i="16"/>
  <c r="B28" i="16"/>
  <c r="C28" i="16" s="1"/>
  <c r="B16" i="16"/>
  <c r="B39" i="16"/>
  <c r="C39" i="16" s="1"/>
  <c r="B27" i="16"/>
  <c r="C27" i="16" s="1"/>
  <c r="B15" i="16"/>
  <c r="B38" i="16"/>
  <c r="B26" i="16"/>
  <c r="B14" i="16"/>
  <c r="B37" i="16"/>
  <c r="B25" i="16"/>
  <c r="B13" i="16"/>
  <c r="B36" i="16"/>
  <c r="B24" i="16"/>
  <c r="B41" i="16"/>
  <c r="B35" i="16"/>
  <c r="B29" i="16"/>
  <c r="B23" i="16"/>
  <c r="B17" i="16"/>
  <c r="D22" i="16" l="1"/>
  <c r="G34" i="13"/>
  <c r="G42" i="13"/>
  <c r="G37" i="13"/>
  <c r="G39" i="13"/>
  <c r="G28" i="13"/>
  <c r="G41" i="13"/>
  <c r="G30" i="13"/>
  <c r="G22" i="13"/>
  <c r="G13" i="13"/>
  <c r="G35" i="13"/>
  <c r="G25" i="13"/>
  <c r="G14" i="13"/>
  <c r="G26" i="13"/>
  <c r="G29" i="13"/>
  <c r="G23" i="13"/>
  <c r="G31" i="13"/>
  <c r="G24" i="13"/>
  <c r="G17" i="13"/>
  <c r="G18" i="13"/>
  <c r="G16" i="13"/>
  <c r="G38" i="13"/>
  <c r="G33" i="13"/>
  <c r="G32" i="13"/>
  <c r="G19" i="13"/>
  <c r="G40" i="13"/>
  <c r="G36" i="13"/>
  <c r="G21" i="13"/>
  <c r="G20" i="13"/>
  <c r="G27" i="13"/>
  <c r="G15" i="13"/>
  <c r="I34" i="13"/>
  <c r="I35" i="13"/>
  <c r="I25" i="13"/>
  <c r="I14" i="13"/>
  <c r="I29" i="13"/>
  <c r="I18" i="13"/>
  <c r="G12" i="13"/>
  <c r="I12" i="13"/>
  <c r="I38" i="13"/>
  <c r="I13" i="13"/>
  <c r="I21" i="13"/>
  <c r="I40" i="13"/>
  <c r="I36" i="13"/>
  <c r="I20" i="13"/>
  <c r="I27" i="13"/>
  <c r="I30" i="13"/>
  <c r="I22" i="13"/>
  <c r="I37" i="13"/>
  <c r="I28" i="13"/>
  <c r="I39" i="13"/>
  <c r="I41" i="13"/>
  <c r="I42" i="13"/>
  <c r="I26" i="13"/>
  <c r="I23" i="13"/>
  <c r="I31" i="13"/>
  <c r="I24" i="13"/>
  <c r="I17" i="13"/>
  <c r="I16" i="13"/>
  <c r="I33" i="13"/>
  <c r="I32" i="13"/>
  <c r="I19" i="13"/>
  <c r="I15" i="13"/>
  <c r="N3" i="21"/>
  <c r="A31" i="21"/>
  <c r="A24" i="21"/>
  <c r="A40" i="21"/>
  <c r="A36" i="21"/>
  <c r="A34" i="21"/>
  <c r="A41" i="21"/>
  <c r="A42" i="21"/>
  <c r="A35" i="21"/>
  <c r="A23" i="21"/>
  <c r="A18" i="21"/>
  <c r="A16" i="21"/>
  <c r="A38" i="21"/>
  <c r="A32" i="21"/>
  <c r="A19" i="21"/>
  <c r="A21" i="21"/>
  <c r="A27" i="21"/>
  <c r="A28" i="21"/>
  <c r="A26" i="21"/>
  <c r="A29" i="21"/>
  <c r="D12" i="16"/>
  <c r="E12" i="16" s="1"/>
  <c r="B18" i="21"/>
  <c r="B13" i="21"/>
  <c r="B12" i="21"/>
  <c r="E2" i="21" s="1"/>
  <c r="T377" i="21"/>
  <c r="F5" i="23"/>
  <c r="C15" i="23" s="1"/>
  <c r="B266" i="21"/>
  <c r="B333" i="21"/>
  <c r="B176" i="21"/>
  <c r="B164" i="21"/>
  <c r="B278" i="21"/>
  <c r="B42" i="21"/>
  <c r="B226" i="21"/>
  <c r="B183" i="21"/>
  <c r="B143" i="21"/>
  <c r="B107" i="21"/>
  <c r="B196" i="21"/>
  <c r="B205" i="21"/>
  <c r="B161" i="21"/>
  <c r="B232" i="21"/>
  <c r="B132" i="21"/>
  <c r="B46" i="21"/>
  <c r="B238" i="21"/>
  <c r="B177" i="21"/>
  <c r="B114" i="21"/>
  <c r="B165" i="21"/>
  <c r="B128" i="21"/>
  <c r="B368" i="21"/>
  <c r="B187" i="21"/>
  <c r="B275" i="21"/>
  <c r="B343" i="21"/>
  <c r="B60" i="21"/>
  <c r="B252" i="21"/>
  <c r="B320" i="21"/>
  <c r="B163" i="21"/>
  <c r="B264" i="21"/>
  <c r="B71" i="21"/>
  <c r="B129" i="21"/>
  <c r="B354" i="21"/>
  <c r="B173" i="21"/>
  <c r="B241" i="21"/>
  <c r="B105" i="21"/>
  <c r="B270" i="21"/>
  <c r="B255" i="21"/>
  <c r="B206" i="21"/>
  <c r="B345" i="21"/>
  <c r="B171" i="21"/>
  <c r="B229" i="21"/>
  <c r="B63" i="21"/>
  <c r="B193" i="21"/>
  <c r="B207" i="21"/>
  <c r="B214" i="21"/>
  <c r="B81" i="21"/>
  <c r="B104" i="21"/>
  <c r="B108" i="21"/>
  <c r="B314" i="21"/>
  <c r="B336" i="21"/>
  <c r="B127" i="21"/>
  <c r="B208" i="21"/>
  <c r="B93" i="21"/>
  <c r="B103" i="21"/>
  <c r="B145" i="21"/>
  <c r="A30" i="21"/>
  <c r="B138" i="21"/>
  <c r="B294" i="21"/>
  <c r="B113" i="21"/>
  <c r="B302" i="21"/>
  <c r="B209" i="21"/>
  <c r="B14" i="21"/>
  <c r="A37" i="21"/>
  <c r="A22" i="21"/>
  <c r="B369" i="21"/>
  <c r="A15" i="21"/>
  <c r="B210" i="21"/>
  <c r="B124" i="21"/>
  <c r="B222" i="21"/>
  <c r="B65" i="21"/>
  <c r="B203" i="21"/>
  <c r="B309" i="21"/>
  <c r="B52" i="21"/>
  <c r="B89" i="21"/>
  <c r="B130" i="21"/>
  <c r="B295" i="21"/>
  <c r="B123" i="21"/>
  <c r="A33" i="21"/>
  <c r="A25" i="21"/>
  <c r="A14" i="21"/>
  <c r="A39" i="21"/>
  <c r="A12" i="21"/>
  <c r="A13" i="21"/>
  <c r="A17" i="21"/>
  <c r="A20" i="21"/>
  <c r="N377" i="21"/>
  <c r="A47" i="23"/>
  <c r="B46" i="23"/>
  <c r="D377" i="21"/>
  <c r="B6" i="16"/>
  <c r="G12" i="16" s="1"/>
  <c r="C33" i="16"/>
  <c r="C37" i="16"/>
  <c r="C41" i="16"/>
  <c r="C22" i="16"/>
  <c r="C19" i="16"/>
  <c r="C23" i="16"/>
  <c r="C17" i="16"/>
  <c r="C16" i="16"/>
  <c r="C13" i="16"/>
  <c r="C36" i="16"/>
  <c r="C18" i="16"/>
  <c r="C40" i="16"/>
  <c r="C30" i="16"/>
  <c r="C14" i="16"/>
  <c r="C29" i="16"/>
  <c r="C26" i="16"/>
  <c r="C31" i="16"/>
  <c r="C35" i="16"/>
  <c r="C38" i="16"/>
  <c r="C15" i="16"/>
  <c r="C20" i="16"/>
  <c r="C25" i="16"/>
  <c r="C24" i="16"/>
  <c r="C14" i="23" l="1"/>
  <c r="E14" i="23" s="1"/>
  <c r="C11" i="23"/>
  <c r="E11" i="23" s="1"/>
  <c r="C13" i="23"/>
  <c r="E13" i="23" s="1"/>
  <c r="C12" i="23"/>
  <c r="E12" i="23" s="1"/>
  <c r="C24" i="23"/>
  <c r="E24" i="23" s="1"/>
  <c r="C36" i="23"/>
  <c r="E36" i="23" s="1"/>
  <c r="C48" i="23"/>
  <c r="C60" i="23"/>
  <c r="C26" i="23"/>
  <c r="E26" i="23" s="1"/>
  <c r="C50" i="23"/>
  <c r="C62" i="23"/>
  <c r="E15" i="23"/>
  <c r="C39" i="23"/>
  <c r="E39" i="23" s="1"/>
  <c r="C16" i="23"/>
  <c r="E16" i="23" s="1"/>
  <c r="C40" i="23"/>
  <c r="E40" i="23" s="1"/>
  <c r="C64" i="23"/>
  <c r="C29" i="23"/>
  <c r="E29" i="23" s="1"/>
  <c r="C53" i="23"/>
  <c r="C65" i="23"/>
  <c r="C30" i="23"/>
  <c r="E30" i="23" s="1"/>
  <c r="C66" i="23"/>
  <c r="C19" i="23"/>
  <c r="E19" i="23" s="1"/>
  <c r="C31" i="23"/>
  <c r="E31" i="23" s="1"/>
  <c r="C43" i="23"/>
  <c r="E43" i="23" s="1"/>
  <c r="C55" i="23"/>
  <c r="C20" i="23"/>
  <c r="E20" i="23" s="1"/>
  <c r="C32" i="23"/>
  <c r="E32" i="23" s="1"/>
  <c r="C44" i="23"/>
  <c r="E44" i="23" s="1"/>
  <c r="C56" i="23"/>
  <c r="C33" i="23"/>
  <c r="E33" i="23" s="1"/>
  <c r="C57" i="23"/>
  <c r="C22" i="23"/>
  <c r="E22" i="23" s="1"/>
  <c r="C34" i="23"/>
  <c r="E34" i="23" s="1"/>
  <c r="C46" i="23"/>
  <c r="E46" i="23" s="1"/>
  <c r="C58" i="23"/>
  <c r="C23" i="23"/>
  <c r="E23" i="23" s="1"/>
  <c r="C35" i="23"/>
  <c r="E35" i="23" s="1"/>
  <c r="C47" i="23"/>
  <c r="C59" i="23"/>
  <c r="C25" i="23"/>
  <c r="E25" i="23" s="1"/>
  <c r="C37" i="23"/>
  <c r="E37" i="23" s="1"/>
  <c r="C49" i="23"/>
  <c r="C61" i="23"/>
  <c r="C38" i="23"/>
  <c r="E38" i="23" s="1"/>
  <c r="C27" i="23"/>
  <c r="E27" i="23" s="1"/>
  <c r="C51" i="23"/>
  <c r="C63" i="23"/>
  <c r="C28" i="23"/>
  <c r="E28" i="23" s="1"/>
  <c r="C52" i="23"/>
  <c r="C17" i="23"/>
  <c r="E17" i="23" s="1"/>
  <c r="C41" i="23"/>
  <c r="E41" i="23" s="1"/>
  <c r="C18" i="23"/>
  <c r="E18" i="23" s="1"/>
  <c r="C42" i="23"/>
  <c r="E42" i="23" s="1"/>
  <c r="C54" i="23"/>
  <c r="C21" i="23"/>
  <c r="E21" i="23" s="1"/>
  <c r="C45" i="23"/>
  <c r="E45" i="23" s="1"/>
  <c r="B377" i="21"/>
  <c r="D45" i="16"/>
  <c r="E45" i="16" s="1"/>
  <c r="E11" i="16"/>
  <c r="D44" i="16"/>
  <c r="E44" i="16" s="1"/>
  <c r="D49" i="16"/>
  <c r="E49" i="16" s="1"/>
  <c r="D53" i="16"/>
  <c r="E53" i="16" s="1"/>
  <c r="D48" i="16"/>
  <c r="E48" i="16" s="1"/>
  <c r="D55" i="16"/>
  <c r="E55" i="16" s="1"/>
  <c r="D63" i="16"/>
  <c r="E63" i="16" s="1"/>
  <c r="D42" i="16"/>
  <c r="E42" i="16" s="1"/>
  <c r="D57" i="16"/>
  <c r="E57" i="16" s="1"/>
  <c r="D61" i="16"/>
  <c r="E61" i="16" s="1"/>
  <c r="D52" i="16"/>
  <c r="E52" i="16" s="1"/>
  <c r="D65" i="16"/>
  <c r="E65" i="16" s="1"/>
  <c r="D56" i="16"/>
  <c r="E56" i="16" s="1"/>
  <c r="D43" i="16"/>
  <c r="E43" i="16" s="1"/>
  <c r="D47" i="16"/>
  <c r="E47" i="16" s="1"/>
  <c r="D60" i="16"/>
  <c r="E60" i="16" s="1"/>
  <c r="D51" i="16"/>
  <c r="E51" i="16" s="1"/>
  <c r="D64" i="16"/>
  <c r="E64" i="16" s="1"/>
  <c r="D59" i="16"/>
  <c r="E59" i="16" s="1"/>
  <c r="D66" i="16"/>
  <c r="E66" i="16" s="1"/>
  <c r="D62" i="16"/>
  <c r="E62" i="16" s="1"/>
  <c r="D58" i="16"/>
  <c r="E58" i="16" s="1"/>
  <c r="D54" i="16"/>
  <c r="E54" i="16" s="1"/>
  <c r="D50" i="16"/>
  <c r="E50" i="16" s="1"/>
  <c r="D46" i="16"/>
  <c r="E46" i="16" s="1"/>
  <c r="D24" i="16"/>
  <c r="E24" i="16" s="1"/>
  <c r="D23" i="16"/>
  <c r="E23" i="16" s="1"/>
  <c r="D19" i="16"/>
  <c r="E19" i="16" s="1"/>
  <c r="D13" i="16"/>
  <c r="E13" i="16" s="1"/>
  <c r="D31" i="16"/>
  <c r="E31" i="16" s="1"/>
  <c r="D32" i="16"/>
  <c r="E32" i="16" s="1"/>
  <c r="D36" i="16"/>
  <c r="E36" i="16" s="1"/>
  <c r="D18" i="16"/>
  <c r="E18" i="16" s="1"/>
  <c r="D33" i="16"/>
  <c r="E33" i="16" s="1"/>
  <c r="D35" i="16"/>
  <c r="E35" i="16" s="1"/>
  <c r="D30" i="16"/>
  <c r="E30" i="16" s="1"/>
  <c r="E22" i="16"/>
  <c r="D21" i="16"/>
  <c r="E21" i="16" s="1"/>
  <c r="D20" i="16"/>
  <c r="E20" i="16" s="1"/>
  <c r="D34" i="16"/>
  <c r="E34" i="16" s="1"/>
  <c r="D41" i="16"/>
  <c r="E41" i="16" s="1"/>
  <c r="D29" i="16"/>
  <c r="E29" i="16" s="1"/>
  <c r="D17" i="16"/>
  <c r="E17" i="16" s="1"/>
  <c r="D40" i="16"/>
  <c r="E40" i="16" s="1"/>
  <c r="D28" i="16"/>
  <c r="E28" i="16" s="1"/>
  <c r="D16" i="16"/>
  <c r="E16" i="16" s="1"/>
  <c r="D39" i="16"/>
  <c r="E39" i="16" s="1"/>
  <c r="D27" i="16"/>
  <c r="E27" i="16" s="1"/>
  <c r="D15" i="16"/>
  <c r="E15" i="16" s="1"/>
  <c r="D38" i="16"/>
  <c r="E38" i="16" s="1"/>
  <c r="D26" i="16"/>
  <c r="E26" i="16" s="1"/>
  <c r="D14" i="16"/>
  <c r="E14" i="16" s="1"/>
  <c r="D37" i="16"/>
  <c r="E37" i="16" s="1"/>
  <c r="D25" i="16"/>
  <c r="E25" i="16" s="1"/>
  <c r="B47" i="23"/>
  <c r="A48" i="23"/>
  <c r="G26" i="16"/>
  <c r="G46" i="16"/>
  <c r="G53" i="16"/>
  <c r="G58" i="16"/>
  <c r="G65" i="16"/>
  <c r="G42" i="16"/>
  <c r="G54" i="16"/>
  <c r="G52" i="16"/>
  <c r="G64" i="16"/>
  <c r="G45" i="16"/>
  <c r="G57" i="16"/>
  <c r="G62" i="16"/>
  <c r="G43" i="16"/>
  <c r="G55" i="16"/>
  <c r="G50" i="16"/>
  <c r="G48" i="16"/>
  <c r="G44" i="16"/>
  <c r="G51" i="16"/>
  <c r="G56" i="16"/>
  <c r="G63" i="16"/>
  <c r="G49" i="16"/>
  <c r="G61" i="16"/>
  <c r="G66" i="16"/>
  <c r="G59" i="16"/>
  <c r="G60" i="16"/>
  <c r="G47" i="16"/>
  <c r="G28" i="16"/>
  <c r="G29" i="16"/>
  <c r="G33" i="16"/>
  <c r="G11" i="16"/>
  <c r="G21" i="16"/>
  <c r="G14" i="16"/>
  <c r="G32" i="16"/>
  <c r="G15" i="16"/>
  <c r="G17" i="16"/>
  <c r="G37" i="16"/>
  <c r="G40" i="16"/>
  <c r="G39" i="16"/>
  <c r="G24" i="16"/>
  <c r="G23" i="16"/>
  <c r="G27" i="16"/>
  <c r="G13" i="16"/>
  <c r="G38" i="16"/>
  <c r="G25" i="16"/>
  <c r="G16" i="16"/>
  <c r="G18" i="16"/>
  <c r="G30" i="16"/>
  <c r="G34" i="16"/>
  <c r="G35" i="16"/>
  <c r="G22" i="16"/>
  <c r="G20" i="16"/>
  <c r="G31" i="16"/>
  <c r="G19" i="16"/>
  <c r="G41" i="16"/>
  <c r="G36" i="16"/>
  <c r="N10" i="16" l="1"/>
  <c r="A49" i="23"/>
  <c r="B48" i="23"/>
  <c r="E47" i="23"/>
  <c r="N60" i="16"/>
  <c r="R10" i="16" a="1"/>
  <c r="Q10" i="16" a="1"/>
  <c r="P10" i="16" a="1"/>
  <c r="O10" i="16" a="1"/>
  <c r="M60" i="16" a="1"/>
  <c r="R10" i="16" l="1"/>
  <c r="O10" i="16"/>
  <c r="O25" i="16" s="1"/>
  <c r="R25" i="16" s="1"/>
  <c r="Q10" i="16"/>
  <c r="P10" i="16"/>
  <c r="E48" i="23"/>
  <c r="B49" i="23"/>
  <c r="A50" i="23"/>
  <c r="M60" i="16"/>
  <c r="P25" i="16" l="1"/>
  <c r="Q25" i="16" s="1"/>
  <c r="S25" i="16" s="1"/>
  <c r="O26" i="16"/>
  <c r="R26" i="16" s="1"/>
  <c r="O24" i="16"/>
  <c r="O23" i="16" s="1"/>
  <c r="O22" i="16" s="1"/>
  <c r="A51" i="23"/>
  <c r="B50" i="23"/>
  <c r="E49" i="23"/>
  <c r="M75" i="16"/>
  <c r="N75" i="16" s="1"/>
  <c r="T25" i="16" l="1"/>
  <c r="P26" i="16"/>
  <c r="Q26" i="16" s="1"/>
  <c r="S26" i="16" s="1"/>
  <c r="R23" i="16"/>
  <c r="O27" i="16"/>
  <c r="P27" i="16" s="1"/>
  <c r="T27" i="16" s="1"/>
  <c r="P24" i="16"/>
  <c r="Q24" i="16" s="1"/>
  <c r="R24" i="16"/>
  <c r="P23" i="16"/>
  <c r="Q23" i="16" s="1"/>
  <c r="E50" i="23"/>
  <c r="B51" i="23"/>
  <c r="A52" i="23"/>
  <c r="M74" i="16"/>
  <c r="M73" i="16" s="1"/>
  <c r="N73" i="16" s="1"/>
  <c r="M76" i="16"/>
  <c r="O21" i="16"/>
  <c r="R22" i="16"/>
  <c r="P22" i="16"/>
  <c r="R27" i="16" l="1"/>
  <c r="S24" i="16"/>
  <c r="T23" i="16"/>
  <c r="Q27" i="16"/>
  <c r="O28" i="16"/>
  <c r="P28" i="16" s="1"/>
  <c r="Q28" i="16" s="1"/>
  <c r="T24" i="16"/>
  <c r="S23" i="16"/>
  <c r="T26" i="16"/>
  <c r="B52" i="23"/>
  <c r="A53" i="23"/>
  <c r="E51" i="23"/>
  <c r="N74" i="16"/>
  <c r="M72" i="16"/>
  <c r="M71" i="16" s="1"/>
  <c r="N76" i="16"/>
  <c r="M77" i="16"/>
  <c r="Q22" i="16"/>
  <c r="S22" i="16" s="1"/>
  <c r="T22" i="16"/>
  <c r="O20" i="16"/>
  <c r="P21" i="16"/>
  <c r="R21" i="16"/>
  <c r="T28" i="16" l="1"/>
  <c r="S27" i="16"/>
  <c r="R28" i="16"/>
  <c r="S28" i="16" s="1"/>
  <c r="O29" i="16"/>
  <c r="P29" i="16" s="1"/>
  <c r="Q29" i="16" s="1"/>
  <c r="A54" i="23"/>
  <c r="B53" i="23"/>
  <c r="E52" i="23"/>
  <c r="N72" i="16"/>
  <c r="M78" i="16"/>
  <c r="N77" i="16"/>
  <c r="M70" i="16"/>
  <c r="N71" i="16"/>
  <c r="Q21" i="16"/>
  <c r="S21" i="16" s="1"/>
  <c r="T21" i="16"/>
  <c r="P20" i="16"/>
  <c r="R20" i="16"/>
  <c r="O19" i="16"/>
  <c r="O30" i="16" l="1"/>
  <c r="P30" i="16" s="1"/>
  <c r="T30" i="16" s="1"/>
  <c r="T29" i="16"/>
  <c r="R29" i="16"/>
  <c r="S29" i="16" s="1"/>
  <c r="E53" i="23"/>
  <c r="B54" i="23"/>
  <c r="A55" i="23"/>
  <c r="M79" i="16"/>
  <c r="N78" i="16"/>
  <c r="M69" i="16"/>
  <c r="N70" i="16"/>
  <c r="Q20" i="16"/>
  <c r="S20" i="16" s="1"/>
  <c r="T20" i="16"/>
  <c r="P19" i="16"/>
  <c r="R19" i="16"/>
  <c r="O18" i="16"/>
  <c r="Q30" i="16" l="1"/>
  <c r="O31" i="16"/>
  <c r="P31" i="16" s="1"/>
  <c r="T31" i="16" s="1"/>
  <c r="R30" i="16"/>
  <c r="A56" i="23"/>
  <c r="B55" i="23"/>
  <c r="E54" i="23"/>
  <c r="M80" i="16"/>
  <c r="N79" i="16"/>
  <c r="M68" i="16"/>
  <c r="N69" i="16"/>
  <c r="Q19" i="16"/>
  <c r="S19" i="16" s="1"/>
  <c r="T19" i="16"/>
  <c r="P18" i="16"/>
  <c r="R18" i="16"/>
  <c r="O17" i="16"/>
  <c r="Q31" i="16" l="1"/>
  <c r="S30" i="16"/>
  <c r="R31" i="16"/>
  <c r="O32" i="16"/>
  <c r="O33" i="16" s="1"/>
  <c r="O34" i="16" s="1"/>
  <c r="E55" i="23"/>
  <c r="B56" i="23"/>
  <c r="A57" i="23"/>
  <c r="N80" i="16"/>
  <c r="M81" i="16"/>
  <c r="M67" i="16"/>
  <c r="N68" i="16"/>
  <c r="Q18" i="16"/>
  <c r="S18" i="16" s="1"/>
  <c r="T18" i="16"/>
  <c r="P17" i="16"/>
  <c r="R17" i="16"/>
  <c r="O16" i="16"/>
  <c r="S31" i="16" l="1"/>
  <c r="P32" i="16"/>
  <c r="Q32" i="16" s="1"/>
  <c r="R33" i="16"/>
  <c r="R32" i="16"/>
  <c r="P33" i="16"/>
  <c r="Q33" i="16" s="1"/>
  <c r="A58" i="23"/>
  <c r="B57" i="23"/>
  <c r="E56" i="23"/>
  <c r="M82" i="16"/>
  <c r="N81" i="16"/>
  <c r="M66" i="16"/>
  <c r="N67" i="16"/>
  <c r="Q17" i="16"/>
  <c r="S17" i="16" s="1"/>
  <c r="T17" i="16"/>
  <c r="O35" i="16"/>
  <c r="P34" i="16"/>
  <c r="R34" i="16"/>
  <c r="P16" i="16"/>
  <c r="R16" i="16"/>
  <c r="O15" i="16"/>
  <c r="S32" i="16" l="1"/>
  <c r="S33" i="16"/>
  <c r="T32" i="16"/>
  <c r="T33" i="16"/>
  <c r="E57" i="23"/>
  <c r="B58" i="23"/>
  <c r="A59" i="23"/>
  <c r="M83" i="16"/>
  <c r="N82" i="16"/>
  <c r="M65" i="16"/>
  <c r="N66" i="16"/>
  <c r="Q16" i="16"/>
  <c r="S16" i="16" s="1"/>
  <c r="T16" i="16"/>
  <c r="Q34" i="16"/>
  <c r="S34" i="16" s="1"/>
  <c r="T34" i="16"/>
  <c r="P15" i="16"/>
  <c r="R15" i="16"/>
  <c r="O14" i="16"/>
  <c r="O36" i="16"/>
  <c r="R35" i="16"/>
  <c r="P35" i="16"/>
  <c r="A60" i="23" l="1"/>
  <c r="B59" i="23"/>
  <c r="E58" i="23"/>
  <c r="M84" i="16"/>
  <c r="N83" i="16"/>
  <c r="M64" i="16"/>
  <c r="N65" i="16"/>
  <c r="Q35" i="16"/>
  <c r="S35" i="16" s="1"/>
  <c r="T35" i="16"/>
  <c r="Q15" i="16"/>
  <c r="S15" i="16" s="1"/>
  <c r="T15" i="16"/>
  <c r="P14" i="16"/>
  <c r="R14" i="16"/>
  <c r="O13" i="16"/>
  <c r="O37" i="16"/>
  <c r="P36" i="16"/>
  <c r="R36" i="16"/>
  <c r="E59" i="23" l="1"/>
  <c r="A61" i="23"/>
  <c r="B60" i="23"/>
  <c r="M85" i="16"/>
  <c r="N84" i="16"/>
  <c r="M63" i="16"/>
  <c r="N64" i="16"/>
  <c r="Q36" i="16"/>
  <c r="S36" i="16" s="1"/>
  <c r="T36" i="16"/>
  <c r="Q14" i="16"/>
  <c r="S14" i="16" s="1"/>
  <c r="T14" i="16"/>
  <c r="R13" i="16"/>
  <c r="O12" i="16"/>
  <c r="O11" i="16" s="1"/>
  <c r="P13" i="16"/>
  <c r="R37" i="16"/>
  <c r="O38" i="16"/>
  <c r="P37" i="16"/>
  <c r="E60" i="23" l="1"/>
  <c r="B61" i="23"/>
  <c r="A62" i="23"/>
  <c r="N85" i="16"/>
  <c r="M86" i="16"/>
  <c r="M62" i="16"/>
  <c r="N63" i="16"/>
  <c r="Q37" i="16"/>
  <c r="S37" i="16" s="1"/>
  <c r="T37" i="16"/>
  <c r="Q13" i="16"/>
  <c r="S13" i="16" s="1"/>
  <c r="T13" i="16"/>
  <c r="R38" i="16"/>
  <c r="O39" i="16"/>
  <c r="P38" i="16"/>
  <c r="P12" i="16"/>
  <c r="R12" i="16"/>
  <c r="B62" i="23" l="1"/>
  <c r="A63" i="23"/>
  <c r="E61" i="23"/>
  <c r="N86" i="16"/>
  <c r="M87" i="16"/>
  <c r="M61" i="16"/>
  <c r="N62" i="16"/>
  <c r="Q12" i="16"/>
  <c r="S12" i="16" s="1"/>
  <c r="T12" i="16"/>
  <c r="Q38" i="16"/>
  <c r="S38" i="16" s="1"/>
  <c r="T38" i="16"/>
  <c r="P39" i="16"/>
  <c r="R39" i="16"/>
  <c r="O40" i="16"/>
  <c r="R11" i="16"/>
  <c r="P11" i="16"/>
  <c r="T11" i="16" s="1"/>
  <c r="A64" i="23" l="1"/>
  <c r="B63" i="23"/>
  <c r="E62" i="23"/>
  <c r="N61" i="16"/>
  <c r="M88" i="16"/>
  <c r="N87" i="16"/>
  <c r="Q39" i="16"/>
  <c r="S39" i="16" s="1"/>
  <c r="T39" i="16"/>
  <c r="Q11" i="16"/>
  <c r="S11" i="16" s="1"/>
  <c r="P40" i="16"/>
  <c r="R40" i="16"/>
  <c r="O41" i="16"/>
  <c r="E63" i="23" l="1"/>
  <c r="B64" i="23"/>
  <c r="A65" i="23"/>
  <c r="M89" i="16"/>
  <c r="N88" i="16"/>
  <c r="Q40" i="16"/>
  <c r="S40" i="16" s="1"/>
  <c r="T40" i="16"/>
  <c r="P41" i="16"/>
  <c r="R41" i="16"/>
  <c r="O42" i="16"/>
  <c r="E64" i="23" l="1"/>
  <c r="B65" i="23"/>
  <c r="A66" i="23"/>
  <c r="M90" i="16"/>
  <c r="N89" i="16"/>
  <c r="Q41" i="16"/>
  <c r="S41" i="16" s="1"/>
  <c r="T41" i="16"/>
  <c r="O43" i="16"/>
  <c r="P42" i="16"/>
  <c r="R42" i="16"/>
  <c r="B66" i="23" l="1"/>
  <c r="E65" i="23"/>
  <c r="M91" i="16"/>
  <c r="N90" i="16"/>
  <c r="Q42" i="16"/>
  <c r="S42" i="16" s="1"/>
  <c r="T42" i="16"/>
  <c r="O44" i="16"/>
  <c r="P43" i="16"/>
  <c r="R43" i="16"/>
  <c r="E66" i="23" l="1"/>
  <c r="N10" i="23" s="1"/>
  <c r="N91" i="16"/>
  <c r="M92" i="16"/>
  <c r="Q43" i="16"/>
  <c r="S43" i="16" s="1"/>
  <c r="T43" i="16"/>
  <c r="O45" i="16"/>
  <c r="P44" i="16"/>
  <c r="R44" i="16"/>
  <c r="P10" i="23" a="1"/>
  <c r="O10" i="23" a="1"/>
  <c r="R10" i="23" a="1"/>
  <c r="Q10" i="23" a="1"/>
  <c r="R10" i="23" l="1"/>
  <c r="Q10" i="23"/>
  <c r="P10" i="23"/>
  <c r="O10" i="23"/>
  <c r="O25" i="23" s="1"/>
  <c r="Q25" i="23" s="1"/>
  <c r="N92" i="16"/>
  <c r="R60" i="16" s="1"/>
  <c r="Q44" i="16"/>
  <c r="S44" i="16" s="1"/>
  <c r="T44" i="16"/>
  <c r="P45" i="16"/>
  <c r="R45" i="16"/>
  <c r="Q60" i="16" a="1"/>
  <c r="S25" i="23" l="1"/>
  <c r="O24" i="23"/>
  <c r="Q24" i="23" s="1"/>
  <c r="P25" i="23"/>
  <c r="O26" i="23"/>
  <c r="Q26" i="23" s="1"/>
  <c r="Q60" i="16"/>
  <c r="Q75" i="16" s="1"/>
  <c r="Q45" i="16"/>
  <c r="S45" i="16" s="1"/>
  <c r="V10" i="16" s="1"/>
  <c r="T45" i="16"/>
  <c r="S26" i="23" l="1"/>
  <c r="P26" i="23"/>
  <c r="O27" i="23"/>
  <c r="Q27" i="23" s="1"/>
  <c r="S24" i="23"/>
  <c r="O23" i="23"/>
  <c r="Q23" i="23" s="1"/>
  <c r="P24" i="23"/>
  <c r="R75" i="16"/>
  <c r="Q74" i="16"/>
  <c r="Q76" i="16"/>
  <c r="W10" i="16" a="1"/>
  <c r="X10" i="16" a="1"/>
  <c r="Z10" i="16" a="1"/>
  <c r="Y10" i="16" a="1"/>
  <c r="S23" i="23" l="1"/>
  <c r="O22" i="23"/>
  <c r="Q22" i="23" s="1"/>
  <c r="P23" i="23"/>
  <c r="S27" i="23"/>
  <c r="O28" i="23"/>
  <c r="Q28" i="23" s="1"/>
  <c r="P27" i="23"/>
  <c r="R76" i="16"/>
  <c r="Q77" i="16"/>
  <c r="Q73" i="16"/>
  <c r="R74" i="16"/>
  <c r="X10" i="16"/>
  <c r="Z10" i="16"/>
  <c r="Y10" i="16"/>
  <c r="W10" i="16"/>
  <c r="W25" i="16" s="1"/>
  <c r="S22" i="23" l="1"/>
  <c r="P22" i="23"/>
  <c r="O21" i="23"/>
  <c r="Q21" i="23" s="1"/>
  <c r="S28" i="23"/>
  <c r="P28" i="23"/>
  <c r="O29" i="23"/>
  <c r="Q29" i="23" s="1"/>
  <c r="R77" i="16"/>
  <c r="Q78" i="16"/>
  <c r="Q72" i="16"/>
  <c r="R73" i="16"/>
  <c r="W26" i="16"/>
  <c r="X25" i="16"/>
  <c r="Z25" i="16"/>
  <c r="W24" i="16"/>
  <c r="S29" i="23" l="1"/>
  <c r="O30" i="23"/>
  <c r="Q30" i="23" s="1"/>
  <c r="P29" i="23"/>
  <c r="S21" i="23"/>
  <c r="O20" i="23"/>
  <c r="Q20" i="23" s="1"/>
  <c r="P21" i="23"/>
  <c r="Q71" i="16"/>
  <c r="R72" i="16"/>
  <c r="Q79" i="16"/>
  <c r="R78" i="16"/>
  <c r="Y25" i="16"/>
  <c r="AA25" i="16" s="1"/>
  <c r="AB25" i="16"/>
  <c r="X24" i="16"/>
  <c r="Z24" i="16"/>
  <c r="W23" i="16"/>
  <c r="Z26" i="16"/>
  <c r="W27" i="16"/>
  <c r="X26" i="16"/>
  <c r="S20" i="23" l="1"/>
  <c r="P20" i="23"/>
  <c r="O19" i="23"/>
  <c r="Q19" i="23" s="1"/>
  <c r="S30" i="23"/>
  <c r="P30" i="23"/>
  <c r="O31" i="23"/>
  <c r="Q31" i="23" s="1"/>
  <c r="Q80" i="16"/>
  <c r="R79" i="16"/>
  <c r="Q70" i="16"/>
  <c r="R71" i="16"/>
  <c r="Y26" i="16"/>
  <c r="AA26" i="16" s="1"/>
  <c r="AB26" i="16"/>
  <c r="Y24" i="16"/>
  <c r="AA24" i="16" s="1"/>
  <c r="AB24" i="16"/>
  <c r="X23" i="16"/>
  <c r="Z23" i="16"/>
  <c r="W22" i="16"/>
  <c r="X27" i="16"/>
  <c r="W28" i="16"/>
  <c r="Z27" i="16"/>
  <c r="S31" i="23" l="1"/>
  <c r="O32" i="23"/>
  <c r="Q32" i="23" s="1"/>
  <c r="P31" i="23"/>
  <c r="S19" i="23"/>
  <c r="O18" i="23"/>
  <c r="Q18" i="23" s="1"/>
  <c r="P19" i="23"/>
  <c r="Q69" i="16"/>
  <c r="R70" i="16"/>
  <c r="Q81" i="16"/>
  <c r="R80" i="16"/>
  <c r="Y23" i="16"/>
  <c r="AA23" i="16" s="1"/>
  <c r="AB23" i="16"/>
  <c r="Y27" i="16"/>
  <c r="AA27" i="16" s="1"/>
  <c r="AB27" i="16"/>
  <c r="W29" i="16"/>
  <c r="X28" i="16"/>
  <c r="Z28" i="16"/>
  <c r="Z22" i="16"/>
  <c r="W21" i="16"/>
  <c r="X22" i="16"/>
  <c r="S18" i="23" l="1"/>
  <c r="O17" i="23"/>
  <c r="Q17" i="23" s="1"/>
  <c r="P18" i="23"/>
  <c r="S32" i="23"/>
  <c r="O33" i="23"/>
  <c r="Q33" i="23" s="1"/>
  <c r="P32" i="23"/>
  <c r="Q82" i="16"/>
  <c r="R81" i="16"/>
  <c r="Q68" i="16"/>
  <c r="R69" i="16"/>
  <c r="Y22" i="16"/>
  <c r="AA22" i="16" s="1"/>
  <c r="AB22" i="16"/>
  <c r="Y28" i="16"/>
  <c r="AA28" i="16" s="1"/>
  <c r="AB28" i="16"/>
  <c r="W20" i="16"/>
  <c r="X21" i="16"/>
  <c r="Z21" i="16"/>
  <c r="W30" i="16"/>
  <c r="X29" i="16"/>
  <c r="Z29" i="16"/>
  <c r="S33" i="23" l="1"/>
  <c r="P33" i="23"/>
  <c r="O34" i="23"/>
  <c r="Q34" i="23" s="1"/>
  <c r="S17" i="23"/>
  <c r="P17" i="23"/>
  <c r="O16" i="23"/>
  <c r="Q16" i="23" s="1"/>
  <c r="Q67" i="16"/>
  <c r="R68" i="16"/>
  <c r="Q83" i="16"/>
  <c r="R82" i="16"/>
  <c r="Y29" i="16"/>
  <c r="AA29" i="16" s="1"/>
  <c r="AB29" i="16"/>
  <c r="Y21" i="16"/>
  <c r="AA21" i="16" s="1"/>
  <c r="AB21" i="16"/>
  <c r="Z30" i="16"/>
  <c r="W31" i="16"/>
  <c r="X30" i="16"/>
  <c r="X20" i="16"/>
  <c r="W19" i="16"/>
  <c r="Z20" i="16"/>
  <c r="S16" i="23" l="1"/>
  <c r="O15" i="23"/>
  <c r="Q15" i="23" s="1"/>
  <c r="P16" i="23"/>
  <c r="S34" i="23"/>
  <c r="O35" i="23"/>
  <c r="Q35" i="23" s="1"/>
  <c r="P34" i="23"/>
  <c r="Q84" i="16"/>
  <c r="R83" i="16"/>
  <c r="Q66" i="16"/>
  <c r="R67" i="16"/>
  <c r="Y20" i="16"/>
  <c r="AA20" i="16" s="1"/>
  <c r="AB20" i="16"/>
  <c r="Y30" i="16"/>
  <c r="AA30" i="16" s="1"/>
  <c r="AB30" i="16"/>
  <c r="X19" i="16"/>
  <c r="Z19" i="16"/>
  <c r="W18" i="16"/>
  <c r="X31" i="16"/>
  <c r="Z31" i="16"/>
  <c r="W32" i="16"/>
  <c r="S35" i="23" l="1"/>
  <c r="P35" i="23"/>
  <c r="O36" i="23"/>
  <c r="Q36" i="23" s="1"/>
  <c r="S15" i="23"/>
  <c r="O14" i="23"/>
  <c r="Q14" i="23" s="1"/>
  <c r="P15" i="23"/>
  <c r="Q65" i="16"/>
  <c r="R66" i="16"/>
  <c r="Q85" i="16"/>
  <c r="R84" i="16"/>
  <c r="Y31" i="16"/>
  <c r="AA31" i="16" s="1"/>
  <c r="AB31" i="16"/>
  <c r="Y19" i="16"/>
  <c r="AA19" i="16" s="1"/>
  <c r="AB19" i="16"/>
  <c r="X32" i="16"/>
  <c r="Z32" i="16"/>
  <c r="W33" i="16"/>
  <c r="Z18" i="16"/>
  <c r="W17" i="16"/>
  <c r="X18" i="16"/>
  <c r="S36" i="23" l="1"/>
  <c r="O37" i="23"/>
  <c r="Q37" i="23" s="1"/>
  <c r="P36" i="23"/>
  <c r="S14" i="23"/>
  <c r="O13" i="23"/>
  <c r="Q13" i="23" s="1"/>
  <c r="P14" i="23"/>
  <c r="Q86" i="16"/>
  <c r="R85" i="16"/>
  <c r="Q64" i="16"/>
  <c r="R65" i="16"/>
  <c r="Y18" i="16"/>
  <c r="AA18" i="16" s="1"/>
  <c r="AB18" i="16"/>
  <c r="Y32" i="16"/>
  <c r="AA32" i="16" s="1"/>
  <c r="AB32" i="16"/>
  <c r="X33" i="16"/>
  <c r="W34" i="16"/>
  <c r="Z33" i="16"/>
  <c r="W16" i="16"/>
  <c r="X17" i="16"/>
  <c r="Z17" i="16"/>
  <c r="S13" i="23" l="1"/>
  <c r="P13" i="23"/>
  <c r="O12" i="23"/>
  <c r="Q12" i="23" s="1"/>
  <c r="S37" i="23"/>
  <c r="O38" i="23"/>
  <c r="Q38" i="23" s="1"/>
  <c r="P37" i="23"/>
  <c r="R64" i="16"/>
  <c r="Q63" i="16"/>
  <c r="R86" i="16"/>
  <c r="Q87" i="16"/>
  <c r="Y17" i="16"/>
  <c r="AA17" i="16" s="1"/>
  <c r="AB17" i="16"/>
  <c r="Y33" i="16"/>
  <c r="AA33" i="16" s="1"/>
  <c r="AB33" i="16"/>
  <c r="W15" i="16"/>
  <c r="X16" i="16"/>
  <c r="Z16" i="16"/>
  <c r="Z34" i="16"/>
  <c r="W35" i="16"/>
  <c r="X34" i="16"/>
  <c r="O11" i="23" l="1"/>
  <c r="Q11" i="23" s="1"/>
  <c r="P12" i="23"/>
  <c r="S38" i="23"/>
  <c r="P38" i="23"/>
  <c r="O39" i="23"/>
  <c r="Q39" i="23" s="1"/>
  <c r="S12" i="23"/>
  <c r="Q88" i="16"/>
  <c r="R87" i="16"/>
  <c r="Q62" i="16"/>
  <c r="R63" i="16"/>
  <c r="Y34" i="16"/>
  <c r="AA34" i="16" s="1"/>
  <c r="AB34" i="16"/>
  <c r="Y16" i="16"/>
  <c r="AA16" i="16" s="1"/>
  <c r="AB16" i="16"/>
  <c r="X35" i="16"/>
  <c r="Z35" i="16"/>
  <c r="W36" i="16"/>
  <c r="W14" i="16"/>
  <c r="X15" i="16"/>
  <c r="Z15" i="16"/>
  <c r="P11" i="23" l="1"/>
  <c r="S11" i="23"/>
  <c r="S39" i="23"/>
  <c r="P39" i="23"/>
  <c r="O40" i="23"/>
  <c r="Q40" i="23" s="1"/>
  <c r="Q61" i="16"/>
  <c r="R61" i="16" s="1"/>
  <c r="R62" i="16"/>
  <c r="Q89" i="16"/>
  <c r="R88" i="16"/>
  <c r="Y35" i="16"/>
  <c r="AA35" i="16" s="1"/>
  <c r="AB35" i="16"/>
  <c r="Y15" i="16"/>
  <c r="AA15" i="16" s="1"/>
  <c r="AB15" i="16"/>
  <c r="X36" i="16"/>
  <c r="Z36" i="16"/>
  <c r="W37" i="16"/>
  <c r="Z14" i="16"/>
  <c r="X14" i="16"/>
  <c r="W13" i="16"/>
  <c r="S40" i="23" l="1"/>
  <c r="P40" i="23"/>
  <c r="O41" i="23"/>
  <c r="Q41" i="23" s="1"/>
  <c r="Q90" i="16"/>
  <c r="R89" i="16"/>
  <c r="Y14" i="16"/>
  <c r="AA14" i="16" s="1"/>
  <c r="AB14" i="16"/>
  <c r="Y36" i="16"/>
  <c r="AA36" i="16" s="1"/>
  <c r="AB36" i="16"/>
  <c r="X13" i="16"/>
  <c r="Z13" i="16"/>
  <c r="W12" i="16"/>
  <c r="W38" i="16"/>
  <c r="X37" i="16"/>
  <c r="Z37" i="16"/>
  <c r="S41" i="23" l="1"/>
  <c r="P41" i="23"/>
  <c r="O42" i="23"/>
  <c r="Q42" i="23" s="1"/>
  <c r="Q91" i="16"/>
  <c r="R90" i="16"/>
  <c r="Y37" i="16"/>
  <c r="AA37" i="16" s="1"/>
  <c r="AB37" i="16"/>
  <c r="Y13" i="16"/>
  <c r="AA13" i="16" s="1"/>
  <c r="AB13" i="16"/>
  <c r="X12" i="16"/>
  <c r="Z12" i="16"/>
  <c r="W11" i="16"/>
  <c r="Z38" i="16"/>
  <c r="W39" i="16"/>
  <c r="X38" i="16"/>
  <c r="S42" i="23" l="1"/>
  <c r="O43" i="23"/>
  <c r="Q43" i="23" s="1"/>
  <c r="P42" i="23"/>
  <c r="Q92" i="16"/>
  <c r="R92" i="16" s="1"/>
  <c r="R91" i="16"/>
  <c r="Y38" i="16"/>
  <c r="AA38" i="16" s="1"/>
  <c r="AB38" i="16"/>
  <c r="Y12" i="16"/>
  <c r="AA12" i="16" s="1"/>
  <c r="AB12" i="16"/>
  <c r="X39" i="16"/>
  <c r="W40" i="16"/>
  <c r="Z39" i="16"/>
  <c r="X11" i="16"/>
  <c r="AB11" i="16" s="1"/>
  <c r="Z11" i="16"/>
  <c r="S43" i="23" l="1"/>
  <c r="P43" i="23"/>
  <c r="O44" i="23"/>
  <c r="Q44" i="23" s="1"/>
  <c r="V60" i="16"/>
  <c r="P3" i="16" s="1"/>
  <c r="Y39" i="16"/>
  <c r="AA39" i="16" s="1"/>
  <c r="AB39" i="16"/>
  <c r="Y11" i="16"/>
  <c r="AA11" i="16" s="1"/>
  <c r="W41" i="16"/>
  <c r="X40" i="16"/>
  <c r="Z40" i="16"/>
  <c r="S44" i="23" l="1"/>
  <c r="P44" i="23"/>
  <c r="O45" i="23"/>
  <c r="Q45" i="23" s="1"/>
  <c r="Y40" i="16"/>
  <c r="AA40" i="16" s="1"/>
  <c r="AB40" i="16"/>
  <c r="W42" i="16"/>
  <c r="X41" i="16"/>
  <c r="Z41" i="16"/>
  <c r="S45" i="23" l="1"/>
  <c r="V10" i="23" s="1"/>
  <c r="P45" i="23"/>
  <c r="Y41" i="16"/>
  <c r="AA41" i="16" s="1"/>
  <c r="AB41" i="16"/>
  <c r="Z42" i="16"/>
  <c r="W43" i="16"/>
  <c r="X42" i="16"/>
  <c r="X10" i="23" a="1"/>
  <c r="X10" i="23" l="1"/>
  <c r="Y42" i="16"/>
  <c r="AA42" i="16" s="1"/>
  <c r="AB42" i="16"/>
  <c r="X43" i="16"/>
  <c r="Z43" i="16"/>
  <c r="W44" i="16"/>
  <c r="Y10" i="23" a="1"/>
  <c r="Z10" i="23" a="1"/>
  <c r="W10" i="23" a="1"/>
  <c r="Y10" i="23" l="1"/>
  <c r="Z10" i="23"/>
  <c r="W10" i="23"/>
  <c r="W25" i="23" s="1"/>
  <c r="Y43" i="16"/>
  <c r="AA43" i="16" s="1"/>
  <c r="AB43" i="16"/>
  <c r="X44" i="16"/>
  <c r="Z44" i="16"/>
  <c r="W45" i="16"/>
  <c r="W26" i="23" l="1"/>
  <c r="Y26" i="23" s="1"/>
  <c r="AA26" i="23" s="1"/>
  <c r="Y25" i="23"/>
  <c r="AA25" i="23" s="1"/>
  <c r="W24" i="23"/>
  <c r="X25" i="23"/>
  <c r="Y44" i="16"/>
  <c r="AA44" i="16" s="1"/>
  <c r="AB44" i="16"/>
  <c r="X45" i="16"/>
  <c r="Z45" i="16"/>
  <c r="W27" i="23" l="1"/>
  <c r="Y27" i="23" s="1"/>
  <c r="AA27" i="23" s="1"/>
  <c r="X26" i="23"/>
  <c r="Y24" i="23"/>
  <c r="AA24" i="23" s="1"/>
  <c r="W23" i="23"/>
  <c r="X24" i="23"/>
  <c r="Y45" i="16"/>
  <c r="AA45" i="16" s="1"/>
  <c r="AD10" i="16" s="1"/>
  <c r="AB45" i="16"/>
  <c r="AE10" i="16" a="1"/>
  <c r="X27" i="23" l="1"/>
  <c r="W28" i="23"/>
  <c r="Y28" i="23" s="1"/>
  <c r="AA28" i="23" s="1"/>
  <c r="Y23" i="23"/>
  <c r="AA23" i="23" s="1"/>
  <c r="X23" i="23"/>
  <c r="W22" i="23"/>
  <c r="AE10" i="16"/>
  <c r="AE25" i="16" s="1"/>
  <c r="X28" i="23" l="1"/>
  <c r="W29" i="23"/>
  <c r="Y29" i="23" s="1"/>
  <c r="AA29" i="23" s="1"/>
  <c r="X22" i="23"/>
  <c r="Y22" i="23"/>
  <c r="AA22" i="23" s="1"/>
  <c r="W21" i="23"/>
  <c r="AF25" i="16"/>
  <c r="AH25" i="16"/>
  <c r="AE26" i="16"/>
  <c r="AE24" i="16"/>
  <c r="W30" i="23" l="1"/>
  <c r="Y30" i="23" s="1"/>
  <c r="AA30" i="23" s="1"/>
  <c r="X29" i="23"/>
  <c r="Y21" i="23"/>
  <c r="AA21" i="23" s="1"/>
  <c r="X21" i="23"/>
  <c r="W20" i="23"/>
  <c r="AG25" i="16"/>
  <c r="AI25" i="16" s="1"/>
  <c r="AJ25" i="16"/>
  <c r="AE23" i="16"/>
  <c r="AF24" i="16"/>
  <c r="AH24" i="16"/>
  <c r="AF26" i="16"/>
  <c r="AH26" i="16"/>
  <c r="AE27" i="16"/>
  <c r="W31" i="23" l="1"/>
  <c r="Y31" i="23" s="1"/>
  <c r="AA31" i="23" s="1"/>
  <c r="X30" i="23"/>
  <c r="Y20" i="23"/>
  <c r="AA20" i="23" s="1"/>
  <c r="X20" i="23"/>
  <c r="W19" i="23"/>
  <c r="AG26" i="16"/>
  <c r="AI26" i="16" s="1"/>
  <c r="AJ26" i="16"/>
  <c r="AG24" i="16"/>
  <c r="AI24" i="16" s="1"/>
  <c r="AJ24" i="16"/>
  <c r="AH27" i="16"/>
  <c r="AE28" i="16"/>
  <c r="AF27" i="16"/>
  <c r="AF23" i="16"/>
  <c r="AH23" i="16"/>
  <c r="AE22" i="16"/>
  <c r="W32" i="23" l="1"/>
  <c r="Y32" i="23" s="1"/>
  <c r="AA32" i="23" s="1"/>
  <c r="X31" i="23"/>
  <c r="Y19" i="23"/>
  <c r="AA19" i="23" s="1"/>
  <c r="W18" i="23"/>
  <c r="X19" i="23"/>
  <c r="AG23" i="16"/>
  <c r="AI23" i="16" s="1"/>
  <c r="AJ23" i="16"/>
  <c r="AG27" i="16"/>
  <c r="AI27" i="16" s="1"/>
  <c r="AJ27" i="16"/>
  <c r="AE21" i="16"/>
  <c r="AF22" i="16"/>
  <c r="AH22" i="16"/>
  <c r="AF28" i="16"/>
  <c r="AH28" i="16"/>
  <c r="AE29" i="16"/>
  <c r="W33" i="23" l="1"/>
  <c r="Y33" i="23" s="1"/>
  <c r="AA33" i="23" s="1"/>
  <c r="X32" i="23"/>
  <c r="Y18" i="23"/>
  <c r="AA18" i="23" s="1"/>
  <c r="X18" i="23"/>
  <c r="W17" i="23"/>
  <c r="AG28" i="16"/>
  <c r="AI28" i="16" s="1"/>
  <c r="AJ28" i="16"/>
  <c r="AG22" i="16"/>
  <c r="AI22" i="16" s="1"/>
  <c r="AJ22" i="16"/>
  <c r="AE30" i="16"/>
  <c r="AF29" i="16"/>
  <c r="AH29" i="16"/>
  <c r="AF21" i="16"/>
  <c r="AH21" i="16"/>
  <c r="AE20" i="16"/>
  <c r="X33" i="23" l="1"/>
  <c r="W34" i="23"/>
  <c r="Y34" i="23" s="1"/>
  <c r="AA34" i="23" s="1"/>
  <c r="Y17" i="23"/>
  <c r="AA17" i="23" s="1"/>
  <c r="X17" i="23"/>
  <c r="W16" i="23"/>
  <c r="AG29" i="16"/>
  <c r="AI29" i="16" s="1"/>
  <c r="AJ29" i="16"/>
  <c r="AG21" i="16"/>
  <c r="AI21" i="16" s="1"/>
  <c r="AJ21" i="16"/>
  <c r="AH20" i="16"/>
  <c r="AE19" i="16"/>
  <c r="AF20" i="16"/>
  <c r="AF30" i="16"/>
  <c r="AH30" i="16"/>
  <c r="AE31" i="16"/>
  <c r="W35" i="23" l="1"/>
  <c r="Y35" i="23" s="1"/>
  <c r="AA35" i="23" s="1"/>
  <c r="X34" i="23"/>
  <c r="Y16" i="23"/>
  <c r="AA16" i="23" s="1"/>
  <c r="W15" i="23"/>
  <c r="X16" i="23"/>
  <c r="AG30" i="16"/>
  <c r="AI30" i="16" s="1"/>
  <c r="AJ30" i="16"/>
  <c r="AG20" i="16"/>
  <c r="AI20" i="16" s="1"/>
  <c r="AJ20" i="16"/>
  <c r="AF31" i="16"/>
  <c r="AH31" i="16"/>
  <c r="AE32" i="16"/>
  <c r="AE18" i="16"/>
  <c r="AF19" i="16"/>
  <c r="AH19" i="16"/>
  <c r="X35" i="23" l="1"/>
  <c r="W36" i="23"/>
  <c r="Y36" i="23" s="1"/>
  <c r="AA36" i="23" s="1"/>
  <c r="X15" i="23"/>
  <c r="Y15" i="23"/>
  <c r="AA15" i="23" s="1"/>
  <c r="W14" i="23"/>
  <c r="AG19" i="16"/>
  <c r="AI19" i="16" s="1"/>
  <c r="AJ19" i="16"/>
  <c r="AG31" i="16"/>
  <c r="AI31" i="16" s="1"/>
  <c r="AJ31" i="16"/>
  <c r="AF18" i="16"/>
  <c r="AH18" i="16"/>
  <c r="AE17" i="16"/>
  <c r="AH32" i="16"/>
  <c r="AE33" i="16"/>
  <c r="AF32" i="16"/>
  <c r="X36" i="23" l="1"/>
  <c r="W37" i="23"/>
  <c r="Y37" i="23" s="1"/>
  <c r="AA37" i="23" s="1"/>
  <c r="Y14" i="23"/>
  <c r="AA14" i="23" s="1"/>
  <c r="X14" i="23"/>
  <c r="W13" i="23"/>
  <c r="AG32" i="16"/>
  <c r="AI32" i="16" s="1"/>
  <c r="AJ32" i="16"/>
  <c r="AG18" i="16"/>
  <c r="AI18" i="16" s="1"/>
  <c r="AJ18" i="16"/>
  <c r="AF33" i="16"/>
  <c r="AH33" i="16"/>
  <c r="AE34" i="16"/>
  <c r="AE16" i="16"/>
  <c r="AF17" i="16"/>
  <c r="AH17" i="16"/>
  <c r="W38" i="23" l="1"/>
  <c r="Y38" i="23" s="1"/>
  <c r="AA38" i="23" s="1"/>
  <c r="X37" i="23"/>
  <c r="W12" i="23"/>
  <c r="Y12" i="23" s="1"/>
  <c r="AA12" i="23" s="1"/>
  <c r="Y13" i="23"/>
  <c r="AA13" i="23" s="1"/>
  <c r="X13" i="23"/>
  <c r="AG17" i="16"/>
  <c r="AI17" i="16" s="1"/>
  <c r="AJ17" i="16"/>
  <c r="AG33" i="16"/>
  <c r="AI33" i="16" s="1"/>
  <c r="AJ33" i="16"/>
  <c r="AF16" i="16"/>
  <c r="AH16" i="16"/>
  <c r="AE15" i="16"/>
  <c r="AE35" i="16"/>
  <c r="AF34" i="16"/>
  <c r="AH34" i="16"/>
  <c r="X38" i="23" l="1"/>
  <c r="W39" i="23"/>
  <c r="Y39" i="23" s="1"/>
  <c r="AA39" i="23" s="1"/>
  <c r="W11" i="23"/>
  <c r="X12" i="23"/>
  <c r="AG34" i="16"/>
  <c r="AI34" i="16" s="1"/>
  <c r="AJ34" i="16"/>
  <c r="AG16" i="16"/>
  <c r="AI16" i="16" s="1"/>
  <c r="AJ16" i="16"/>
  <c r="AF35" i="16"/>
  <c r="AH35" i="16"/>
  <c r="AE36" i="16"/>
  <c r="AH15" i="16"/>
  <c r="AE14" i="16"/>
  <c r="AF15" i="16"/>
  <c r="X39" i="23" l="1"/>
  <c r="W40" i="23"/>
  <c r="Y40" i="23" s="1"/>
  <c r="AA40" i="23" s="1"/>
  <c r="Y11" i="23"/>
  <c r="AA11" i="23" s="1"/>
  <c r="X11" i="23"/>
  <c r="AG15" i="16"/>
  <c r="AI15" i="16" s="1"/>
  <c r="AJ15" i="16"/>
  <c r="AG35" i="16"/>
  <c r="AI35" i="16" s="1"/>
  <c r="AJ35" i="16"/>
  <c r="AF36" i="16"/>
  <c r="AH36" i="16"/>
  <c r="AE37" i="16"/>
  <c r="AF14" i="16"/>
  <c r="AH14" i="16"/>
  <c r="AE13" i="16"/>
  <c r="W41" i="23" l="1"/>
  <c r="Y41" i="23" s="1"/>
  <c r="AA41" i="23" s="1"/>
  <c r="X40" i="23"/>
  <c r="AG14" i="16"/>
  <c r="AI14" i="16" s="1"/>
  <c r="AJ14" i="16"/>
  <c r="AG36" i="16"/>
  <c r="AI36" i="16" s="1"/>
  <c r="AJ36" i="16"/>
  <c r="AF13" i="16"/>
  <c r="AH13" i="16"/>
  <c r="AE12" i="16"/>
  <c r="AF37" i="16"/>
  <c r="AH37" i="16"/>
  <c r="AE38" i="16"/>
  <c r="W42" i="23" l="1"/>
  <c r="Y42" i="23" s="1"/>
  <c r="AA42" i="23" s="1"/>
  <c r="X41" i="23"/>
  <c r="AG37" i="16"/>
  <c r="AI37" i="16" s="1"/>
  <c r="AJ37" i="16"/>
  <c r="AG13" i="16"/>
  <c r="AI13" i="16" s="1"/>
  <c r="AJ13" i="16"/>
  <c r="AF38" i="16"/>
  <c r="AH38" i="16"/>
  <c r="AE39" i="16"/>
  <c r="AE11" i="16"/>
  <c r="AF12" i="16"/>
  <c r="AH12" i="16"/>
  <c r="W43" i="23" l="1"/>
  <c r="Y43" i="23" s="1"/>
  <c r="AA43" i="23" s="1"/>
  <c r="X42" i="23"/>
  <c r="AG12" i="16"/>
  <c r="AI12" i="16" s="1"/>
  <c r="AJ12" i="16"/>
  <c r="AG38" i="16"/>
  <c r="AI38" i="16" s="1"/>
  <c r="AJ38" i="16"/>
  <c r="AF11" i="16"/>
  <c r="AG11" i="16" s="1"/>
  <c r="AH11" i="16"/>
  <c r="AH39" i="16"/>
  <c r="AE40" i="16"/>
  <c r="AF39" i="16"/>
  <c r="X43" i="23" l="1"/>
  <c r="W44" i="23"/>
  <c r="Y44" i="23" s="1"/>
  <c r="AA44" i="23" s="1"/>
  <c r="AG39" i="16"/>
  <c r="AI39" i="16" s="1"/>
  <c r="AJ39" i="16"/>
  <c r="AI11" i="16"/>
  <c r="AJ11" i="16"/>
  <c r="AF40" i="16"/>
  <c r="AH40" i="16"/>
  <c r="AE41" i="16"/>
  <c r="X44" i="23" l="1"/>
  <c r="W45" i="23"/>
  <c r="Y45" i="23" s="1"/>
  <c r="AA45" i="23" s="1"/>
  <c r="AD10" i="23" s="1"/>
  <c r="AG40" i="16"/>
  <c r="AI40" i="16" s="1"/>
  <c r="AJ40" i="16"/>
  <c r="AE42" i="16"/>
  <c r="AF41" i="16"/>
  <c r="AH41" i="16"/>
  <c r="AE10" i="23" a="1"/>
  <c r="X45" i="23" l="1"/>
  <c r="AE10" i="23"/>
  <c r="AE25" i="23" s="1"/>
  <c r="AG25" i="23" s="1"/>
  <c r="AG41" i="16"/>
  <c r="AI41" i="16" s="1"/>
  <c r="AJ41" i="16"/>
  <c r="AF42" i="16"/>
  <c r="AH42" i="16"/>
  <c r="AE43" i="16"/>
  <c r="AI25" i="23" l="1"/>
  <c r="AE24" i="23"/>
  <c r="AG24" i="23" s="1"/>
  <c r="AE26" i="23"/>
  <c r="AG26" i="23" s="1"/>
  <c r="AF25" i="23"/>
  <c r="AG42" i="16"/>
  <c r="AI42" i="16" s="1"/>
  <c r="AJ42" i="16"/>
  <c r="AF43" i="16"/>
  <c r="AH43" i="16"/>
  <c r="AE44" i="16"/>
  <c r="AI26" i="23" l="1"/>
  <c r="AE27" i="23"/>
  <c r="AG27" i="23" s="1"/>
  <c r="AF26" i="23"/>
  <c r="AI24" i="23"/>
  <c r="AE23" i="23"/>
  <c r="AG23" i="23" s="1"/>
  <c r="AF24" i="23"/>
  <c r="AG43" i="16"/>
  <c r="AI43" i="16" s="1"/>
  <c r="AJ43" i="16"/>
  <c r="AH44" i="16"/>
  <c r="AE45" i="16"/>
  <c r="AF44" i="16"/>
  <c r="AI23" i="23" l="1"/>
  <c r="AE22" i="23"/>
  <c r="AG22" i="23" s="1"/>
  <c r="AF23" i="23"/>
  <c r="AI27" i="23"/>
  <c r="AF27" i="23"/>
  <c r="AE28" i="23"/>
  <c r="AG28" i="23" s="1"/>
  <c r="AG44" i="16"/>
  <c r="AI44" i="16" s="1"/>
  <c r="AJ44" i="16"/>
  <c r="AF45" i="16"/>
  <c r="AH45" i="16"/>
  <c r="AI28" i="23" l="1"/>
  <c r="AE29" i="23"/>
  <c r="AG29" i="23" s="1"/>
  <c r="AF28" i="23"/>
  <c r="AI22" i="23"/>
  <c r="AF22" i="23"/>
  <c r="AE21" i="23"/>
  <c r="AG21" i="23" s="1"/>
  <c r="AG45" i="16"/>
  <c r="AI45" i="16" s="1"/>
  <c r="AL10" i="16" s="1"/>
  <c r="AJ45" i="16"/>
  <c r="AM10" i="16" a="1"/>
  <c r="AM10" i="16" l="1"/>
  <c r="AI21" i="23"/>
  <c r="AF21" i="23"/>
  <c r="AE20" i="23"/>
  <c r="AG20" i="23" s="1"/>
  <c r="AI29" i="23"/>
  <c r="AE30" i="23"/>
  <c r="AG30" i="23" s="1"/>
  <c r="AF29" i="23"/>
  <c r="AQ10" i="16" a="1"/>
  <c r="AO10" i="16" a="1"/>
  <c r="AP10" i="16" a="1"/>
  <c r="AN10" i="16" a="1"/>
  <c r="AQ10" i="16" l="1"/>
  <c r="O3" i="16" s="1"/>
  <c r="H1" i="21" s="1"/>
  <c r="AI30" i="23"/>
  <c r="AE31" i="23"/>
  <c r="AG31" i="23" s="1"/>
  <c r="AF30" i="23"/>
  <c r="AI20" i="23"/>
  <c r="AF20" i="23"/>
  <c r="AE19" i="23"/>
  <c r="AG19" i="23" s="1"/>
  <c r="AP10" i="16"/>
  <c r="AO10" i="16"/>
  <c r="AN10" i="16"/>
  <c r="M3" i="16" l="1"/>
  <c r="F13" i="21" s="1"/>
  <c r="AI19" i="23"/>
  <c r="AE18" i="23"/>
  <c r="AG18" i="23" s="1"/>
  <c r="AF19" i="23"/>
  <c r="AI31" i="23"/>
  <c r="AE32" i="23"/>
  <c r="AG32" i="23" s="1"/>
  <c r="AF31" i="23"/>
  <c r="N3" i="16"/>
  <c r="F24" i="21" l="1"/>
  <c r="F62" i="21"/>
  <c r="F370" i="21"/>
  <c r="F50" i="21"/>
  <c r="F105" i="21"/>
  <c r="F192" i="21"/>
  <c r="F249" i="21"/>
  <c r="F61" i="21"/>
  <c r="F248" i="21"/>
  <c r="F219" i="21"/>
  <c r="F168" i="21"/>
  <c r="F131" i="21"/>
  <c r="F207" i="21"/>
  <c r="F189" i="21"/>
  <c r="F43" i="21"/>
  <c r="F272" i="21"/>
  <c r="F195" i="21"/>
  <c r="F119" i="21"/>
  <c r="F118" i="21"/>
  <c r="F362" i="21"/>
  <c r="F12" i="21"/>
  <c r="F77" i="21"/>
  <c r="F251" i="21"/>
  <c r="F103" i="21"/>
  <c r="F226" i="21"/>
  <c r="F224" i="21"/>
  <c r="F350" i="21"/>
  <c r="F67" i="21"/>
  <c r="F69" i="21"/>
  <c r="F54" i="21"/>
  <c r="F201" i="21"/>
  <c r="F78" i="21"/>
  <c r="F369" i="21"/>
  <c r="F174" i="21"/>
  <c r="F351" i="21"/>
  <c r="F211" i="21"/>
  <c r="F209" i="21"/>
  <c r="F338" i="21"/>
  <c r="F186" i="21"/>
  <c r="F84" i="21"/>
  <c r="F339" i="21"/>
  <c r="F273" i="21"/>
  <c r="F236" i="21"/>
  <c r="F271" i="21"/>
  <c r="F341" i="21"/>
  <c r="F177" i="21"/>
  <c r="F204" i="21"/>
  <c r="F162" i="21"/>
  <c r="F269" i="21"/>
  <c r="F136" i="21"/>
  <c r="F294" i="21"/>
  <c r="F83" i="21"/>
  <c r="F239" i="21"/>
  <c r="F311" i="21"/>
  <c r="F72" i="21"/>
  <c r="F139" i="21"/>
  <c r="F213" i="21"/>
  <c r="F196" i="21"/>
  <c r="F191" i="21"/>
  <c r="F290" i="21"/>
  <c r="F367" i="21"/>
  <c r="F300" i="21"/>
  <c r="F141" i="21"/>
  <c r="F286" i="21"/>
  <c r="F342" i="21"/>
  <c r="F73" i="21"/>
  <c r="F197" i="21"/>
  <c r="F16" i="21"/>
  <c r="F149" i="21"/>
  <c r="F37" i="21"/>
  <c r="F166" i="21"/>
  <c r="F114" i="21"/>
  <c r="F25" i="21"/>
  <c r="F116" i="21"/>
  <c r="F107" i="21"/>
  <c r="F45" i="21"/>
  <c r="F324" i="21"/>
  <c r="F104" i="21"/>
  <c r="F102" i="21"/>
  <c r="F178" i="21"/>
  <c r="F344" i="21"/>
  <c r="F86" i="21"/>
  <c r="F74" i="21"/>
  <c r="F15" i="21"/>
  <c r="F340" i="21"/>
  <c r="F308" i="21"/>
  <c r="F264" i="21"/>
  <c r="F353" i="21"/>
  <c r="F42" i="21"/>
  <c r="F285" i="21"/>
  <c r="F262" i="21"/>
  <c r="F276" i="21"/>
  <c r="F320" i="21"/>
  <c r="F305" i="21"/>
  <c r="F360" i="21"/>
  <c r="F33" i="21"/>
  <c r="F32" i="21"/>
  <c r="F94" i="21"/>
  <c r="F123" i="21"/>
  <c r="F146" i="21"/>
  <c r="F277" i="21"/>
  <c r="F171" i="21"/>
  <c r="F283" i="21"/>
  <c r="F106" i="21"/>
  <c r="F172" i="21"/>
  <c r="F52" i="21"/>
  <c r="F111" i="21"/>
  <c r="F325" i="21"/>
  <c r="F41" i="21"/>
  <c r="F59" i="21"/>
  <c r="F335" i="21"/>
  <c r="F68" i="21"/>
  <c r="F96" i="21"/>
  <c r="F175" i="21"/>
  <c r="F159" i="21"/>
  <c r="F266" i="21"/>
  <c r="F313" i="21"/>
  <c r="F71" i="21"/>
  <c r="F321" i="21"/>
  <c r="F34" i="21"/>
  <c r="F147" i="21"/>
  <c r="F126" i="21"/>
  <c r="F327" i="21"/>
  <c r="F154" i="21"/>
  <c r="F280" i="21"/>
  <c r="F319" i="21"/>
  <c r="F194" i="21"/>
  <c r="F202" i="21"/>
  <c r="F222" i="21"/>
  <c r="F328" i="21"/>
  <c r="F138" i="21"/>
  <c r="F261" i="21"/>
  <c r="F306" i="21"/>
  <c r="F346" i="21"/>
  <c r="F18" i="21"/>
  <c r="F17" i="21"/>
  <c r="F79" i="21"/>
  <c r="F134" i="21"/>
  <c r="F167" i="21"/>
  <c r="F155" i="21"/>
  <c r="F187" i="21"/>
  <c r="F220" i="21"/>
  <c r="F268" i="21"/>
  <c r="F93" i="21"/>
  <c r="F199" i="21"/>
  <c r="F246" i="21"/>
  <c r="F227" i="21"/>
  <c r="F259" i="21"/>
  <c r="F304" i="21"/>
  <c r="F303" i="21"/>
  <c r="F372" i="21"/>
  <c r="F46" i="21"/>
  <c r="F27" i="21"/>
  <c r="F122" i="21"/>
  <c r="F205" i="21"/>
  <c r="F190" i="21"/>
  <c r="F278" i="21"/>
  <c r="F156" i="21"/>
  <c r="F357" i="21"/>
  <c r="F36" i="21"/>
  <c r="F176" i="21"/>
  <c r="F376" i="21"/>
  <c r="F203" i="21"/>
  <c r="F89" i="21"/>
  <c r="F355" i="21"/>
  <c r="F299" i="21"/>
  <c r="F28" i="21"/>
  <c r="F92" i="21"/>
  <c r="F21" i="21"/>
  <c r="F53" i="21"/>
  <c r="F81" i="21"/>
  <c r="F161" i="21"/>
  <c r="F160" i="21"/>
  <c r="F242" i="21"/>
  <c r="F301" i="21"/>
  <c r="F336" i="21"/>
  <c r="F30" i="21"/>
  <c r="F371" i="21"/>
  <c r="F293" i="21"/>
  <c r="F334" i="21"/>
  <c r="F19" i="21"/>
  <c r="F48" i="21"/>
  <c r="F47" i="21"/>
  <c r="F112" i="21"/>
  <c r="F135" i="21"/>
  <c r="F289" i="21"/>
  <c r="F270" i="21"/>
  <c r="F252" i="21"/>
  <c r="F247" i="21"/>
  <c r="F291" i="21"/>
  <c r="F217" i="21"/>
  <c r="F125" i="21"/>
  <c r="F120" i="21"/>
  <c r="F152" i="21"/>
  <c r="F185" i="21"/>
  <c r="F322" i="21"/>
  <c r="F58" i="21"/>
  <c r="F184" i="21"/>
  <c r="F228" i="21"/>
  <c r="F212" i="21"/>
  <c r="F244" i="21"/>
  <c r="F288" i="21"/>
  <c r="F287" i="21"/>
  <c r="F358" i="21"/>
  <c r="F31" i="21"/>
  <c r="F374" i="21"/>
  <c r="F98" i="21"/>
  <c r="F181" i="21"/>
  <c r="F229" i="21"/>
  <c r="F130" i="21"/>
  <c r="F375" i="21"/>
  <c r="F279" i="21"/>
  <c r="F75" i="21"/>
  <c r="F230" i="21"/>
  <c r="F373" i="21"/>
  <c r="F145" i="21"/>
  <c r="F88" i="21"/>
  <c r="F275" i="21"/>
  <c r="F238" i="21"/>
  <c r="F310" i="21"/>
  <c r="F44" i="21"/>
  <c r="F356" i="21"/>
  <c r="F296" i="21"/>
  <c r="F60" i="21"/>
  <c r="F188" i="21"/>
  <c r="F250" i="21"/>
  <c r="F57" i="21"/>
  <c r="F70" i="21"/>
  <c r="F150" i="21"/>
  <c r="F260" i="21"/>
  <c r="F20" i="21"/>
  <c r="F115" i="21"/>
  <c r="F225" i="21"/>
  <c r="F359" i="21"/>
  <c r="F95" i="21"/>
  <c r="F223" i="21"/>
  <c r="F267" i="21"/>
  <c r="F63" i="21"/>
  <c r="F218" i="21"/>
  <c r="F361" i="21"/>
  <c r="F133" i="21"/>
  <c r="F165" i="21"/>
  <c r="F35" i="21"/>
  <c r="F240" i="21"/>
  <c r="F113" i="21"/>
  <c r="F282" i="21"/>
  <c r="F366" i="21"/>
  <c r="F298" i="21"/>
  <c r="F263" i="21"/>
  <c r="F29" i="21"/>
  <c r="F153" i="21"/>
  <c r="F215" i="21"/>
  <c r="F23" i="21"/>
  <c r="F55" i="21"/>
  <c r="F132" i="21"/>
  <c r="F245" i="21"/>
  <c r="F363" i="21"/>
  <c r="F100" i="21"/>
  <c r="F210" i="21"/>
  <c r="F345" i="21"/>
  <c r="F80" i="21"/>
  <c r="F208" i="21"/>
  <c r="F255" i="21"/>
  <c r="F51" i="21"/>
  <c r="F206" i="21"/>
  <c r="F349" i="21"/>
  <c r="F85" i="21"/>
  <c r="F169" i="21"/>
  <c r="F157" i="21"/>
  <c r="F38" i="21"/>
  <c r="F91" i="21"/>
  <c r="F309" i="21"/>
  <c r="F235" i="21"/>
  <c r="F233" i="21"/>
  <c r="F40" i="21"/>
  <c r="F323" i="21"/>
  <c r="F56" i="21"/>
  <c r="F76" i="21"/>
  <c r="F343" i="21"/>
  <c r="F312" i="21"/>
  <c r="F232" i="21"/>
  <c r="F22" i="21"/>
  <c r="F198" i="21"/>
  <c r="F364" i="21"/>
  <c r="F179" i="21"/>
  <c r="F347" i="21"/>
  <c r="F163" i="21"/>
  <c r="F332" i="21"/>
  <c r="F144" i="21"/>
  <c r="F331" i="21"/>
  <c r="F143" i="21"/>
  <c r="F330" i="21"/>
  <c r="F142" i="21"/>
  <c r="F243" i="21"/>
  <c r="F99" i="21"/>
  <c r="F314" i="21"/>
  <c r="F170" i="21"/>
  <c r="F26" i="21"/>
  <c r="F253" i="21"/>
  <c r="F109" i="21"/>
  <c r="F326" i="21"/>
  <c r="F182" i="21"/>
  <c r="F265" i="21"/>
  <c r="F121" i="21"/>
  <c r="F368" i="21"/>
  <c r="F281" i="21"/>
  <c r="F200" i="21"/>
  <c r="F108" i="21"/>
  <c r="F354" i="21"/>
  <c r="F295" i="21"/>
  <c r="F90" i="21"/>
  <c r="F352" i="21"/>
  <c r="F315" i="21"/>
  <c r="F284" i="21"/>
  <c r="F214" i="21"/>
  <c r="F365" i="21"/>
  <c r="F180" i="21"/>
  <c r="F348" i="21"/>
  <c r="F164" i="21"/>
  <c r="F333" i="21"/>
  <c r="F148" i="21"/>
  <c r="F318" i="21"/>
  <c r="F129" i="21"/>
  <c r="F317" i="21"/>
  <c r="F128" i="21"/>
  <c r="F316" i="21"/>
  <c r="F127" i="21"/>
  <c r="F231" i="21"/>
  <c r="F87" i="21"/>
  <c r="F302" i="21"/>
  <c r="F158" i="21"/>
  <c r="F14" i="21"/>
  <c r="F241" i="21"/>
  <c r="F97" i="21"/>
  <c r="F237" i="21"/>
  <c r="F124" i="21"/>
  <c r="F329" i="21"/>
  <c r="F297" i="21"/>
  <c r="F221" i="21"/>
  <c r="F140" i="21"/>
  <c r="F234" i="21"/>
  <c r="F216" i="21"/>
  <c r="F173" i="21"/>
  <c r="F137" i="21"/>
  <c r="F151" i="21"/>
  <c r="F307" i="21"/>
  <c r="F117" i="21"/>
  <c r="F292" i="21"/>
  <c r="F101" i="21"/>
  <c r="F274" i="21"/>
  <c r="F82" i="21"/>
  <c r="F258" i="21"/>
  <c r="F66" i="21"/>
  <c r="F257" i="21"/>
  <c r="F65" i="21"/>
  <c r="F256" i="21"/>
  <c r="F64" i="21"/>
  <c r="F183" i="21"/>
  <c r="F39" i="21"/>
  <c r="F254" i="21"/>
  <c r="F110" i="21"/>
  <c r="F337" i="21"/>
  <c r="F193" i="21"/>
  <c r="F49" i="21"/>
  <c r="AI32" i="23"/>
  <c r="AF32" i="23"/>
  <c r="AE33" i="23"/>
  <c r="AG33" i="23" s="1"/>
  <c r="AI18" i="23"/>
  <c r="AF18" i="23"/>
  <c r="AE17" i="23"/>
  <c r="AG17" i="23" s="1"/>
  <c r="B8" i="13"/>
  <c r="C12" i="13" s="1"/>
  <c r="C12" i="21" l="1"/>
  <c r="C13" i="13"/>
  <c r="C25" i="13"/>
  <c r="C37" i="13"/>
  <c r="C49" i="13"/>
  <c r="C61" i="13"/>
  <c r="C73" i="13"/>
  <c r="C85" i="13"/>
  <c r="C97" i="13"/>
  <c r="C109" i="13"/>
  <c r="C121" i="13"/>
  <c r="C133" i="13"/>
  <c r="C145" i="13"/>
  <c r="C157" i="13"/>
  <c r="C169" i="13"/>
  <c r="C181" i="13"/>
  <c r="C193" i="13"/>
  <c r="C205" i="13"/>
  <c r="C217" i="13"/>
  <c r="C229" i="13"/>
  <c r="C241" i="13"/>
  <c r="C253" i="13"/>
  <c r="C265" i="13"/>
  <c r="C277" i="13"/>
  <c r="C289" i="13"/>
  <c r="C301" i="13"/>
  <c r="C313" i="13"/>
  <c r="C325" i="13"/>
  <c r="C337" i="13"/>
  <c r="C349" i="13"/>
  <c r="C361" i="13"/>
  <c r="C373" i="13"/>
  <c r="C68" i="13"/>
  <c r="C200" i="13"/>
  <c r="C320" i="13"/>
  <c r="C69" i="13"/>
  <c r="C117" i="13"/>
  <c r="C189" i="13"/>
  <c r="C237" i="13"/>
  <c r="C321" i="13"/>
  <c r="C14" i="13"/>
  <c r="C26" i="13"/>
  <c r="C38" i="13"/>
  <c r="C50" i="13"/>
  <c r="C62" i="13"/>
  <c r="C74" i="13"/>
  <c r="C86" i="13"/>
  <c r="C98" i="13"/>
  <c r="C110" i="13"/>
  <c r="C122" i="13"/>
  <c r="C134" i="13"/>
  <c r="C146" i="13"/>
  <c r="C158" i="13"/>
  <c r="C170" i="13"/>
  <c r="C182" i="13"/>
  <c r="C194" i="13"/>
  <c r="C206" i="13"/>
  <c r="C218" i="13"/>
  <c r="C230" i="13"/>
  <c r="C242" i="13"/>
  <c r="C254" i="13"/>
  <c r="C266" i="13"/>
  <c r="C278" i="13"/>
  <c r="C290" i="13"/>
  <c r="C302" i="13"/>
  <c r="C314" i="13"/>
  <c r="C326" i="13"/>
  <c r="C338" i="13"/>
  <c r="C350" i="13"/>
  <c r="C362" i="13"/>
  <c r="C374" i="13"/>
  <c r="C56" i="13"/>
  <c r="C212" i="13"/>
  <c r="C332" i="13"/>
  <c r="C81" i="13"/>
  <c r="C129" i="13"/>
  <c r="C201" i="13"/>
  <c r="C273" i="13"/>
  <c r="C369" i="13"/>
  <c r="C15" i="13"/>
  <c r="C27" i="13"/>
  <c r="C39" i="13"/>
  <c r="C51" i="13"/>
  <c r="C63" i="13"/>
  <c r="C75" i="13"/>
  <c r="C87" i="13"/>
  <c r="C99" i="13"/>
  <c r="C111" i="13"/>
  <c r="C123" i="13"/>
  <c r="C135" i="13"/>
  <c r="C147" i="13"/>
  <c r="C159" i="13"/>
  <c r="C171" i="13"/>
  <c r="C183" i="13"/>
  <c r="C195" i="13"/>
  <c r="C207" i="13"/>
  <c r="C219" i="13"/>
  <c r="C231" i="13"/>
  <c r="C243" i="13"/>
  <c r="C255" i="13"/>
  <c r="C267" i="13"/>
  <c r="C279" i="13"/>
  <c r="C291" i="13"/>
  <c r="C303" i="13"/>
  <c r="C315" i="13"/>
  <c r="C327" i="13"/>
  <c r="C339" i="13"/>
  <c r="C351" i="13"/>
  <c r="C363" i="13"/>
  <c r="C375" i="13"/>
  <c r="C80" i="13"/>
  <c r="C164" i="13"/>
  <c r="C260" i="13"/>
  <c r="C344" i="13"/>
  <c r="C45" i="13"/>
  <c r="C153" i="13"/>
  <c r="C261" i="13"/>
  <c r="C357" i="13"/>
  <c r="C16" i="13"/>
  <c r="C28" i="13"/>
  <c r="C40" i="13"/>
  <c r="C52" i="13"/>
  <c r="C64" i="13"/>
  <c r="C76" i="13"/>
  <c r="C88" i="13"/>
  <c r="C100" i="13"/>
  <c r="C112" i="13"/>
  <c r="C124" i="13"/>
  <c r="C136" i="13"/>
  <c r="C148" i="13"/>
  <c r="C160" i="13"/>
  <c r="C172" i="13"/>
  <c r="C184" i="13"/>
  <c r="C196" i="13"/>
  <c r="C208" i="13"/>
  <c r="C220" i="13"/>
  <c r="C232" i="13"/>
  <c r="C244" i="13"/>
  <c r="C256" i="13"/>
  <c r="C268" i="13"/>
  <c r="C280" i="13"/>
  <c r="C292" i="13"/>
  <c r="C304" i="13"/>
  <c r="C316" i="13"/>
  <c r="C328" i="13"/>
  <c r="C340" i="13"/>
  <c r="C352" i="13"/>
  <c r="C364" i="13"/>
  <c r="C376" i="13"/>
  <c r="C31" i="13"/>
  <c r="C55" i="13"/>
  <c r="C79" i="13"/>
  <c r="C91" i="13"/>
  <c r="C115" i="13"/>
  <c r="C139" i="13"/>
  <c r="C163" i="13"/>
  <c r="C187" i="13"/>
  <c r="C211" i="13"/>
  <c r="C235" i="13"/>
  <c r="C259" i="13"/>
  <c r="C283" i="13"/>
  <c r="C307" i="13"/>
  <c r="C331" i="13"/>
  <c r="C355" i="13"/>
  <c r="C44" i="13"/>
  <c r="C104" i="13"/>
  <c r="C116" i="13"/>
  <c r="C140" i="13"/>
  <c r="C176" i="13"/>
  <c r="C224" i="13"/>
  <c r="C272" i="13"/>
  <c r="C308" i="13"/>
  <c r="C356" i="13"/>
  <c r="C21" i="13"/>
  <c r="C105" i="13"/>
  <c r="C165" i="13"/>
  <c r="C213" i="13"/>
  <c r="C309" i="13"/>
  <c r="C17" i="13"/>
  <c r="C29" i="13"/>
  <c r="C41" i="13"/>
  <c r="C53" i="13"/>
  <c r="C65" i="13"/>
  <c r="C77" i="13"/>
  <c r="C89" i="13"/>
  <c r="C101" i="13"/>
  <c r="C113" i="13"/>
  <c r="C125" i="13"/>
  <c r="C137" i="13"/>
  <c r="C149" i="13"/>
  <c r="C161" i="13"/>
  <c r="C173" i="13"/>
  <c r="C185" i="13"/>
  <c r="C197" i="13"/>
  <c r="C209" i="13"/>
  <c r="C221" i="13"/>
  <c r="C233" i="13"/>
  <c r="C245" i="13"/>
  <c r="C257" i="13"/>
  <c r="C269" i="13"/>
  <c r="C281" i="13"/>
  <c r="C293" i="13"/>
  <c r="C305" i="13"/>
  <c r="C317" i="13"/>
  <c r="C329" i="13"/>
  <c r="C341" i="13"/>
  <c r="C353" i="13"/>
  <c r="C365" i="13"/>
  <c r="C20" i="13"/>
  <c r="C248" i="13"/>
  <c r="C57" i="13"/>
  <c r="C141" i="13"/>
  <c r="C249" i="13"/>
  <c r="C18" i="13"/>
  <c r="C30" i="13"/>
  <c r="C42" i="13"/>
  <c r="C54" i="13"/>
  <c r="C66" i="13"/>
  <c r="C78" i="13"/>
  <c r="C90" i="13"/>
  <c r="C102" i="13"/>
  <c r="C114" i="13"/>
  <c r="C126" i="13"/>
  <c r="C138" i="13"/>
  <c r="C150" i="13"/>
  <c r="C162" i="13"/>
  <c r="C174" i="13"/>
  <c r="C186" i="13"/>
  <c r="C198" i="13"/>
  <c r="C210" i="13"/>
  <c r="C222" i="13"/>
  <c r="C234" i="13"/>
  <c r="C246" i="13"/>
  <c r="C258" i="13"/>
  <c r="C270" i="13"/>
  <c r="C282" i="13"/>
  <c r="C294" i="13"/>
  <c r="C306" i="13"/>
  <c r="C318" i="13"/>
  <c r="C330" i="13"/>
  <c r="C342" i="13"/>
  <c r="C354" i="13"/>
  <c r="C366" i="13"/>
  <c r="C19" i="13"/>
  <c r="C43" i="13"/>
  <c r="C67" i="13"/>
  <c r="C103" i="13"/>
  <c r="C127" i="13"/>
  <c r="C151" i="13"/>
  <c r="C175" i="13"/>
  <c r="C199" i="13"/>
  <c r="C223" i="13"/>
  <c r="C247" i="13"/>
  <c r="C271" i="13"/>
  <c r="C295" i="13"/>
  <c r="C319" i="13"/>
  <c r="C343" i="13"/>
  <c r="C367" i="13"/>
  <c r="C32" i="13"/>
  <c r="C92" i="13"/>
  <c r="C128" i="13"/>
  <c r="C152" i="13"/>
  <c r="C188" i="13"/>
  <c r="C236" i="13"/>
  <c r="C284" i="13"/>
  <c r="C296" i="13"/>
  <c r="C368" i="13"/>
  <c r="C33" i="13"/>
  <c r="C93" i="13"/>
  <c r="C177" i="13"/>
  <c r="C225" i="13"/>
  <c r="C285" i="13"/>
  <c r="C333" i="13"/>
  <c r="C22" i="13"/>
  <c r="C34" i="13"/>
  <c r="C46" i="13"/>
  <c r="C58" i="13"/>
  <c r="C70" i="13"/>
  <c r="C82" i="13"/>
  <c r="C94" i="13"/>
  <c r="C106" i="13"/>
  <c r="C118" i="13"/>
  <c r="C130" i="13"/>
  <c r="C142" i="13"/>
  <c r="C154" i="13"/>
  <c r="C166" i="13"/>
  <c r="C178" i="13"/>
  <c r="C190" i="13"/>
  <c r="C202" i="13"/>
  <c r="C214" i="13"/>
  <c r="C226" i="13"/>
  <c r="C238" i="13"/>
  <c r="C250" i="13"/>
  <c r="C262" i="13"/>
  <c r="C274" i="13"/>
  <c r="C286" i="13"/>
  <c r="C298" i="13"/>
  <c r="C310" i="13"/>
  <c r="C322" i="13"/>
  <c r="C334" i="13"/>
  <c r="C346" i="13"/>
  <c r="C358" i="13"/>
  <c r="C370" i="13"/>
  <c r="C36" i="13"/>
  <c r="C60" i="13"/>
  <c r="C84" i="13"/>
  <c r="C108" i="13"/>
  <c r="C132" i="13"/>
  <c r="C168" i="13"/>
  <c r="C192" i="13"/>
  <c r="C228" i="13"/>
  <c r="C252" i="13"/>
  <c r="C276" i="13"/>
  <c r="C312" i="13"/>
  <c r="C336" i="13"/>
  <c r="C372" i="13"/>
  <c r="C345" i="13"/>
  <c r="C23" i="13"/>
  <c r="C35" i="13"/>
  <c r="C47" i="13"/>
  <c r="C59" i="13"/>
  <c r="C71" i="13"/>
  <c r="C83" i="13"/>
  <c r="C95" i="13"/>
  <c r="C107" i="13"/>
  <c r="C119" i="13"/>
  <c r="C131" i="13"/>
  <c r="C143" i="13"/>
  <c r="C155" i="13"/>
  <c r="C167" i="13"/>
  <c r="C179" i="13"/>
  <c r="C191" i="13"/>
  <c r="C203" i="13"/>
  <c r="C215" i="13"/>
  <c r="C227" i="13"/>
  <c r="C239" i="13"/>
  <c r="C251" i="13"/>
  <c r="C263" i="13"/>
  <c r="C275" i="13"/>
  <c r="C287" i="13"/>
  <c r="C299" i="13"/>
  <c r="C311" i="13"/>
  <c r="C323" i="13"/>
  <c r="C335" i="13"/>
  <c r="C347" i="13"/>
  <c r="C359" i="13"/>
  <c r="C371" i="13"/>
  <c r="C24" i="13"/>
  <c r="C72" i="13"/>
  <c r="C96" i="13"/>
  <c r="C120" i="13"/>
  <c r="C156" i="13"/>
  <c r="C180" i="13"/>
  <c r="C204" i="13"/>
  <c r="C240" i="13"/>
  <c r="C264" i="13"/>
  <c r="C300" i="13"/>
  <c r="C324" i="13"/>
  <c r="C360" i="13"/>
  <c r="C297" i="13"/>
  <c r="C48" i="13"/>
  <c r="C144" i="13"/>
  <c r="C216" i="13"/>
  <c r="C288" i="13"/>
  <c r="C348" i="13"/>
  <c r="AI17" i="23"/>
  <c r="AF17" i="23"/>
  <c r="AE16" i="23"/>
  <c r="AG16" i="23" s="1"/>
  <c r="AI33" i="23"/>
  <c r="AE34" i="23"/>
  <c r="AG34" i="23" s="1"/>
  <c r="AF33" i="23"/>
  <c r="C91" i="21" l="1"/>
  <c r="U91" i="21" s="1"/>
  <c r="C371" i="21"/>
  <c r="U371" i="21" s="1"/>
  <c r="C227" i="21"/>
  <c r="C228" i="21"/>
  <c r="C322" i="21"/>
  <c r="U322" i="21" s="1"/>
  <c r="C178" i="21"/>
  <c r="C34" i="21"/>
  <c r="C188" i="21"/>
  <c r="U188" i="21" s="1"/>
  <c r="C199" i="21"/>
  <c r="C318" i="21"/>
  <c r="U318" i="21" s="1"/>
  <c r="C174" i="21"/>
  <c r="C30" i="21"/>
  <c r="U30" i="21" s="1"/>
  <c r="C305" i="21"/>
  <c r="U305" i="21" s="1"/>
  <c r="C161" i="21"/>
  <c r="C17" i="21"/>
  <c r="C116" i="21"/>
  <c r="U116" i="21" s="1"/>
  <c r="C139" i="21"/>
  <c r="D139" i="13"/>
  <c r="F139" i="13" s="1"/>
  <c r="C304" i="21"/>
  <c r="U304" i="21" s="1"/>
  <c r="C160" i="21"/>
  <c r="C16" i="21"/>
  <c r="C339" i="21"/>
  <c r="U339" i="21" s="1"/>
  <c r="C195" i="21"/>
  <c r="U195" i="21" s="1"/>
  <c r="C51" i="21"/>
  <c r="U51" i="21" s="1"/>
  <c r="C374" i="21"/>
  <c r="C230" i="21"/>
  <c r="C86" i="21"/>
  <c r="U86" i="21" s="1"/>
  <c r="C320" i="21"/>
  <c r="U320" i="21" s="1"/>
  <c r="C265" i="21"/>
  <c r="D265" i="13"/>
  <c r="F265" i="13" s="1"/>
  <c r="C121" i="21"/>
  <c r="U121" i="21" s="1"/>
  <c r="C298" i="21"/>
  <c r="U298" i="21" s="1"/>
  <c r="C62" i="21"/>
  <c r="U62" i="21" s="1"/>
  <c r="C360" i="21"/>
  <c r="U360" i="21" s="1"/>
  <c r="C83" i="21"/>
  <c r="U83" i="21" s="1"/>
  <c r="C324" i="21"/>
  <c r="D324" i="13"/>
  <c r="F324" i="13" s="1"/>
  <c r="C359" i="21"/>
  <c r="C215" i="21"/>
  <c r="U215" i="21" s="1"/>
  <c r="C71" i="21"/>
  <c r="U71" i="21" s="1"/>
  <c r="C192" i="21"/>
  <c r="D192" i="13"/>
  <c r="F192" i="13" s="1"/>
  <c r="C310" i="21"/>
  <c r="U310" i="21" s="1"/>
  <c r="C166" i="21"/>
  <c r="C22" i="21"/>
  <c r="U22" i="21" s="1"/>
  <c r="C152" i="21"/>
  <c r="U152" i="21" s="1"/>
  <c r="C175" i="21"/>
  <c r="C306" i="21"/>
  <c r="U306" i="21" s="1"/>
  <c r="C162" i="21"/>
  <c r="C18" i="21"/>
  <c r="G18" i="21" s="1"/>
  <c r="C293" i="21"/>
  <c r="U293" i="21" s="1"/>
  <c r="C149" i="21"/>
  <c r="C309" i="21"/>
  <c r="U309" i="21" s="1"/>
  <c r="C104" i="21"/>
  <c r="U104" i="21" s="1"/>
  <c r="C115" i="21"/>
  <c r="U115" i="21" s="1"/>
  <c r="C292" i="21"/>
  <c r="U292" i="21" s="1"/>
  <c r="C148" i="21"/>
  <c r="C357" i="21"/>
  <c r="U357" i="21" s="1"/>
  <c r="C327" i="21"/>
  <c r="C183" i="21"/>
  <c r="U183" i="21" s="1"/>
  <c r="C39" i="21"/>
  <c r="C362" i="21"/>
  <c r="U362" i="21" s="1"/>
  <c r="C218" i="21"/>
  <c r="C74" i="21"/>
  <c r="U74" i="21" s="1"/>
  <c r="C200" i="21"/>
  <c r="C253" i="21"/>
  <c r="U253" i="21" s="1"/>
  <c r="C109" i="21"/>
  <c r="U109" i="21" s="1"/>
  <c r="C150" i="21"/>
  <c r="D150" i="13"/>
  <c r="F150" i="13" s="1"/>
  <c r="C206" i="21"/>
  <c r="C264" i="21"/>
  <c r="D264" i="13"/>
  <c r="F264" i="13" s="1"/>
  <c r="C282" i="21"/>
  <c r="U282" i="21" s="1"/>
  <c r="C15" i="21"/>
  <c r="C323" i="21"/>
  <c r="U323" i="21" s="1"/>
  <c r="C126" i="21"/>
  <c r="U126" i="21" s="1"/>
  <c r="C38" i="21"/>
  <c r="U38" i="21" s="1"/>
  <c r="C311" i="21"/>
  <c r="U311" i="21" s="1"/>
  <c r="C177" i="21"/>
  <c r="C258" i="21"/>
  <c r="D258" i="13"/>
  <c r="F258" i="13" s="1"/>
  <c r="C101" i="21"/>
  <c r="C307" i="21"/>
  <c r="U307" i="21" s="1"/>
  <c r="C244" i="21"/>
  <c r="C100" i="21"/>
  <c r="U100" i="21" s="1"/>
  <c r="C279" i="21"/>
  <c r="U279" i="21" s="1"/>
  <c r="C135" i="21"/>
  <c r="U135" i="21" s="1"/>
  <c r="C273" i="21"/>
  <c r="U273" i="21" s="1"/>
  <c r="C314" i="21"/>
  <c r="U314" i="21" s="1"/>
  <c r="C170" i="21"/>
  <c r="U170" i="21" s="1"/>
  <c r="C26" i="21"/>
  <c r="U26" i="21" s="1"/>
  <c r="C349" i="21"/>
  <c r="U349" i="21" s="1"/>
  <c r="C205" i="21"/>
  <c r="C61" i="21"/>
  <c r="U61" i="21" s="1"/>
  <c r="C300" i="21"/>
  <c r="U300" i="21" s="1"/>
  <c r="C154" i="21"/>
  <c r="U154" i="21" s="1"/>
  <c r="C294" i="21"/>
  <c r="U294" i="21" s="1"/>
  <c r="C213" i="21"/>
  <c r="D213" i="13"/>
  <c r="F213" i="13" s="1"/>
  <c r="C136" i="21"/>
  <c r="C315" i="21"/>
  <c r="U315" i="21" s="1"/>
  <c r="C241" i="21"/>
  <c r="C191" i="21"/>
  <c r="U191" i="21" s="1"/>
  <c r="C142" i="21"/>
  <c r="C127" i="21"/>
  <c r="U127" i="21" s="1"/>
  <c r="C165" i="21"/>
  <c r="D165" i="13"/>
  <c r="F165" i="13" s="1"/>
  <c r="C268" i="21"/>
  <c r="D268" i="13"/>
  <c r="F268" i="13" s="1"/>
  <c r="C159" i="21"/>
  <c r="C229" i="21"/>
  <c r="C108" i="21"/>
  <c r="U108" i="21" s="1"/>
  <c r="C130" i="21"/>
  <c r="U130" i="21" s="1"/>
  <c r="C270" i="21"/>
  <c r="C257" i="21"/>
  <c r="C105" i="21"/>
  <c r="U105" i="21" s="1"/>
  <c r="C256" i="21"/>
  <c r="U256" i="21" s="1"/>
  <c r="C45" i="21"/>
  <c r="C369" i="21"/>
  <c r="U369" i="21" s="1"/>
  <c r="C182" i="21"/>
  <c r="U182" i="21" s="1"/>
  <c r="C217" i="21"/>
  <c r="C204" i="21"/>
  <c r="C23" i="21"/>
  <c r="U23" i="21" s="1"/>
  <c r="C118" i="21"/>
  <c r="U118" i="21" s="1"/>
  <c r="C367" i="21"/>
  <c r="U367" i="21" s="1"/>
  <c r="C67" i="21"/>
  <c r="C114" i="21"/>
  <c r="C248" i="21"/>
  <c r="D248" i="13"/>
  <c r="F248" i="13" s="1"/>
  <c r="C245" i="21"/>
  <c r="C21" i="21"/>
  <c r="U21" i="21" s="1"/>
  <c r="C31" i="21"/>
  <c r="U31" i="21" s="1"/>
  <c r="C344" i="21"/>
  <c r="C348" i="21"/>
  <c r="C180" i="21"/>
  <c r="U180" i="21" s="1"/>
  <c r="C299" i="21"/>
  <c r="U299" i="21" s="1"/>
  <c r="C155" i="21"/>
  <c r="U155" i="21" s="1"/>
  <c r="C345" i="21"/>
  <c r="C60" i="21"/>
  <c r="U60" i="21" s="1"/>
  <c r="C250" i="21"/>
  <c r="C106" i="21"/>
  <c r="U106" i="21" s="1"/>
  <c r="C93" i="21"/>
  <c r="C343" i="21"/>
  <c r="C43" i="21"/>
  <c r="U43" i="21" s="1"/>
  <c r="C246" i="21"/>
  <c r="C102" i="21"/>
  <c r="D102" i="13"/>
  <c r="F102" i="13" s="1"/>
  <c r="C20" i="21"/>
  <c r="U20" i="21" s="1"/>
  <c r="C233" i="21"/>
  <c r="D233" i="13"/>
  <c r="F233" i="13" s="1"/>
  <c r="C89" i="21"/>
  <c r="U89" i="21" s="1"/>
  <c r="C356" i="21"/>
  <c r="U356" i="21" s="1"/>
  <c r="C283" i="21"/>
  <c r="U283" i="21" s="1"/>
  <c r="C376" i="21"/>
  <c r="C232" i="21"/>
  <c r="C88" i="21"/>
  <c r="U88" i="21" s="1"/>
  <c r="C260" i="21"/>
  <c r="C267" i="21"/>
  <c r="D267" i="13"/>
  <c r="F267" i="13" s="1"/>
  <c r="C123" i="21"/>
  <c r="U123" i="21" s="1"/>
  <c r="C201" i="21"/>
  <c r="C302" i="21"/>
  <c r="U302" i="21" s="1"/>
  <c r="C158" i="21"/>
  <c r="U158" i="21" s="1"/>
  <c r="C14" i="21"/>
  <c r="U14" i="21" s="1"/>
  <c r="C337" i="21"/>
  <c r="U337" i="21" s="1"/>
  <c r="C193" i="21"/>
  <c r="C49" i="21"/>
  <c r="C333" i="21"/>
  <c r="D333" i="13"/>
  <c r="F333" i="13" s="1"/>
  <c r="C350" i="21"/>
  <c r="U350" i="21" s="1"/>
  <c r="C124" i="21"/>
  <c r="U124" i="21" s="1"/>
  <c r="C103" i="21"/>
  <c r="U103" i="21" s="1"/>
  <c r="C55" i="21"/>
  <c r="U55" i="21" s="1"/>
  <c r="C361" i="21"/>
  <c r="U361" i="21" s="1"/>
  <c r="C94" i="21"/>
  <c r="U94" i="21" s="1"/>
  <c r="C365" i="21"/>
  <c r="C308" i="21"/>
  <c r="U308" i="21" s="1"/>
  <c r="C220" i="21"/>
  <c r="D220" i="13"/>
  <c r="F220" i="13" s="1"/>
  <c r="C76" i="21"/>
  <c r="U76" i="21" s="1"/>
  <c r="C164" i="21"/>
  <c r="C255" i="21"/>
  <c r="U255" i="21" s="1"/>
  <c r="C111" i="21"/>
  <c r="U111" i="21" s="1"/>
  <c r="C129" i="21"/>
  <c r="U129" i="21" s="1"/>
  <c r="C290" i="21"/>
  <c r="U290" i="21" s="1"/>
  <c r="C146" i="21"/>
  <c r="C321" i="21"/>
  <c r="U321" i="21" s="1"/>
  <c r="C325" i="21"/>
  <c r="C181" i="21"/>
  <c r="U181" i="21" s="1"/>
  <c r="C37" i="21"/>
  <c r="C347" i="21"/>
  <c r="C128" i="21"/>
  <c r="U128" i="21" s="1"/>
  <c r="C44" i="21"/>
  <c r="C68" i="21"/>
  <c r="U68" i="21" s="1"/>
  <c r="C286" i="21"/>
  <c r="D286" i="13"/>
  <c r="F286" i="13" s="1"/>
  <c r="C92" i="21"/>
  <c r="U92" i="21" s="1"/>
  <c r="C125" i="21"/>
  <c r="U125" i="21" s="1"/>
  <c r="C79" i="21"/>
  <c r="U79" i="21" s="1"/>
  <c r="C303" i="21"/>
  <c r="U303" i="21" s="1"/>
  <c r="C373" i="21"/>
  <c r="C35" i="21"/>
  <c r="C225" i="21"/>
  <c r="D225" i="13"/>
  <c r="F225" i="13" s="1"/>
  <c r="C291" i="21"/>
  <c r="C167" i="21"/>
  <c r="D167" i="13"/>
  <c r="F167" i="13" s="1"/>
  <c r="C262" i="21"/>
  <c r="C156" i="21"/>
  <c r="U156" i="21" s="1"/>
  <c r="C143" i="21"/>
  <c r="U143" i="21" s="1"/>
  <c r="C36" i="21"/>
  <c r="C33" i="21"/>
  <c r="U33" i="21" s="1"/>
  <c r="C19" i="21"/>
  <c r="U19" i="21" s="1"/>
  <c r="C90" i="21"/>
  <c r="U90" i="21" s="1"/>
  <c r="C221" i="21"/>
  <c r="D221" i="13"/>
  <c r="F221" i="13" s="1"/>
  <c r="C259" i="21"/>
  <c r="C216" i="21"/>
  <c r="U216" i="21" s="1"/>
  <c r="C120" i="21"/>
  <c r="U120" i="21" s="1"/>
  <c r="C275" i="21"/>
  <c r="U275" i="21" s="1"/>
  <c r="C131" i="21"/>
  <c r="C336" i="21"/>
  <c r="U336" i="21" s="1"/>
  <c r="C370" i="21"/>
  <c r="U370" i="21" s="1"/>
  <c r="C226" i="21"/>
  <c r="D226" i="13"/>
  <c r="F226" i="13" s="1"/>
  <c r="C82" i="21"/>
  <c r="U82" i="21" s="1"/>
  <c r="C368" i="21"/>
  <c r="U368" i="21" s="1"/>
  <c r="C295" i="21"/>
  <c r="U295" i="21" s="1"/>
  <c r="C366" i="21"/>
  <c r="U366" i="21" s="1"/>
  <c r="C222" i="21"/>
  <c r="D222" i="13"/>
  <c r="F222" i="13" s="1"/>
  <c r="C78" i="21"/>
  <c r="U78" i="21" s="1"/>
  <c r="C353" i="21"/>
  <c r="U353" i="21" s="1"/>
  <c r="C209" i="21"/>
  <c r="D209" i="13"/>
  <c r="F209" i="13" s="1"/>
  <c r="C65" i="21"/>
  <c r="U65" i="21" s="1"/>
  <c r="C272" i="21"/>
  <c r="U272" i="21" s="1"/>
  <c r="C235" i="21"/>
  <c r="C352" i="21"/>
  <c r="U352" i="21" s="1"/>
  <c r="C208" i="21"/>
  <c r="D208" i="13"/>
  <c r="F208" i="13" s="1"/>
  <c r="C64" i="21"/>
  <c r="U64" i="21" s="1"/>
  <c r="C80" i="21"/>
  <c r="U80" i="21" s="1"/>
  <c r="C243" i="21"/>
  <c r="C99" i="21"/>
  <c r="U99" i="21" s="1"/>
  <c r="C81" i="21"/>
  <c r="C278" i="21"/>
  <c r="U278" i="21" s="1"/>
  <c r="C134" i="21"/>
  <c r="U134" i="21" s="1"/>
  <c r="C237" i="21"/>
  <c r="C313" i="21"/>
  <c r="U313" i="21" s="1"/>
  <c r="C169" i="21"/>
  <c r="C25" i="21"/>
  <c r="U25" i="21" s="1"/>
  <c r="C59" i="21"/>
  <c r="U59" i="21" s="1"/>
  <c r="C151" i="21"/>
  <c r="C137" i="21"/>
  <c r="D137" i="13"/>
  <c r="F137" i="13" s="1"/>
  <c r="C280" i="21"/>
  <c r="U280" i="21" s="1"/>
  <c r="C261" i="21"/>
  <c r="C97" i="21"/>
  <c r="U97" i="21" s="1"/>
  <c r="C132" i="21"/>
  <c r="C285" i="21"/>
  <c r="D285" i="13"/>
  <c r="F285" i="13" s="1"/>
  <c r="C141" i="21"/>
  <c r="U141" i="21" s="1"/>
  <c r="C355" i="21"/>
  <c r="U355" i="21" s="1"/>
  <c r="C153" i="21"/>
  <c r="U153" i="21" s="1"/>
  <c r="C338" i="21"/>
  <c r="U338" i="21" s="1"/>
  <c r="C50" i="21"/>
  <c r="C179" i="21"/>
  <c r="C274" i="21"/>
  <c r="C32" i="21"/>
  <c r="U32" i="21" s="1"/>
  <c r="C57" i="21"/>
  <c r="U57" i="21" s="1"/>
  <c r="C113" i="21"/>
  <c r="C331" i="21"/>
  <c r="C112" i="21"/>
  <c r="C147" i="21"/>
  <c r="U147" i="21" s="1"/>
  <c r="C326" i="21"/>
  <c r="C73" i="21"/>
  <c r="U73" i="21" s="1"/>
  <c r="C84" i="21"/>
  <c r="U84" i="21" s="1"/>
  <c r="C288" i="21"/>
  <c r="U288" i="21" s="1"/>
  <c r="C287" i="21"/>
  <c r="U287" i="21" s="1"/>
  <c r="C372" i="21"/>
  <c r="U372" i="21" s="1"/>
  <c r="C238" i="21"/>
  <c r="C319" i="21"/>
  <c r="U319" i="21" s="1"/>
  <c r="C234" i="21"/>
  <c r="C77" i="21"/>
  <c r="U77" i="21" s="1"/>
  <c r="C364" i="21"/>
  <c r="C144" i="21"/>
  <c r="C96" i="21"/>
  <c r="U96" i="21" s="1"/>
  <c r="C263" i="21"/>
  <c r="C119" i="21"/>
  <c r="U119" i="21" s="1"/>
  <c r="C312" i="21"/>
  <c r="U312" i="21" s="1"/>
  <c r="C358" i="21"/>
  <c r="U358" i="21" s="1"/>
  <c r="C214" i="21"/>
  <c r="U214" i="21" s="1"/>
  <c r="C70" i="21"/>
  <c r="U70" i="21" s="1"/>
  <c r="C296" i="21"/>
  <c r="U296" i="21" s="1"/>
  <c r="C271" i="21"/>
  <c r="C354" i="21"/>
  <c r="U354" i="21" s="1"/>
  <c r="C210" i="21"/>
  <c r="U210" i="21" s="1"/>
  <c r="C66" i="21"/>
  <c r="U66" i="21" s="1"/>
  <c r="C341" i="21"/>
  <c r="U341" i="21" s="1"/>
  <c r="C197" i="21"/>
  <c r="U197" i="21" s="1"/>
  <c r="C53" i="21"/>
  <c r="U53" i="21" s="1"/>
  <c r="C224" i="21"/>
  <c r="C211" i="21"/>
  <c r="U211" i="21" s="1"/>
  <c r="C340" i="21"/>
  <c r="U340" i="21" s="1"/>
  <c r="C196" i="21"/>
  <c r="U196" i="21" s="1"/>
  <c r="C52" i="21"/>
  <c r="U52" i="21" s="1"/>
  <c r="C375" i="21"/>
  <c r="C231" i="21"/>
  <c r="C87" i="21"/>
  <c r="U87" i="21" s="1"/>
  <c r="C332" i="21"/>
  <c r="C266" i="21"/>
  <c r="D266" i="13"/>
  <c r="F266" i="13" s="1"/>
  <c r="C122" i="21"/>
  <c r="C189" i="21"/>
  <c r="U189" i="21" s="1"/>
  <c r="C301" i="21"/>
  <c r="U301" i="21" s="1"/>
  <c r="C157" i="21"/>
  <c r="C168" i="21"/>
  <c r="C281" i="21"/>
  <c r="C171" i="21"/>
  <c r="C335" i="21"/>
  <c r="U335" i="21" s="1"/>
  <c r="C138" i="21"/>
  <c r="D138" i="13"/>
  <c r="F138" i="13" s="1"/>
  <c r="C85" i="21"/>
  <c r="U85" i="21" s="1"/>
  <c r="C72" i="21"/>
  <c r="U72" i="21" s="1"/>
  <c r="C107" i="21"/>
  <c r="U107" i="21" s="1"/>
  <c r="C202" i="21"/>
  <c r="C284" i="21"/>
  <c r="C342" i="21"/>
  <c r="U342" i="21" s="1"/>
  <c r="C198" i="21"/>
  <c r="U198" i="21" s="1"/>
  <c r="C329" i="21"/>
  <c r="C185" i="21"/>
  <c r="U185" i="21" s="1"/>
  <c r="C41" i="21"/>
  <c r="C176" i="21"/>
  <c r="U176" i="21" s="1"/>
  <c r="C187" i="21"/>
  <c r="C328" i="21"/>
  <c r="C184" i="21"/>
  <c r="D184" i="13"/>
  <c r="F184" i="13" s="1"/>
  <c r="C40" i="21"/>
  <c r="C363" i="21"/>
  <c r="U363" i="21" s="1"/>
  <c r="C219" i="21"/>
  <c r="D219" i="13"/>
  <c r="F219" i="13" s="1"/>
  <c r="C75" i="21"/>
  <c r="U75" i="21" s="1"/>
  <c r="C212" i="21"/>
  <c r="C254" i="21"/>
  <c r="U254" i="21" s="1"/>
  <c r="C110" i="21"/>
  <c r="C117" i="21"/>
  <c r="U117" i="21" s="1"/>
  <c r="C289" i="21"/>
  <c r="U289" i="21" s="1"/>
  <c r="C145" i="21"/>
  <c r="C203" i="21"/>
  <c r="C249" i="21"/>
  <c r="D249" i="13"/>
  <c r="F249" i="13" s="1"/>
  <c r="C27" i="21"/>
  <c r="U27" i="21" s="1"/>
  <c r="C47" i="21"/>
  <c r="C269" i="21"/>
  <c r="C194" i="21"/>
  <c r="U194" i="21" s="1"/>
  <c r="C240" i="21"/>
  <c r="C48" i="21"/>
  <c r="C251" i="21"/>
  <c r="U251" i="21" s="1"/>
  <c r="C276" i="21"/>
  <c r="U276" i="21" s="1"/>
  <c r="C346" i="21"/>
  <c r="C58" i="21"/>
  <c r="U58" i="21" s="1"/>
  <c r="C247" i="21"/>
  <c r="C54" i="21"/>
  <c r="U54" i="21" s="1"/>
  <c r="C297" i="21"/>
  <c r="U297" i="21" s="1"/>
  <c r="C24" i="21"/>
  <c r="U24" i="21" s="1"/>
  <c r="C239" i="21"/>
  <c r="C95" i="21"/>
  <c r="U95" i="21" s="1"/>
  <c r="C252" i="21"/>
  <c r="U252" i="21" s="1"/>
  <c r="C334" i="21"/>
  <c r="U334" i="21" s="1"/>
  <c r="C190" i="21"/>
  <c r="U190" i="21" s="1"/>
  <c r="C46" i="21"/>
  <c r="C236" i="21"/>
  <c r="C223" i="21"/>
  <c r="C330" i="21"/>
  <c r="C186" i="21"/>
  <c r="U186" i="21" s="1"/>
  <c r="C42" i="21"/>
  <c r="U42" i="21" s="1"/>
  <c r="C317" i="21"/>
  <c r="U317" i="21" s="1"/>
  <c r="C173" i="21"/>
  <c r="C29" i="21"/>
  <c r="U29" i="21" s="1"/>
  <c r="C140" i="21"/>
  <c r="D140" i="13"/>
  <c r="F140" i="13" s="1"/>
  <c r="C163" i="21"/>
  <c r="C316" i="21"/>
  <c r="U316" i="21" s="1"/>
  <c r="C172" i="21"/>
  <c r="C28" i="21"/>
  <c r="C351" i="21"/>
  <c r="U351" i="21" s="1"/>
  <c r="C207" i="21"/>
  <c r="D207" i="13"/>
  <c r="F207" i="13" s="1"/>
  <c r="C63" i="21"/>
  <c r="U63" i="21" s="1"/>
  <c r="C56" i="21"/>
  <c r="U56" i="21" s="1"/>
  <c r="C242" i="21"/>
  <c r="C98" i="21"/>
  <c r="U98" i="21" s="1"/>
  <c r="C69" i="21"/>
  <c r="C277" i="21"/>
  <c r="U277" i="21" s="1"/>
  <c r="C133" i="21"/>
  <c r="U133" i="21" s="1"/>
  <c r="C13" i="21"/>
  <c r="J13" i="21" s="1"/>
  <c r="AI34" i="23"/>
  <c r="AF34" i="23"/>
  <c r="AE35" i="23"/>
  <c r="AG35" i="23" s="1"/>
  <c r="AI16" i="23"/>
  <c r="AE15" i="23"/>
  <c r="AG15" i="23" s="1"/>
  <c r="AF16" i="23"/>
  <c r="K13" i="21" l="1"/>
  <c r="L13" i="21" s="1"/>
  <c r="M13" i="21" s="1"/>
  <c r="U332" i="21"/>
  <c r="U201" i="21"/>
  <c r="U168" i="21"/>
  <c r="U271" i="21"/>
  <c r="U258" i="21"/>
  <c r="U262" i="21"/>
  <c r="U333" i="21"/>
  <c r="U171" i="21"/>
  <c r="U245" i="21"/>
  <c r="U44" i="21"/>
  <c r="U249" i="21"/>
  <c r="U343" i="21"/>
  <c r="U144" i="21"/>
  <c r="U220" i="21"/>
  <c r="U199" i="21"/>
  <c r="U265" i="21"/>
  <c r="U347" i="21"/>
  <c r="U239" i="21"/>
  <c r="U160" i="21"/>
  <c r="U331" i="21"/>
  <c r="U223" i="21"/>
  <c r="U267" i="21"/>
  <c r="U376" i="21"/>
  <c r="U149" i="21"/>
  <c r="U209" i="21"/>
  <c r="U41" i="21"/>
  <c r="U224" i="21"/>
  <c r="U137" i="21"/>
  <c r="U329" i="21"/>
  <c r="U15" i="21"/>
  <c r="U35" i="21"/>
  <c r="U325" i="21"/>
  <c r="G15" i="21"/>
  <c r="H15" i="21" s="1"/>
  <c r="I15" i="21" s="1"/>
  <c r="U39" i="21"/>
  <c r="U131" i="21"/>
  <c r="U46" i="21"/>
  <c r="U243" i="21"/>
  <c r="U270" i="21"/>
  <c r="U164" i="21"/>
  <c r="U246" i="21"/>
  <c r="U187" i="21"/>
  <c r="U221" i="21"/>
  <c r="U145" i="21"/>
  <c r="U326" i="21"/>
  <c r="U207" i="21"/>
  <c r="U328" i="21"/>
  <c r="U244" i="21"/>
  <c r="U236" i="21"/>
  <c r="U359" i="21"/>
  <c r="U227" i="21"/>
  <c r="U112" i="21"/>
  <c r="G13" i="21"/>
  <c r="H13" i="21" s="1"/>
  <c r="I13" i="21" s="1"/>
  <c r="U233" i="21"/>
  <c r="U238" i="21"/>
  <c r="U167" i="21"/>
  <c r="U178" i="21"/>
  <c r="U213" i="21"/>
  <c r="U237" i="21"/>
  <c r="U175" i="21"/>
  <c r="U222" i="21"/>
  <c r="U34" i="21"/>
  <c r="U36" i="21"/>
  <c r="U242" i="21"/>
  <c r="U235" i="21"/>
  <c r="U205" i="21"/>
  <c r="U257" i="21"/>
  <c r="U260" i="21"/>
  <c r="U13" i="21"/>
  <c r="U248" i="21"/>
  <c r="U206" i="21"/>
  <c r="U202" i="21"/>
  <c r="U177" i="21"/>
  <c r="U241" i="21"/>
  <c r="U193" i="21"/>
  <c r="U247" i="21"/>
  <c r="U231" i="21"/>
  <c r="U40" i="21"/>
  <c r="U69" i="21"/>
  <c r="U179" i="21"/>
  <c r="U110" i="21"/>
  <c r="U157" i="21"/>
  <c r="U281" i="21"/>
  <c r="U268" i="21"/>
  <c r="U165" i="21"/>
  <c r="U142" i="21"/>
  <c r="U285" i="21"/>
  <c r="U284" i="21"/>
  <c r="U259" i="21"/>
  <c r="U324" i="21"/>
  <c r="U286" i="21"/>
  <c r="U261" i="21"/>
  <c r="U81" i="21"/>
  <c r="U138" i="21"/>
  <c r="U344" i="21"/>
  <c r="U269" i="21"/>
  <c r="U200" i="21"/>
  <c r="U139" i="21"/>
  <c r="U208" i="21"/>
  <c r="U113" i="21"/>
  <c r="U250" i="21"/>
  <c r="U49" i="21"/>
  <c r="U37" i="21"/>
  <c r="U212" i="21"/>
  <c r="U102" i="21"/>
  <c r="U232" i="21"/>
  <c r="U101" i="21"/>
  <c r="U146" i="21"/>
  <c r="U28" i="21"/>
  <c r="U162" i="21"/>
  <c r="U174" i="21"/>
  <c r="U169" i="21"/>
  <c r="U48" i="21"/>
  <c r="U203" i="21"/>
  <c r="U159" i="21"/>
  <c r="U218" i="21"/>
  <c r="U140" i="21"/>
  <c r="U122" i="21"/>
  <c r="G17" i="21"/>
  <c r="H17" i="21" s="1"/>
  <c r="I17" i="21" s="1"/>
  <c r="U374" i="21"/>
  <c r="U150" i="21"/>
  <c r="U345" i="21"/>
  <c r="U228" i="21"/>
  <c r="U346" i="21"/>
  <c r="U204" i="21"/>
  <c r="U184" i="21"/>
  <c r="U266" i="21"/>
  <c r="U148" i="21"/>
  <c r="U93" i="21"/>
  <c r="U330" i="21"/>
  <c r="U327" i="21"/>
  <c r="U225" i="21"/>
  <c r="U291" i="21"/>
  <c r="U348" i="21"/>
  <c r="U163" i="21"/>
  <c r="U172" i="21"/>
  <c r="U375" i="21"/>
  <c r="U132" i="21"/>
  <c r="U263" i="21"/>
  <c r="U240" i="21"/>
  <c r="U136" i="21"/>
  <c r="U151" i="21"/>
  <c r="U217" i="21"/>
  <c r="U364" i="21"/>
  <c r="U230" i="21"/>
  <c r="U264" i="21"/>
  <c r="U114" i="21"/>
  <c r="U226" i="21"/>
  <c r="U365" i="21"/>
  <c r="U161" i="21"/>
  <c r="U274" i="21"/>
  <c r="U229" i="21"/>
  <c r="U45" i="21"/>
  <c r="U47" i="21"/>
  <c r="U173" i="21"/>
  <c r="U50" i="21"/>
  <c r="U234" i="21"/>
  <c r="U67" i="21"/>
  <c r="U192" i="21"/>
  <c r="U166" i="21"/>
  <c r="U373" i="21"/>
  <c r="U219" i="21"/>
  <c r="U18" i="21"/>
  <c r="G20" i="21"/>
  <c r="H20" i="21" s="1"/>
  <c r="I20" i="21" s="1"/>
  <c r="J89" i="21"/>
  <c r="K89" i="21" s="1"/>
  <c r="L89" i="21" s="1"/>
  <c r="M89" i="21" s="1"/>
  <c r="G89" i="21"/>
  <c r="H89" i="21" s="1"/>
  <c r="I89" i="21" s="1"/>
  <c r="J171" i="21"/>
  <c r="K171" i="21" s="1"/>
  <c r="L171" i="21" s="1"/>
  <c r="M171" i="21" s="1"/>
  <c r="G171" i="21"/>
  <c r="H171" i="21" s="1"/>
  <c r="I171" i="21" s="1"/>
  <c r="J139" i="21"/>
  <c r="K139" i="21" s="1"/>
  <c r="L139" i="21" s="1"/>
  <c r="M139" i="21" s="1"/>
  <c r="G139" i="21"/>
  <c r="H139" i="21" s="1"/>
  <c r="I139" i="21" s="1"/>
  <c r="J308" i="21"/>
  <c r="K308" i="21" s="1"/>
  <c r="L308" i="21" s="1"/>
  <c r="M308" i="21" s="1"/>
  <c r="G308" i="21"/>
  <c r="H308" i="21" s="1"/>
  <c r="I308" i="21" s="1"/>
  <c r="J124" i="21"/>
  <c r="K124" i="21" s="1"/>
  <c r="L124" i="21" s="1"/>
  <c r="M124" i="21" s="1"/>
  <c r="G124" i="21"/>
  <c r="H124" i="21" s="1"/>
  <c r="I124" i="21" s="1"/>
  <c r="J163" i="21"/>
  <c r="K163" i="21" s="1"/>
  <c r="L163" i="21" s="1"/>
  <c r="M163" i="21" s="1"/>
  <c r="G163" i="21"/>
  <c r="H163" i="21" s="1"/>
  <c r="I163" i="21" s="1"/>
  <c r="J275" i="21"/>
  <c r="K275" i="21" s="1"/>
  <c r="L275" i="21" s="1"/>
  <c r="M275" i="21" s="1"/>
  <c r="G275" i="21"/>
  <c r="H275" i="21" s="1"/>
  <c r="I275" i="21" s="1"/>
  <c r="J358" i="21"/>
  <c r="K358" i="21" s="1"/>
  <c r="L358" i="21" s="1"/>
  <c r="M358" i="21" s="1"/>
  <c r="G358" i="21"/>
  <c r="H358" i="21" s="1"/>
  <c r="I358" i="21" s="1"/>
  <c r="J297" i="21"/>
  <c r="K297" i="21" s="1"/>
  <c r="L297" i="21" s="1"/>
  <c r="M297" i="21" s="1"/>
  <c r="G297" i="21"/>
  <c r="H297" i="21" s="1"/>
  <c r="I297" i="21" s="1"/>
  <c r="J175" i="21"/>
  <c r="K175" i="21" s="1"/>
  <c r="L175" i="21" s="1"/>
  <c r="M175" i="21" s="1"/>
  <c r="G175" i="21"/>
  <c r="H175" i="21" s="1"/>
  <c r="I175" i="21" s="1"/>
  <c r="J350" i="21"/>
  <c r="K350" i="21" s="1"/>
  <c r="L350" i="21" s="1"/>
  <c r="M350" i="21" s="1"/>
  <c r="G350" i="21"/>
  <c r="H350" i="21" s="1"/>
  <c r="I350" i="21" s="1"/>
  <c r="J233" i="21"/>
  <c r="K233" i="21" s="1"/>
  <c r="L233" i="21" s="1"/>
  <c r="M233" i="21" s="1"/>
  <c r="G233" i="21"/>
  <c r="H233" i="21" s="1"/>
  <c r="I233" i="21" s="1"/>
  <c r="J370" i="21"/>
  <c r="K370" i="21" s="1"/>
  <c r="L370" i="21" s="1"/>
  <c r="M370" i="21" s="1"/>
  <c r="G370" i="21"/>
  <c r="H370" i="21" s="1"/>
  <c r="I370" i="21" s="1"/>
  <c r="J231" i="21"/>
  <c r="K231" i="21" s="1"/>
  <c r="L231" i="21" s="1"/>
  <c r="M231" i="21" s="1"/>
  <c r="G231" i="21"/>
  <c r="H231" i="21" s="1"/>
  <c r="I231" i="21" s="1"/>
  <c r="J102" i="21"/>
  <c r="K102" i="21" s="1"/>
  <c r="L102" i="21" s="1"/>
  <c r="M102" i="21" s="1"/>
  <c r="G102" i="21"/>
  <c r="H102" i="21" s="1"/>
  <c r="I102" i="21" s="1"/>
  <c r="J18" i="21"/>
  <c r="K18" i="21" s="1"/>
  <c r="L18" i="21" s="1"/>
  <c r="M18" i="21" s="1"/>
  <c r="H18" i="21"/>
  <c r="I18" i="21" s="1"/>
  <c r="J196" i="21"/>
  <c r="K196" i="21" s="1"/>
  <c r="L196" i="21" s="1"/>
  <c r="M196" i="21" s="1"/>
  <c r="G196" i="21"/>
  <c r="H196" i="21" s="1"/>
  <c r="I196" i="21" s="1"/>
  <c r="J46" i="21"/>
  <c r="K46" i="21" s="1"/>
  <c r="L46" i="21" s="1"/>
  <c r="M46" i="21" s="1"/>
  <c r="G46" i="21"/>
  <c r="H46" i="21" s="1"/>
  <c r="I46" i="21" s="1"/>
  <c r="J331" i="21"/>
  <c r="K331" i="21" s="1"/>
  <c r="L331" i="21" s="1"/>
  <c r="M331" i="21" s="1"/>
  <c r="G331" i="21"/>
  <c r="H331" i="21" s="1"/>
  <c r="I331" i="21" s="1"/>
  <c r="J176" i="21"/>
  <c r="K176" i="21" s="1"/>
  <c r="L176" i="21" s="1"/>
  <c r="M176" i="21" s="1"/>
  <c r="G176" i="21"/>
  <c r="H176" i="21" s="1"/>
  <c r="I176" i="21" s="1"/>
  <c r="J98" i="21"/>
  <c r="K98" i="21" s="1"/>
  <c r="L98" i="21" s="1"/>
  <c r="M98" i="21" s="1"/>
  <c r="G98" i="21"/>
  <c r="H98" i="21" s="1"/>
  <c r="I98" i="21" s="1"/>
  <c r="J103" i="21"/>
  <c r="K103" i="21" s="1"/>
  <c r="L103" i="21" s="1"/>
  <c r="M103" i="21" s="1"/>
  <c r="G103" i="21"/>
  <c r="H103" i="21" s="1"/>
  <c r="I103" i="21" s="1"/>
  <c r="J80" i="21"/>
  <c r="K80" i="21" s="1"/>
  <c r="L80" i="21" s="1"/>
  <c r="M80" i="21" s="1"/>
  <c r="G80" i="21"/>
  <c r="H80" i="21" s="1"/>
  <c r="I80" i="21" s="1"/>
  <c r="J348" i="21"/>
  <c r="K348" i="21" s="1"/>
  <c r="L348" i="21" s="1"/>
  <c r="M348" i="21" s="1"/>
  <c r="G348" i="21"/>
  <c r="H348" i="21" s="1"/>
  <c r="I348" i="21" s="1"/>
  <c r="J264" i="21"/>
  <c r="K264" i="21" s="1"/>
  <c r="L264" i="21" s="1"/>
  <c r="M264" i="21" s="1"/>
  <c r="G264" i="21"/>
  <c r="H264" i="21" s="1"/>
  <c r="I264" i="21" s="1"/>
  <c r="J237" i="21"/>
  <c r="K237" i="21" s="1"/>
  <c r="L237" i="21" s="1"/>
  <c r="M237" i="21" s="1"/>
  <c r="G237" i="21"/>
  <c r="H237" i="21" s="1"/>
  <c r="I237" i="21" s="1"/>
  <c r="J160" i="21"/>
  <c r="K160" i="21" s="1"/>
  <c r="L160" i="21" s="1"/>
  <c r="M160" i="21" s="1"/>
  <c r="G160" i="21"/>
  <c r="H160" i="21" s="1"/>
  <c r="I160" i="21" s="1"/>
  <c r="J305" i="21"/>
  <c r="K305" i="21" s="1"/>
  <c r="L305" i="21" s="1"/>
  <c r="M305" i="21" s="1"/>
  <c r="G305" i="21"/>
  <c r="H305" i="21" s="1"/>
  <c r="I305" i="21" s="1"/>
  <c r="J277" i="21"/>
  <c r="K277" i="21" s="1"/>
  <c r="L277" i="21" s="1"/>
  <c r="M277" i="21" s="1"/>
  <c r="G277" i="21"/>
  <c r="H277" i="21" s="1"/>
  <c r="I277" i="21" s="1"/>
  <c r="J310" i="21"/>
  <c r="K310" i="21" s="1"/>
  <c r="L310" i="21" s="1"/>
  <c r="M310" i="21" s="1"/>
  <c r="G310" i="21"/>
  <c r="H310" i="21" s="1"/>
  <c r="I310" i="21" s="1"/>
  <c r="J199" i="21"/>
  <c r="K199" i="21" s="1"/>
  <c r="L199" i="21" s="1"/>
  <c r="M199" i="21" s="1"/>
  <c r="G199" i="21"/>
  <c r="H199" i="21" s="1"/>
  <c r="I199" i="21" s="1"/>
  <c r="J201" i="21"/>
  <c r="K201" i="21" s="1"/>
  <c r="L201" i="21" s="1"/>
  <c r="M201" i="21" s="1"/>
  <c r="G201" i="21"/>
  <c r="H201" i="21" s="1"/>
  <c r="I201" i="21" s="1"/>
  <c r="J123" i="21"/>
  <c r="K123" i="21" s="1"/>
  <c r="L123" i="21" s="1"/>
  <c r="M123" i="21" s="1"/>
  <c r="G123" i="21"/>
  <c r="H123" i="21" s="1"/>
  <c r="I123" i="21" s="1"/>
  <c r="J81" i="21"/>
  <c r="K81" i="21" s="1"/>
  <c r="L81" i="21" s="1"/>
  <c r="M81" i="21" s="1"/>
  <c r="G81" i="21"/>
  <c r="H81" i="21" s="1"/>
  <c r="I81" i="21" s="1"/>
  <c r="J65" i="21"/>
  <c r="K65" i="21" s="1"/>
  <c r="L65" i="21" s="1"/>
  <c r="M65" i="21" s="1"/>
  <c r="G65" i="21"/>
  <c r="H65" i="21" s="1"/>
  <c r="I65" i="21" s="1"/>
  <c r="J243" i="21"/>
  <c r="K243" i="21" s="1"/>
  <c r="L243" i="21" s="1"/>
  <c r="M243" i="21" s="1"/>
  <c r="G243" i="21"/>
  <c r="H243" i="21" s="1"/>
  <c r="I243" i="21" s="1"/>
  <c r="J79" i="21"/>
  <c r="K79" i="21" s="1"/>
  <c r="L79" i="21" s="1"/>
  <c r="M79" i="21" s="1"/>
  <c r="G79" i="21"/>
  <c r="H79" i="21" s="1"/>
  <c r="I79" i="21" s="1"/>
  <c r="J83" i="21"/>
  <c r="K83" i="21" s="1"/>
  <c r="L83" i="21" s="1"/>
  <c r="M83" i="21" s="1"/>
  <c r="G83" i="21"/>
  <c r="H83" i="21" s="1"/>
  <c r="I83" i="21" s="1"/>
  <c r="J299" i="21"/>
  <c r="K299" i="21" s="1"/>
  <c r="L299" i="21" s="1"/>
  <c r="M299" i="21" s="1"/>
  <c r="G299" i="21"/>
  <c r="H299" i="21" s="1"/>
  <c r="I299" i="21" s="1"/>
  <c r="J244" i="21"/>
  <c r="K244" i="21" s="1"/>
  <c r="L244" i="21" s="1"/>
  <c r="M244" i="21" s="1"/>
  <c r="G244" i="21"/>
  <c r="H244" i="21" s="1"/>
  <c r="I244" i="21" s="1"/>
  <c r="J321" i="21"/>
  <c r="K321" i="21" s="1"/>
  <c r="L321" i="21" s="1"/>
  <c r="M321" i="21" s="1"/>
  <c r="G321" i="21"/>
  <c r="H321" i="21" s="1"/>
  <c r="I321" i="21" s="1"/>
  <c r="J55" i="21"/>
  <c r="K55" i="21" s="1"/>
  <c r="L55" i="21" s="1"/>
  <c r="M55" i="21" s="1"/>
  <c r="G55" i="21"/>
  <c r="H55" i="21" s="1"/>
  <c r="I55" i="21" s="1"/>
  <c r="J263" i="21"/>
  <c r="K263" i="21" s="1"/>
  <c r="L263" i="21" s="1"/>
  <c r="M263" i="21" s="1"/>
  <c r="G263" i="21"/>
  <c r="H263" i="21" s="1"/>
  <c r="I263" i="21" s="1"/>
  <c r="J29" i="21"/>
  <c r="K29" i="21" s="1"/>
  <c r="L29" i="21" s="1"/>
  <c r="M29" i="21" s="1"/>
  <c r="G29" i="21"/>
  <c r="H29" i="21" s="1"/>
  <c r="I29" i="21" s="1"/>
  <c r="J202" i="21"/>
  <c r="K202" i="21" s="1"/>
  <c r="L202" i="21" s="1"/>
  <c r="M202" i="21" s="1"/>
  <c r="G202" i="21"/>
  <c r="H202" i="21" s="1"/>
  <c r="I202" i="21" s="1"/>
  <c r="J51" i="21"/>
  <c r="K51" i="21" s="1"/>
  <c r="L51" i="21" s="1"/>
  <c r="M51" i="21" s="1"/>
  <c r="G51" i="21"/>
  <c r="H51" i="21" s="1"/>
  <c r="I51" i="21" s="1"/>
  <c r="J248" i="21"/>
  <c r="K248" i="21" s="1"/>
  <c r="L248" i="21" s="1"/>
  <c r="M248" i="21" s="1"/>
  <c r="G248" i="21"/>
  <c r="H248" i="21" s="1"/>
  <c r="I248" i="21" s="1"/>
  <c r="J118" i="21"/>
  <c r="K118" i="21" s="1"/>
  <c r="L118" i="21" s="1"/>
  <c r="M118" i="21" s="1"/>
  <c r="G118" i="21"/>
  <c r="H118" i="21" s="1"/>
  <c r="I118" i="21" s="1"/>
  <c r="J276" i="21"/>
  <c r="K276" i="21" s="1"/>
  <c r="L276" i="21" s="1"/>
  <c r="M276" i="21" s="1"/>
  <c r="G276" i="21"/>
  <c r="H276" i="21" s="1"/>
  <c r="I276" i="21" s="1"/>
  <c r="J97" i="21"/>
  <c r="K97" i="21" s="1"/>
  <c r="L97" i="21" s="1"/>
  <c r="M97" i="21" s="1"/>
  <c r="G97" i="21"/>
  <c r="H97" i="21" s="1"/>
  <c r="I97" i="21" s="1"/>
  <c r="J137" i="21"/>
  <c r="K137" i="21" s="1"/>
  <c r="L137" i="21" s="1"/>
  <c r="M137" i="21" s="1"/>
  <c r="G137" i="21"/>
  <c r="H137" i="21" s="1"/>
  <c r="I137" i="21" s="1"/>
  <c r="J227" i="21"/>
  <c r="K227" i="21" s="1"/>
  <c r="L227" i="21" s="1"/>
  <c r="M227" i="21" s="1"/>
  <c r="G227" i="21"/>
  <c r="H227" i="21" s="1"/>
  <c r="I227" i="21" s="1"/>
  <c r="J223" i="21"/>
  <c r="K223" i="21" s="1"/>
  <c r="L223" i="21" s="1"/>
  <c r="M223" i="21" s="1"/>
  <c r="G223" i="21"/>
  <c r="H223" i="21" s="1"/>
  <c r="I223" i="21" s="1"/>
  <c r="J273" i="21"/>
  <c r="K273" i="21" s="1"/>
  <c r="L273" i="21" s="1"/>
  <c r="M273" i="21" s="1"/>
  <c r="G273" i="21"/>
  <c r="H273" i="21" s="1"/>
  <c r="I273" i="21" s="1"/>
  <c r="J31" i="21"/>
  <c r="K31" i="21" s="1"/>
  <c r="L31" i="21" s="1"/>
  <c r="M31" i="21" s="1"/>
  <c r="G31" i="21"/>
  <c r="H31" i="21" s="1"/>
  <c r="I31" i="21" s="1"/>
  <c r="J106" i="21"/>
  <c r="K106" i="21" s="1"/>
  <c r="L106" i="21" s="1"/>
  <c r="M106" i="21" s="1"/>
  <c r="G106" i="21"/>
  <c r="H106" i="21" s="1"/>
  <c r="I106" i="21" s="1"/>
  <c r="J343" i="21"/>
  <c r="K343" i="21" s="1"/>
  <c r="L343" i="21" s="1"/>
  <c r="M343" i="21" s="1"/>
  <c r="G343" i="21"/>
  <c r="H343" i="21" s="1"/>
  <c r="I343" i="21" s="1"/>
  <c r="J166" i="21"/>
  <c r="K166" i="21" s="1"/>
  <c r="L166" i="21" s="1"/>
  <c r="M166" i="21" s="1"/>
  <c r="G166" i="21"/>
  <c r="H166" i="21" s="1"/>
  <c r="I166" i="21" s="1"/>
  <c r="J296" i="21"/>
  <c r="K296" i="21" s="1"/>
  <c r="L296" i="21" s="1"/>
  <c r="M296" i="21" s="1"/>
  <c r="G296" i="21"/>
  <c r="H296" i="21" s="1"/>
  <c r="I296" i="21" s="1"/>
  <c r="J302" i="21"/>
  <c r="K302" i="21" s="1"/>
  <c r="L302" i="21" s="1"/>
  <c r="M302" i="21" s="1"/>
  <c r="G302" i="21"/>
  <c r="H302" i="21" s="1"/>
  <c r="I302" i="21" s="1"/>
  <c r="J258" i="21"/>
  <c r="K258" i="21" s="1"/>
  <c r="L258" i="21" s="1"/>
  <c r="M258" i="21" s="1"/>
  <c r="G258" i="21"/>
  <c r="H258" i="21" s="1"/>
  <c r="I258" i="21" s="1"/>
  <c r="J293" i="21"/>
  <c r="K293" i="21" s="1"/>
  <c r="L293" i="21" s="1"/>
  <c r="M293" i="21" s="1"/>
  <c r="G293" i="21"/>
  <c r="H293" i="21" s="1"/>
  <c r="I293" i="21" s="1"/>
  <c r="J21" i="21"/>
  <c r="K21" i="21" s="1"/>
  <c r="L21" i="21" s="1"/>
  <c r="M21" i="21" s="1"/>
  <c r="G21" i="21"/>
  <c r="H21" i="21" s="1"/>
  <c r="I21" i="21" s="1"/>
  <c r="J240" i="21"/>
  <c r="K240" i="21" s="1"/>
  <c r="L240" i="21" s="1"/>
  <c r="M240" i="21" s="1"/>
  <c r="G240" i="21"/>
  <c r="H240" i="21" s="1"/>
  <c r="I240" i="21" s="1"/>
  <c r="J287" i="21"/>
  <c r="K287" i="21" s="1"/>
  <c r="L287" i="21" s="1"/>
  <c r="M287" i="21" s="1"/>
  <c r="G287" i="21"/>
  <c r="H287" i="21" s="1"/>
  <c r="I287" i="21" s="1"/>
  <c r="J366" i="21"/>
  <c r="K366" i="21" s="1"/>
  <c r="L366" i="21" s="1"/>
  <c r="M366" i="21" s="1"/>
  <c r="G366" i="21"/>
  <c r="H366" i="21" s="1"/>
  <c r="I366" i="21" s="1"/>
  <c r="J177" i="21"/>
  <c r="K177" i="21" s="1"/>
  <c r="L177" i="21" s="1"/>
  <c r="M177" i="21" s="1"/>
  <c r="G177" i="21"/>
  <c r="H177" i="21" s="1"/>
  <c r="I177" i="21" s="1"/>
  <c r="J44" i="21"/>
  <c r="K44" i="21" s="1"/>
  <c r="L44" i="21" s="1"/>
  <c r="M44" i="21" s="1"/>
  <c r="G44" i="21"/>
  <c r="H44" i="21" s="1"/>
  <c r="I44" i="21" s="1"/>
  <c r="J317" i="21"/>
  <c r="K317" i="21" s="1"/>
  <c r="L317" i="21" s="1"/>
  <c r="M317" i="21" s="1"/>
  <c r="G317" i="21"/>
  <c r="H317" i="21" s="1"/>
  <c r="I317" i="21" s="1"/>
  <c r="J162" i="21"/>
  <c r="K162" i="21" s="1"/>
  <c r="L162" i="21" s="1"/>
  <c r="M162" i="21" s="1"/>
  <c r="G162" i="21"/>
  <c r="H162" i="21" s="1"/>
  <c r="I162" i="21" s="1"/>
  <c r="J356" i="21"/>
  <c r="K356" i="21" s="1"/>
  <c r="L356" i="21" s="1"/>
  <c r="M356" i="21" s="1"/>
  <c r="G356" i="21"/>
  <c r="H356" i="21" s="1"/>
  <c r="I356" i="21" s="1"/>
  <c r="J208" i="21"/>
  <c r="K208" i="21" s="1"/>
  <c r="L208" i="21" s="1"/>
  <c r="M208" i="21" s="1"/>
  <c r="G208" i="21"/>
  <c r="H208" i="21" s="1"/>
  <c r="I208" i="21" s="1"/>
  <c r="J156" i="21"/>
  <c r="K156" i="21" s="1"/>
  <c r="L156" i="21" s="1"/>
  <c r="M156" i="21" s="1"/>
  <c r="G156" i="21"/>
  <c r="H156" i="21" s="1"/>
  <c r="I156" i="21" s="1"/>
  <c r="J153" i="21"/>
  <c r="K153" i="21" s="1"/>
  <c r="L153" i="21" s="1"/>
  <c r="M153" i="21" s="1"/>
  <c r="G153" i="21"/>
  <c r="H153" i="21" s="1"/>
  <c r="I153" i="21" s="1"/>
  <c r="J259" i="21"/>
  <c r="K259" i="21" s="1"/>
  <c r="L259" i="21" s="1"/>
  <c r="M259" i="21" s="1"/>
  <c r="G259" i="21"/>
  <c r="H259" i="21" s="1"/>
  <c r="I259" i="21" s="1"/>
  <c r="J66" i="21"/>
  <c r="K66" i="21" s="1"/>
  <c r="L66" i="21" s="1"/>
  <c r="M66" i="21" s="1"/>
  <c r="G66" i="21"/>
  <c r="H66" i="21" s="1"/>
  <c r="I66" i="21" s="1"/>
  <c r="J154" i="21"/>
  <c r="K154" i="21" s="1"/>
  <c r="L154" i="21" s="1"/>
  <c r="M154" i="21" s="1"/>
  <c r="G154" i="21"/>
  <c r="H154" i="21" s="1"/>
  <c r="I154" i="21" s="1"/>
  <c r="J115" i="21"/>
  <c r="K115" i="21" s="1"/>
  <c r="L115" i="21" s="1"/>
  <c r="M115" i="21" s="1"/>
  <c r="G115" i="21"/>
  <c r="H115" i="21" s="1"/>
  <c r="I115" i="21" s="1"/>
  <c r="J323" i="21"/>
  <c r="K323" i="21" s="1"/>
  <c r="L323" i="21" s="1"/>
  <c r="M323" i="21" s="1"/>
  <c r="G323" i="21"/>
  <c r="H323" i="21" s="1"/>
  <c r="I323" i="21" s="1"/>
  <c r="J42" i="21"/>
  <c r="K42" i="21" s="1"/>
  <c r="L42" i="21" s="1"/>
  <c r="M42" i="21" s="1"/>
  <c r="G42" i="21"/>
  <c r="H42" i="21" s="1"/>
  <c r="I42" i="21" s="1"/>
  <c r="J314" i="21"/>
  <c r="K314" i="21" s="1"/>
  <c r="L314" i="21" s="1"/>
  <c r="M314" i="21" s="1"/>
  <c r="G314" i="21"/>
  <c r="H314" i="21" s="1"/>
  <c r="I314" i="21" s="1"/>
  <c r="J328" i="21"/>
  <c r="K328" i="21" s="1"/>
  <c r="L328" i="21" s="1"/>
  <c r="M328" i="21" s="1"/>
  <c r="G328" i="21"/>
  <c r="H328" i="21" s="1"/>
  <c r="I328" i="21" s="1"/>
  <c r="J219" i="21"/>
  <c r="K219" i="21" s="1"/>
  <c r="L219" i="21" s="1"/>
  <c r="M219" i="21" s="1"/>
  <c r="G219" i="21"/>
  <c r="H219" i="21" s="1"/>
  <c r="I219" i="21" s="1"/>
  <c r="J108" i="21"/>
  <c r="K108" i="21" s="1"/>
  <c r="L108" i="21" s="1"/>
  <c r="M108" i="21" s="1"/>
  <c r="G108" i="21"/>
  <c r="H108" i="21" s="1"/>
  <c r="I108" i="21" s="1"/>
  <c r="J284" i="21"/>
  <c r="K284" i="21" s="1"/>
  <c r="L284" i="21" s="1"/>
  <c r="M284" i="21" s="1"/>
  <c r="G284" i="21"/>
  <c r="H284" i="21" s="1"/>
  <c r="I284" i="21" s="1"/>
  <c r="J15" i="21"/>
  <c r="K15" i="21" s="1"/>
  <c r="L15" i="21" s="1"/>
  <c r="M15" i="21" s="1"/>
  <c r="J322" i="21"/>
  <c r="K322" i="21" s="1"/>
  <c r="L322" i="21" s="1"/>
  <c r="M322" i="21" s="1"/>
  <c r="G322" i="21"/>
  <c r="H322" i="21" s="1"/>
  <c r="I322" i="21" s="1"/>
  <c r="J291" i="21"/>
  <c r="K291" i="21" s="1"/>
  <c r="L291" i="21" s="1"/>
  <c r="M291" i="21" s="1"/>
  <c r="G291" i="21"/>
  <c r="H291" i="21" s="1"/>
  <c r="I291" i="21" s="1"/>
  <c r="J197" i="21"/>
  <c r="K197" i="21" s="1"/>
  <c r="L197" i="21" s="1"/>
  <c r="M197" i="21" s="1"/>
  <c r="G197" i="21"/>
  <c r="H197" i="21" s="1"/>
  <c r="I197" i="21" s="1"/>
  <c r="J342" i="21"/>
  <c r="K342" i="21" s="1"/>
  <c r="L342" i="21" s="1"/>
  <c r="M342" i="21" s="1"/>
  <c r="G342" i="21"/>
  <c r="H342" i="21" s="1"/>
  <c r="I342" i="21" s="1"/>
  <c r="J86" i="21"/>
  <c r="K86" i="21" s="1"/>
  <c r="L86" i="21" s="1"/>
  <c r="M86" i="21" s="1"/>
  <c r="G86" i="21"/>
  <c r="H86" i="21" s="1"/>
  <c r="I86" i="21" s="1"/>
  <c r="J138" i="21"/>
  <c r="K138" i="21" s="1"/>
  <c r="L138" i="21" s="1"/>
  <c r="M138" i="21" s="1"/>
  <c r="G138" i="21"/>
  <c r="H138" i="21" s="1"/>
  <c r="I138" i="21" s="1"/>
  <c r="J135" i="21"/>
  <c r="K135" i="21" s="1"/>
  <c r="L135" i="21" s="1"/>
  <c r="M135" i="21" s="1"/>
  <c r="G135" i="21"/>
  <c r="H135" i="21" s="1"/>
  <c r="I135" i="21" s="1"/>
  <c r="J285" i="21"/>
  <c r="K285" i="21" s="1"/>
  <c r="L285" i="21" s="1"/>
  <c r="M285" i="21" s="1"/>
  <c r="G285" i="21"/>
  <c r="H285" i="21" s="1"/>
  <c r="I285" i="21" s="1"/>
  <c r="J107" i="21"/>
  <c r="K107" i="21" s="1"/>
  <c r="L107" i="21" s="1"/>
  <c r="M107" i="21" s="1"/>
  <c r="G107" i="21"/>
  <c r="H107" i="21" s="1"/>
  <c r="I107" i="21" s="1"/>
  <c r="J289" i="21"/>
  <c r="K289" i="21" s="1"/>
  <c r="L289" i="21" s="1"/>
  <c r="M289" i="21" s="1"/>
  <c r="G289" i="21"/>
  <c r="H289" i="21" s="1"/>
  <c r="I289" i="21" s="1"/>
  <c r="J270" i="21"/>
  <c r="K270" i="21" s="1"/>
  <c r="L270" i="21" s="1"/>
  <c r="M270" i="21" s="1"/>
  <c r="G270" i="21"/>
  <c r="H270" i="21" s="1"/>
  <c r="I270" i="21" s="1"/>
  <c r="J35" i="21"/>
  <c r="K35" i="21" s="1"/>
  <c r="L35" i="21" s="1"/>
  <c r="M35" i="21" s="1"/>
  <c r="G35" i="21"/>
  <c r="H35" i="21" s="1"/>
  <c r="I35" i="21" s="1"/>
  <c r="J204" i="21"/>
  <c r="K204" i="21" s="1"/>
  <c r="L204" i="21" s="1"/>
  <c r="M204" i="21" s="1"/>
  <c r="G204" i="21"/>
  <c r="H204" i="21" s="1"/>
  <c r="I204" i="21" s="1"/>
  <c r="J111" i="21"/>
  <c r="K111" i="21" s="1"/>
  <c r="L111" i="21" s="1"/>
  <c r="M111" i="21" s="1"/>
  <c r="G111" i="21"/>
  <c r="H111" i="21" s="1"/>
  <c r="I111" i="21" s="1"/>
  <c r="J57" i="21"/>
  <c r="K57" i="21" s="1"/>
  <c r="L57" i="21" s="1"/>
  <c r="M57" i="21" s="1"/>
  <c r="G57" i="21"/>
  <c r="H57" i="21" s="1"/>
  <c r="I57" i="21" s="1"/>
  <c r="J290" i="21"/>
  <c r="K290" i="21" s="1"/>
  <c r="L290" i="21" s="1"/>
  <c r="M290" i="21" s="1"/>
  <c r="G290" i="21"/>
  <c r="H290" i="21" s="1"/>
  <c r="I290" i="21" s="1"/>
  <c r="J249" i="21"/>
  <c r="K249" i="21" s="1"/>
  <c r="L249" i="21" s="1"/>
  <c r="M249" i="21" s="1"/>
  <c r="G249" i="21"/>
  <c r="H249" i="21" s="1"/>
  <c r="I249" i="21" s="1"/>
  <c r="J307" i="21"/>
  <c r="K307" i="21" s="1"/>
  <c r="L307" i="21" s="1"/>
  <c r="M307" i="21" s="1"/>
  <c r="G307" i="21"/>
  <c r="H307" i="21" s="1"/>
  <c r="I307" i="21" s="1"/>
  <c r="J74" i="21"/>
  <c r="K74" i="21" s="1"/>
  <c r="L74" i="21" s="1"/>
  <c r="M74" i="21" s="1"/>
  <c r="G74" i="21"/>
  <c r="H74" i="21" s="1"/>
  <c r="I74" i="21" s="1"/>
  <c r="J316" i="21"/>
  <c r="K316" i="21" s="1"/>
  <c r="L316" i="21" s="1"/>
  <c r="M316" i="21" s="1"/>
  <c r="G316" i="21"/>
  <c r="H316" i="21" s="1"/>
  <c r="I316" i="21" s="1"/>
  <c r="J59" i="21"/>
  <c r="K59" i="21" s="1"/>
  <c r="L59" i="21" s="1"/>
  <c r="M59" i="21" s="1"/>
  <c r="G59" i="21"/>
  <c r="H59" i="21" s="1"/>
  <c r="I59" i="21" s="1"/>
  <c r="J222" i="21"/>
  <c r="K222" i="21" s="1"/>
  <c r="L222" i="21" s="1"/>
  <c r="M222" i="21" s="1"/>
  <c r="G222" i="21"/>
  <c r="H222" i="21" s="1"/>
  <c r="I222" i="21" s="1"/>
  <c r="J372" i="21"/>
  <c r="K372" i="21" s="1"/>
  <c r="L372" i="21" s="1"/>
  <c r="M372" i="21" s="1"/>
  <c r="G372" i="21"/>
  <c r="H372" i="21" s="1"/>
  <c r="I372" i="21" s="1"/>
  <c r="J269" i="21"/>
  <c r="K269" i="21" s="1"/>
  <c r="L269" i="21" s="1"/>
  <c r="M269" i="21" s="1"/>
  <c r="G269" i="21"/>
  <c r="H269" i="21" s="1"/>
  <c r="I269" i="21" s="1"/>
  <c r="J369" i="21"/>
  <c r="K369" i="21" s="1"/>
  <c r="L369" i="21" s="1"/>
  <c r="M369" i="21" s="1"/>
  <c r="G369" i="21"/>
  <c r="H369" i="21" s="1"/>
  <c r="I369" i="21" s="1"/>
  <c r="J193" i="21"/>
  <c r="K193" i="21" s="1"/>
  <c r="L193" i="21" s="1"/>
  <c r="M193" i="21" s="1"/>
  <c r="G193" i="21"/>
  <c r="H193" i="21" s="1"/>
  <c r="I193" i="21" s="1"/>
  <c r="J131" i="21"/>
  <c r="K131" i="21" s="1"/>
  <c r="L131" i="21" s="1"/>
  <c r="M131" i="21" s="1"/>
  <c r="G131" i="21"/>
  <c r="H131" i="21" s="1"/>
  <c r="I131" i="21" s="1"/>
  <c r="J281" i="21"/>
  <c r="K281" i="21" s="1"/>
  <c r="L281" i="21" s="1"/>
  <c r="M281" i="21" s="1"/>
  <c r="G281" i="21"/>
  <c r="H281" i="21" s="1"/>
  <c r="I281" i="21" s="1"/>
  <c r="J355" i="21"/>
  <c r="K355" i="21" s="1"/>
  <c r="L355" i="21" s="1"/>
  <c r="M355" i="21" s="1"/>
  <c r="G355" i="21"/>
  <c r="H355" i="21" s="1"/>
  <c r="I355" i="21" s="1"/>
  <c r="J194" i="21"/>
  <c r="K194" i="21" s="1"/>
  <c r="L194" i="21" s="1"/>
  <c r="M194" i="21" s="1"/>
  <c r="G194" i="21"/>
  <c r="H194" i="21" s="1"/>
  <c r="I194" i="21" s="1"/>
  <c r="J272" i="21"/>
  <c r="K272" i="21" s="1"/>
  <c r="L272" i="21" s="1"/>
  <c r="M272" i="21" s="1"/>
  <c r="G272" i="21"/>
  <c r="H272" i="21" s="1"/>
  <c r="I272" i="21" s="1"/>
  <c r="J252" i="21"/>
  <c r="K252" i="21" s="1"/>
  <c r="L252" i="21" s="1"/>
  <c r="M252" i="21" s="1"/>
  <c r="G252" i="21"/>
  <c r="H252" i="21" s="1"/>
  <c r="I252" i="21" s="1"/>
  <c r="J39" i="21"/>
  <c r="K39" i="21" s="1"/>
  <c r="L39" i="21" s="1"/>
  <c r="M39" i="21" s="1"/>
  <c r="G39" i="21"/>
  <c r="H39" i="21" s="1"/>
  <c r="I39" i="21" s="1"/>
  <c r="J75" i="21"/>
  <c r="K75" i="21" s="1"/>
  <c r="L75" i="21" s="1"/>
  <c r="M75" i="21" s="1"/>
  <c r="G75" i="21"/>
  <c r="H75" i="21" s="1"/>
  <c r="I75" i="21" s="1"/>
  <c r="J60" i="21"/>
  <c r="K60" i="21" s="1"/>
  <c r="L60" i="21" s="1"/>
  <c r="M60" i="21" s="1"/>
  <c r="G60" i="21"/>
  <c r="H60" i="21" s="1"/>
  <c r="I60" i="21" s="1"/>
  <c r="J191" i="21"/>
  <c r="K191" i="21" s="1"/>
  <c r="L191" i="21" s="1"/>
  <c r="M191" i="21" s="1"/>
  <c r="G191" i="21"/>
  <c r="H191" i="21" s="1"/>
  <c r="I191" i="21" s="1"/>
  <c r="J254" i="21"/>
  <c r="K254" i="21" s="1"/>
  <c r="L254" i="21" s="1"/>
  <c r="M254" i="21" s="1"/>
  <c r="G254" i="21"/>
  <c r="H254" i="21" s="1"/>
  <c r="I254" i="21" s="1"/>
  <c r="J228" i="21"/>
  <c r="K228" i="21" s="1"/>
  <c r="L228" i="21" s="1"/>
  <c r="M228" i="21" s="1"/>
  <c r="G228" i="21"/>
  <c r="H228" i="21" s="1"/>
  <c r="I228" i="21" s="1"/>
  <c r="J93" i="21"/>
  <c r="K93" i="21" s="1"/>
  <c r="L93" i="21" s="1"/>
  <c r="M93" i="21" s="1"/>
  <c r="G93" i="21"/>
  <c r="H93" i="21" s="1"/>
  <c r="I93" i="21" s="1"/>
  <c r="J119" i="21"/>
  <c r="K119" i="21" s="1"/>
  <c r="L119" i="21" s="1"/>
  <c r="M119" i="21" s="1"/>
  <c r="G119" i="21"/>
  <c r="H119" i="21" s="1"/>
  <c r="I119" i="21" s="1"/>
  <c r="J32" i="21"/>
  <c r="K32" i="21" s="1"/>
  <c r="L32" i="21" s="1"/>
  <c r="M32" i="21" s="1"/>
  <c r="G32" i="21"/>
  <c r="H32" i="21" s="1"/>
  <c r="I32" i="21" s="1"/>
  <c r="J182" i="21"/>
  <c r="K182" i="21" s="1"/>
  <c r="L182" i="21" s="1"/>
  <c r="M182" i="21" s="1"/>
  <c r="G182" i="21"/>
  <c r="H182" i="21" s="1"/>
  <c r="I182" i="21" s="1"/>
  <c r="J130" i="21"/>
  <c r="K130" i="21" s="1"/>
  <c r="L130" i="21" s="1"/>
  <c r="M130" i="21" s="1"/>
  <c r="G130" i="21"/>
  <c r="H130" i="21" s="1"/>
  <c r="I130" i="21" s="1"/>
  <c r="J373" i="21"/>
  <c r="K373" i="21" s="1"/>
  <c r="L373" i="21" s="1"/>
  <c r="M373" i="21" s="1"/>
  <c r="G373" i="21"/>
  <c r="H373" i="21" s="1"/>
  <c r="I373" i="21" s="1"/>
  <c r="J45" i="21"/>
  <c r="K45" i="21" s="1"/>
  <c r="L45" i="21" s="1"/>
  <c r="M45" i="21" s="1"/>
  <c r="G45" i="21"/>
  <c r="H45" i="21" s="1"/>
  <c r="I45" i="21" s="1"/>
  <c r="J34" i="21"/>
  <c r="K34" i="21" s="1"/>
  <c r="L34" i="21" s="1"/>
  <c r="M34" i="21" s="1"/>
  <c r="G34" i="21"/>
  <c r="H34" i="21" s="1"/>
  <c r="I34" i="21" s="1"/>
  <c r="J337" i="21"/>
  <c r="K337" i="21" s="1"/>
  <c r="L337" i="21" s="1"/>
  <c r="M337" i="21" s="1"/>
  <c r="G337" i="21"/>
  <c r="H337" i="21" s="1"/>
  <c r="I337" i="21" s="1"/>
  <c r="J216" i="21"/>
  <c r="K216" i="21" s="1"/>
  <c r="L216" i="21" s="1"/>
  <c r="M216" i="21" s="1"/>
  <c r="G216" i="21"/>
  <c r="H216" i="21" s="1"/>
  <c r="I216" i="21" s="1"/>
  <c r="J168" i="21"/>
  <c r="K168" i="21" s="1"/>
  <c r="L168" i="21" s="1"/>
  <c r="M168" i="21" s="1"/>
  <c r="G168" i="21"/>
  <c r="H168" i="21" s="1"/>
  <c r="I168" i="21" s="1"/>
  <c r="J178" i="21"/>
  <c r="K178" i="21" s="1"/>
  <c r="L178" i="21" s="1"/>
  <c r="M178" i="21" s="1"/>
  <c r="G178" i="21"/>
  <c r="H178" i="21" s="1"/>
  <c r="I178" i="21" s="1"/>
  <c r="J338" i="21"/>
  <c r="K338" i="21" s="1"/>
  <c r="L338" i="21" s="1"/>
  <c r="M338" i="21" s="1"/>
  <c r="G338" i="21"/>
  <c r="H338" i="21" s="1"/>
  <c r="I338" i="21" s="1"/>
  <c r="J56" i="21"/>
  <c r="K56" i="21" s="1"/>
  <c r="L56" i="21" s="1"/>
  <c r="M56" i="21" s="1"/>
  <c r="G56" i="21"/>
  <c r="H56" i="21" s="1"/>
  <c r="I56" i="21" s="1"/>
  <c r="J185" i="21"/>
  <c r="K185" i="21" s="1"/>
  <c r="L185" i="21" s="1"/>
  <c r="M185" i="21" s="1"/>
  <c r="G185" i="21"/>
  <c r="H185" i="21" s="1"/>
  <c r="I185" i="21" s="1"/>
  <c r="J266" i="21"/>
  <c r="K266" i="21" s="1"/>
  <c r="L266" i="21" s="1"/>
  <c r="M266" i="21" s="1"/>
  <c r="G266" i="21"/>
  <c r="H266" i="21" s="1"/>
  <c r="I266" i="21" s="1"/>
  <c r="J313" i="21"/>
  <c r="K313" i="21" s="1"/>
  <c r="L313" i="21" s="1"/>
  <c r="M313" i="21" s="1"/>
  <c r="G313" i="21"/>
  <c r="H313" i="21" s="1"/>
  <c r="I313" i="21" s="1"/>
  <c r="J47" i="21"/>
  <c r="K47" i="21" s="1"/>
  <c r="L47" i="21" s="1"/>
  <c r="M47" i="21" s="1"/>
  <c r="G47" i="21"/>
  <c r="H47" i="21" s="1"/>
  <c r="I47" i="21" s="1"/>
  <c r="J128" i="21"/>
  <c r="K128" i="21" s="1"/>
  <c r="L128" i="21" s="1"/>
  <c r="M128" i="21" s="1"/>
  <c r="G128" i="21"/>
  <c r="H128" i="21" s="1"/>
  <c r="I128" i="21" s="1"/>
  <c r="J122" i="21"/>
  <c r="K122" i="21" s="1"/>
  <c r="L122" i="21" s="1"/>
  <c r="M122" i="21" s="1"/>
  <c r="G122" i="21"/>
  <c r="H122" i="21" s="1"/>
  <c r="I122" i="21" s="1"/>
  <c r="J260" i="21"/>
  <c r="K260" i="21" s="1"/>
  <c r="L260" i="21" s="1"/>
  <c r="M260" i="21" s="1"/>
  <c r="G260" i="21"/>
  <c r="H260" i="21" s="1"/>
  <c r="I260" i="21" s="1"/>
  <c r="J88" i="21"/>
  <c r="K88" i="21" s="1"/>
  <c r="L88" i="21" s="1"/>
  <c r="M88" i="21" s="1"/>
  <c r="G88" i="21"/>
  <c r="H88" i="21" s="1"/>
  <c r="I88" i="21" s="1"/>
  <c r="J360" i="21"/>
  <c r="K360" i="21" s="1"/>
  <c r="L360" i="21" s="1"/>
  <c r="M360" i="21" s="1"/>
  <c r="G360" i="21"/>
  <c r="H360" i="21" s="1"/>
  <c r="I360" i="21" s="1"/>
  <c r="J27" i="21"/>
  <c r="K27" i="21" s="1"/>
  <c r="L27" i="21" s="1"/>
  <c r="M27" i="21" s="1"/>
  <c r="G27" i="21"/>
  <c r="H27" i="21" s="1"/>
  <c r="I27" i="21" s="1"/>
  <c r="J251" i="21"/>
  <c r="K251" i="21" s="1"/>
  <c r="L251" i="21" s="1"/>
  <c r="M251" i="21" s="1"/>
  <c r="G251" i="21"/>
  <c r="H251" i="21" s="1"/>
  <c r="I251" i="21" s="1"/>
  <c r="J280" i="21"/>
  <c r="K280" i="21" s="1"/>
  <c r="L280" i="21" s="1"/>
  <c r="M280" i="21" s="1"/>
  <c r="G280" i="21"/>
  <c r="H280" i="21" s="1"/>
  <c r="I280" i="21" s="1"/>
  <c r="J309" i="21"/>
  <c r="K309" i="21" s="1"/>
  <c r="L309" i="21" s="1"/>
  <c r="M309" i="21" s="1"/>
  <c r="G309" i="21"/>
  <c r="H309" i="21" s="1"/>
  <c r="I309" i="21" s="1"/>
  <c r="J241" i="21"/>
  <c r="K241" i="21" s="1"/>
  <c r="L241" i="21" s="1"/>
  <c r="M241" i="21" s="1"/>
  <c r="G241" i="21"/>
  <c r="H241" i="21" s="1"/>
  <c r="I241" i="21" s="1"/>
  <c r="J320" i="21"/>
  <c r="K320" i="21" s="1"/>
  <c r="L320" i="21" s="1"/>
  <c r="M320" i="21" s="1"/>
  <c r="G320" i="21"/>
  <c r="H320" i="21" s="1"/>
  <c r="I320" i="21" s="1"/>
  <c r="J127" i="21"/>
  <c r="K127" i="21" s="1"/>
  <c r="L127" i="21" s="1"/>
  <c r="M127" i="21" s="1"/>
  <c r="G127" i="21"/>
  <c r="H127" i="21" s="1"/>
  <c r="I127" i="21" s="1"/>
  <c r="J113" i="21"/>
  <c r="K113" i="21" s="1"/>
  <c r="L113" i="21" s="1"/>
  <c r="M113" i="21" s="1"/>
  <c r="G113" i="21"/>
  <c r="H113" i="21" s="1"/>
  <c r="I113" i="21" s="1"/>
  <c r="J20" i="21"/>
  <c r="K20" i="21" s="1"/>
  <c r="L20" i="21" s="1"/>
  <c r="M20" i="21" s="1"/>
  <c r="J69" i="21"/>
  <c r="K69" i="21" s="1"/>
  <c r="L69" i="21" s="1"/>
  <c r="M69" i="21" s="1"/>
  <c r="G69" i="21"/>
  <c r="H69" i="21" s="1"/>
  <c r="I69" i="21" s="1"/>
  <c r="J43" i="21"/>
  <c r="K43" i="21" s="1"/>
  <c r="L43" i="21" s="1"/>
  <c r="M43" i="21" s="1"/>
  <c r="G43" i="21"/>
  <c r="H43" i="21" s="1"/>
  <c r="I43" i="21" s="1"/>
  <c r="J300" i="21"/>
  <c r="K300" i="21" s="1"/>
  <c r="L300" i="21" s="1"/>
  <c r="M300" i="21" s="1"/>
  <c r="G300" i="21"/>
  <c r="H300" i="21" s="1"/>
  <c r="I300" i="21" s="1"/>
  <c r="J294" i="21"/>
  <c r="K294" i="21" s="1"/>
  <c r="L294" i="21" s="1"/>
  <c r="M294" i="21" s="1"/>
  <c r="G294" i="21"/>
  <c r="H294" i="21" s="1"/>
  <c r="I294" i="21" s="1"/>
  <c r="J340" i="21"/>
  <c r="K340" i="21" s="1"/>
  <c r="L340" i="21" s="1"/>
  <c r="M340" i="21" s="1"/>
  <c r="G340" i="21"/>
  <c r="H340" i="21" s="1"/>
  <c r="I340" i="21" s="1"/>
  <c r="J288" i="21"/>
  <c r="K288" i="21" s="1"/>
  <c r="L288" i="21" s="1"/>
  <c r="M288" i="21" s="1"/>
  <c r="G288" i="21"/>
  <c r="H288" i="21" s="1"/>
  <c r="I288" i="21" s="1"/>
  <c r="J100" i="21"/>
  <c r="K100" i="21" s="1"/>
  <c r="L100" i="21" s="1"/>
  <c r="M100" i="21" s="1"/>
  <c r="G100" i="21"/>
  <c r="H100" i="21" s="1"/>
  <c r="I100" i="21" s="1"/>
  <c r="J85" i="21"/>
  <c r="K85" i="21" s="1"/>
  <c r="L85" i="21" s="1"/>
  <c r="M85" i="21" s="1"/>
  <c r="G85" i="21"/>
  <c r="H85" i="21" s="1"/>
  <c r="I85" i="21" s="1"/>
  <c r="J359" i="21"/>
  <c r="K359" i="21" s="1"/>
  <c r="L359" i="21" s="1"/>
  <c r="M359" i="21" s="1"/>
  <c r="G359" i="21"/>
  <c r="H359" i="21" s="1"/>
  <c r="I359" i="21" s="1"/>
  <c r="J170" i="21"/>
  <c r="K170" i="21" s="1"/>
  <c r="L170" i="21" s="1"/>
  <c r="M170" i="21" s="1"/>
  <c r="G170" i="21"/>
  <c r="H170" i="21" s="1"/>
  <c r="I170" i="21" s="1"/>
  <c r="J354" i="21"/>
  <c r="K354" i="21" s="1"/>
  <c r="L354" i="21" s="1"/>
  <c r="M354" i="21" s="1"/>
  <c r="G354" i="21"/>
  <c r="H354" i="21" s="1"/>
  <c r="I354" i="21" s="1"/>
  <c r="J41" i="21"/>
  <c r="K41" i="21" s="1"/>
  <c r="L41" i="21" s="1"/>
  <c r="M41" i="21" s="1"/>
  <c r="G41" i="21"/>
  <c r="H41" i="21" s="1"/>
  <c r="I41" i="21" s="1"/>
  <c r="J203" i="21"/>
  <c r="K203" i="21" s="1"/>
  <c r="L203" i="21" s="1"/>
  <c r="M203" i="21" s="1"/>
  <c r="G203" i="21"/>
  <c r="H203" i="21" s="1"/>
  <c r="I203" i="21" s="1"/>
  <c r="J362" i="21"/>
  <c r="K362" i="21" s="1"/>
  <c r="L362" i="21" s="1"/>
  <c r="M362" i="21" s="1"/>
  <c r="G362" i="21"/>
  <c r="H362" i="21" s="1"/>
  <c r="I362" i="21" s="1"/>
  <c r="J104" i="21"/>
  <c r="K104" i="21" s="1"/>
  <c r="L104" i="21" s="1"/>
  <c r="M104" i="21" s="1"/>
  <c r="G104" i="21"/>
  <c r="H104" i="21" s="1"/>
  <c r="I104" i="21" s="1"/>
  <c r="J330" i="21"/>
  <c r="K330" i="21" s="1"/>
  <c r="L330" i="21" s="1"/>
  <c r="M330" i="21" s="1"/>
  <c r="G330" i="21"/>
  <c r="H330" i="21" s="1"/>
  <c r="I330" i="21" s="1"/>
  <c r="J312" i="21"/>
  <c r="K312" i="21" s="1"/>
  <c r="L312" i="21" s="1"/>
  <c r="M312" i="21" s="1"/>
  <c r="G312" i="21"/>
  <c r="H312" i="21" s="1"/>
  <c r="I312" i="21" s="1"/>
  <c r="J232" i="21"/>
  <c r="K232" i="21" s="1"/>
  <c r="L232" i="21" s="1"/>
  <c r="M232" i="21" s="1"/>
  <c r="G232" i="21"/>
  <c r="H232" i="21" s="1"/>
  <c r="I232" i="21" s="1"/>
  <c r="J92" i="21"/>
  <c r="K92" i="21" s="1"/>
  <c r="L92" i="21" s="1"/>
  <c r="M92" i="21" s="1"/>
  <c r="G92" i="21"/>
  <c r="H92" i="21" s="1"/>
  <c r="I92" i="21" s="1"/>
  <c r="J140" i="21"/>
  <c r="K140" i="21" s="1"/>
  <c r="L140" i="21" s="1"/>
  <c r="M140" i="21" s="1"/>
  <c r="G140" i="21"/>
  <c r="H140" i="21" s="1"/>
  <c r="I140" i="21" s="1"/>
  <c r="J112" i="21"/>
  <c r="K112" i="21" s="1"/>
  <c r="L112" i="21" s="1"/>
  <c r="M112" i="21" s="1"/>
  <c r="G112" i="21"/>
  <c r="H112" i="21" s="1"/>
  <c r="I112" i="21" s="1"/>
  <c r="J64" i="21"/>
  <c r="K64" i="21" s="1"/>
  <c r="L64" i="21" s="1"/>
  <c r="M64" i="21" s="1"/>
  <c r="G64" i="21"/>
  <c r="H64" i="21" s="1"/>
  <c r="I64" i="21" s="1"/>
  <c r="J267" i="21"/>
  <c r="K267" i="21" s="1"/>
  <c r="L267" i="21" s="1"/>
  <c r="M267" i="21" s="1"/>
  <c r="G267" i="21"/>
  <c r="H267" i="21" s="1"/>
  <c r="I267" i="21" s="1"/>
  <c r="J110" i="21"/>
  <c r="K110" i="21" s="1"/>
  <c r="L110" i="21" s="1"/>
  <c r="M110" i="21" s="1"/>
  <c r="G110" i="21"/>
  <c r="H110" i="21" s="1"/>
  <c r="I110" i="21" s="1"/>
  <c r="J271" i="21"/>
  <c r="K271" i="21" s="1"/>
  <c r="L271" i="21" s="1"/>
  <c r="M271" i="21" s="1"/>
  <c r="G271" i="21"/>
  <c r="H271" i="21" s="1"/>
  <c r="I271" i="21" s="1"/>
  <c r="J213" i="21"/>
  <c r="K213" i="21" s="1"/>
  <c r="L213" i="21" s="1"/>
  <c r="M213" i="21" s="1"/>
  <c r="G213" i="21"/>
  <c r="H213" i="21" s="1"/>
  <c r="I213" i="21" s="1"/>
  <c r="J147" i="21"/>
  <c r="K147" i="21" s="1"/>
  <c r="L147" i="21" s="1"/>
  <c r="M147" i="21" s="1"/>
  <c r="G147" i="21"/>
  <c r="H147" i="21" s="1"/>
  <c r="I147" i="21" s="1"/>
  <c r="J161" i="21"/>
  <c r="K161" i="21" s="1"/>
  <c r="L161" i="21" s="1"/>
  <c r="M161" i="21" s="1"/>
  <c r="G161" i="21"/>
  <c r="H161" i="21" s="1"/>
  <c r="I161" i="21" s="1"/>
  <c r="J174" i="21"/>
  <c r="K174" i="21" s="1"/>
  <c r="L174" i="21" s="1"/>
  <c r="M174" i="21" s="1"/>
  <c r="G174" i="21"/>
  <c r="H174" i="21" s="1"/>
  <c r="I174" i="21" s="1"/>
  <c r="J332" i="21"/>
  <c r="K332" i="21" s="1"/>
  <c r="L332" i="21" s="1"/>
  <c r="M332" i="21" s="1"/>
  <c r="G332" i="21"/>
  <c r="H332" i="21" s="1"/>
  <c r="I332" i="21" s="1"/>
  <c r="J155" i="21"/>
  <c r="K155" i="21" s="1"/>
  <c r="L155" i="21" s="1"/>
  <c r="M155" i="21" s="1"/>
  <c r="G155" i="21"/>
  <c r="H155" i="21" s="1"/>
  <c r="I155" i="21" s="1"/>
  <c r="J278" i="21"/>
  <c r="K278" i="21" s="1"/>
  <c r="L278" i="21" s="1"/>
  <c r="M278" i="21" s="1"/>
  <c r="G278" i="21"/>
  <c r="H278" i="21" s="1"/>
  <c r="I278" i="21" s="1"/>
  <c r="J101" i="21"/>
  <c r="K101" i="21" s="1"/>
  <c r="L101" i="21" s="1"/>
  <c r="M101" i="21" s="1"/>
  <c r="G101" i="21"/>
  <c r="H101" i="21" s="1"/>
  <c r="I101" i="21" s="1"/>
  <c r="J150" i="21"/>
  <c r="K150" i="21" s="1"/>
  <c r="L150" i="21" s="1"/>
  <c r="M150" i="21" s="1"/>
  <c r="G150" i="21"/>
  <c r="H150" i="21" s="1"/>
  <c r="I150" i="21" s="1"/>
  <c r="J292" i="21"/>
  <c r="K292" i="21" s="1"/>
  <c r="L292" i="21" s="1"/>
  <c r="M292" i="21" s="1"/>
  <c r="G292" i="21"/>
  <c r="H292" i="21" s="1"/>
  <c r="I292" i="21" s="1"/>
  <c r="J344" i="21"/>
  <c r="K344" i="21" s="1"/>
  <c r="L344" i="21" s="1"/>
  <c r="M344" i="21" s="1"/>
  <c r="G344" i="21"/>
  <c r="H344" i="21" s="1"/>
  <c r="I344" i="21" s="1"/>
  <c r="J211" i="21"/>
  <c r="K211" i="21" s="1"/>
  <c r="L211" i="21" s="1"/>
  <c r="M211" i="21" s="1"/>
  <c r="G211" i="21"/>
  <c r="H211" i="21" s="1"/>
  <c r="I211" i="21" s="1"/>
  <c r="J96" i="21"/>
  <c r="K96" i="21" s="1"/>
  <c r="L96" i="21" s="1"/>
  <c r="M96" i="21" s="1"/>
  <c r="G96" i="21"/>
  <c r="H96" i="21" s="1"/>
  <c r="I96" i="21" s="1"/>
  <c r="J148" i="21"/>
  <c r="K148" i="21" s="1"/>
  <c r="L148" i="21" s="1"/>
  <c r="M148" i="21" s="1"/>
  <c r="G148" i="21"/>
  <c r="H148" i="21" s="1"/>
  <c r="I148" i="21" s="1"/>
  <c r="J225" i="21"/>
  <c r="K225" i="21" s="1"/>
  <c r="L225" i="21" s="1"/>
  <c r="M225" i="21" s="1"/>
  <c r="G225" i="21"/>
  <c r="H225" i="21" s="1"/>
  <c r="I225" i="21" s="1"/>
  <c r="J365" i="21"/>
  <c r="K365" i="21" s="1"/>
  <c r="L365" i="21" s="1"/>
  <c r="M365" i="21" s="1"/>
  <c r="G365" i="21"/>
  <c r="H365" i="21" s="1"/>
  <c r="I365" i="21" s="1"/>
  <c r="J334" i="21"/>
  <c r="K334" i="21" s="1"/>
  <c r="L334" i="21" s="1"/>
  <c r="M334" i="21" s="1"/>
  <c r="G334" i="21"/>
  <c r="H334" i="21" s="1"/>
  <c r="I334" i="21" s="1"/>
  <c r="J339" i="21"/>
  <c r="K339" i="21" s="1"/>
  <c r="L339" i="21" s="1"/>
  <c r="M339" i="21" s="1"/>
  <c r="G339" i="21"/>
  <c r="H339" i="21" s="1"/>
  <c r="I339" i="21" s="1"/>
  <c r="J53" i="21"/>
  <c r="K53" i="21" s="1"/>
  <c r="L53" i="21" s="1"/>
  <c r="M53" i="21" s="1"/>
  <c r="G53" i="21"/>
  <c r="H53" i="21" s="1"/>
  <c r="I53" i="21" s="1"/>
  <c r="J141" i="21"/>
  <c r="K141" i="21" s="1"/>
  <c r="L141" i="21" s="1"/>
  <c r="M141" i="21" s="1"/>
  <c r="G141" i="21"/>
  <c r="H141" i="21" s="1"/>
  <c r="I141" i="21" s="1"/>
  <c r="J189" i="21"/>
  <c r="K189" i="21" s="1"/>
  <c r="L189" i="21" s="1"/>
  <c r="M189" i="21" s="1"/>
  <c r="G189" i="21"/>
  <c r="H189" i="21" s="1"/>
  <c r="I189" i="21" s="1"/>
  <c r="J215" i="21"/>
  <c r="K215" i="21" s="1"/>
  <c r="L215" i="21" s="1"/>
  <c r="M215" i="21" s="1"/>
  <c r="G215" i="21"/>
  <c r="H215" i="21" s="1"/>
  <c r="I215" i="21" s="1"/>
  <c r="J179" i="21"/>
  <c r="K179" i="21" s="1"/>
  <c r="L179" i="21" s="1"/>
  <c r="M179" i="21" s="1"/>
  <c r="G179" i="21"/>
  <c r="H179" i="21" s="1"/>
  <c r="I179" i="21" s="1"/>
  <c r="J142" i="21"/>
  <c r="K142" i="21" s="1"/>
  <c r="L142" i="21" s="1"/>
  <c r="M142" i="21" s="1"/>
  <c r="G142" i="21"/>
  <c r="H142" i="21" s="1"/>
  <c r="I142" i="21" s="1"/>
  <c r="J190" i="21"/>
  <c r="K190" i="21" s="1"/>
  <c r="L190" i="21" s="1"/>
  <c r="M190" i="21" s="1"/>
  <c r="G190" i="21"/>
  <c r="H190" i="21" s="1"/>
  <c r="I190" i="21" s="1"/>
  <c r="J187" i="21"/>
  <c r="K187" i="21" s="1"/>
  <c r="L187" i="21" s="1"/>
  <c r="M187" i="21" s="1"/>
  <c r="G187" i="21"/>
  <c r="H187" i="21" s="1"/>
  <c r="I187" i="21" s="1"/>
  <c r="J164" i="21"/>
  <c r="K164" i="21" s="1"/>
  <c r="L164" i="21" s="1"/>
  <c r="M164" i="21" s="1"/>
  <c r="G164" i="21"/>
  <c r="H164" i="21" s="1"/>
  <c r="I164" i="21" s="1"/>
  <c r="J82" i="21"/>
  <c r="K82" i="21" s="1"/>
  <c r="L82" i="21" s="1"/>
  <c r="M82" i="21" s="1"/>
  <c r="G82" i="21"/>
  <c r="H82" i="21" s="1"/>
  <c r="I82" i="21" s="1"/>
  <c r="J58" i="21"/>
  <c r="K58" i="21" s="1"/>
  <c r="L58" i="21" s="1"/>
  <c r="M58" i="21" s="1"/>
  <c r="G58" i="21"/>
  <c r="H58" i="21" s="1"/>
  <c r="I58" i="21" s="1"/>
  <c r="J186" i="21"/>
  <c r="K186" i="21" s="1"/>
  <c r="L186" i="21" s="1"/>
  <c r="M186" i="21" s="1"/>
  <c r="G186" i="21"/>
  <c r="H186" i="21" s="1"/>
  <c r="I186" i="21" s="1"/>
  <c r="J218" i="21"/>
  <c r="K218" i="21" s="1"/>
  <c r="L218" i="21" s="1"/>
  <c r="M218" i="21" s="1"/>
  <c r="G218" i="21"/>
  <c r="H218" i="21" s="1"/>
  <c r="I218" i="21" s="1"/>
  <c r="J149" i="21"/>
  <c r="K149" i="21" s="1"/>
  <c r="L149" i="21" s="1"/>
  <c r="M149" i="21" s="1"/>
  <c r="G149" i="21"/>
  <c r="H149" i="21" s="1"/>
  <c r="I149" i="21" s="1"/>
  <c r="J327" i="21"/>
  <c r="K327" i="21" s="1"/>
  <c r="L327" i="21" s="1"/>
  <c r="M327" i="21" s="1"/>
  <c r="G327" i="21"/>
  <c r="H327" i="21" s="1"/>
  <c r="I327" i="21" s="1"/>
  <c r="J238" i="21"/>
  <c r="K238" i="21" s="1"/>
  <c r="L238" i="21" s="1"/>
  <c r="M238" i="21" s="1"/>
  <c r="G238" i="21"/>
  <c r="H238" i="21" s="1"/>
  <c r="I238" i="21" s="1"/>
  <c r="J36" i="21"/>
  <c r="K36" i="21" s="1"/>
  <c r="L36" i="21" s="1"/>
  <c r="M36" i="21" s="1"/>
  <c r="G36" i="21"/>
  <c r="H36" i="21" s="1"/>
  <c r="I36" i="21" s="1"/>
  <c r="J198" i="21"/>
  <c r="K198" i="21" s="1"/>
  <c r="L198" i="21" s="1"/>
  <c r="M198" i="21" s="1"/>
  <c r="G198" i="21"/>
  <c r="H198" i="21" s="1"/>
  <c r="I198" i="21" s="1"/>
  <c r="J261" i="21"/>
  <c r="K261" i="21" s="1"/>
  <c r="L261" i="21" s="1"/>
  <c r="M261" i="21" s="1"/>
  <c r="G261" i="21"/>
  <c r="H261" i="21" s="1"/>
  <c r="I261" i="21" s="1"/>
  <c r="J125" i="21"/>
  <c r="K125" i="21" s="1"/>
  <c r="L125" i="21" s="1"/>
  <c r="M125" i="21" s="1"/>
  <c r="G125" i="21"/>
  <c r="H125" i="21" s="1"/>
  <c r="I125" i="21" s="1"/>
  <c r="J311" i="21"/>
  <c r="K311" i="21" s="1"/>
  <c r="L311" i="21" s="1"/>
  <c r="M311" i="21" s="1"/>
  <c r="G311" i="21"/>
  <c r="H311" i="21" s="1"/>
  <c r="I311" i="21" s="1"/>
  <c r="J22" i="21"/>
  <c r="K22" i="21" s="1"/>
  <c r="L22" i="21" s="1"/>
  <c r="M22" i="21" s="1"/>
  <c r="G22" i="21"/>
  <c r="H22" i="21" s="1"/>
  <c r="I22" i="21" s="1"/>
  <c r="J336" i="21"/>
  <c r="K336" i="21" s="1"/>
  <c r="L336" i="21" s="1"/>
  <c r="M336" i="21" s="1"/>
  <c r="G336" i="21"/>
  <c r="H336" i="21" s="1"/>
  <c r="I336" i="21" s="1"/>
  <c r="J363" i="21"/>
  <c r="K363" i="21" s="1"/>
  <c r="L363" i="21" s="1"/>
  <c r="M363" i="21" s="1"/>
  <c r="G363" i="21"/>
  <c r="H363" i="21" s="1"/>
  <c r="I363" i="21" s="1"/>
  <c r="J239" i="21"/>
  <c r="K239" i="21" s="1"/>
  <c r="L239" i="21" s="1"/>
  <c r="M239" i="21" s="1"/>
  <c r="G239" i="21"/>
  <c r="H239" i="21" s="1"/>
  <c r="I239" i="21" s="1"/>
  <c r="J247" i="21"/>
  <c r="K247" i="21" s="1"/>
  <c r="L247" i="21" s="1"/>
  <c r="M247" i="21" s="1"/>
  <c r="G247" i="21"/>
  <c r="H247" i="21" s="1"/>
  <c r="I247" i="21" s="1"/>
  <c r="J84" i="21"/>
  <c r="K84" i="21" s="1"/>
  <c r="L84" i="21" s="1"/>
  <c r="M84" i="21" s="1"/>
  <c r="G84" i="21"/>
  <c r="H84" i="21" s="1"/>
  <c r="I84" i="21" s="1"/>
  <c r="J315" i="21"/>
  <c r="K315" i="21" s="1"/>
  <c r="L315" i="21" s="1"/>
  <c r="M315" i="21" s="1"/>
  <c r="G315" i="21"/>
  <c r="H315" i="21" s="1"/>
  <c r="I315" i="21" s="1"/>
  <c r="J67" i="21"/>
  <c r="K67" i="21" s="1"/>
  <c r="L67" i="21" s="1"/>
  <c r="M67" i="21" s="1"/>
  <c r="G67" i="21"/>
  <c r="H67" i="21" s="1"/>
  <c r="I67" i="21" s="1"/>
  <c r="J283" i="21"/>
  <c r="K283" i="21" s="1"/>
  <c r="L283" i="21" s="1"/>
  <c r="M283" i="21" s="1"/>
  <c r="G283" i="21"/>
  <c r="H283" i="21" s="1"/>
  <c r="I283" i="21" s="1"/>
  <c r="J220" i="21"/>
  <c r="K220" i="21" s="1"/>
  <c r="L220" i="21" s="1"/>
  <c r="M220" i="21" s="1"/>
  <c r="G220" i="21"/>
  <c r="H220" i="21" s="1"/>
  <c r="I220" i="21" s="1"/>
  <c r="J212" i="21"/>
  <c r="K212" i="21" s="1"/>
  <c r="L212" i="21" s="1"/>
  <c r="M212" i="21" s="1"/>
  <c r="G212" i="21"/>
  <c r="H212" i="21" s="1"/>
  <c r="I212" i="21" s="1"/>
  <c r="J50" i="21"/>
  <c r="K50" i="21" s="1"/>
  <c r="L50" i="21" s="1"/>
  <c r="M50" i="21" s="1"/>
  <c r="G50" i="21"/>
  <c r="H50" i="21" s="1"/>
  <c r="I50" i="21" s="1"/>
  <c r="J73" i="21"/>
  <c r="K73" i="21" s="1"/>
  <c r="L73" i="21" s="1"/>
  <c r="M73" i="21" s="1"/>
  <c r="G73" i="21"/>
  <c r="H73" i="21" s="1"/>
  <c r="I73" i="21" s="1"/>
  <c r="J120" i="21"/>
  <c r="K120" i="21" s="1"/>
  <c r="L120" i="21" s="1"/>
  <c r="M120" i="21" s="1"/>
  <c r="G120" i="21"/>
  <c r="H120" i="21" s="1"/>
  <c r="I120" i="21" s="1"/>
  <c r="J351" i="21"/>
  <c r="K351" i="21" s="1"/>
  <c r="L351" i="21" s="1"/>
  <c r="M351" i="21" s="1"/>
  <c r="G351" i="21"/>
  <c r="H351" i="21" s="1"/>
  <c r="I351" i="21" s="1"/>
  <c r="J221" i="21"/>
  <c r="K221" i="21" s="1"/>
  <c r="L221" i="21" s="1"/>
  <c r="M221" i="21" s="1"/>
  <c r="G221" i="21"/>
  <c r="H221" i="21" s="1"/>
  <c r="I221" i="21" s="1"/>
  <c r="J91" i="21"/>
  <c r="K91" i="21" s="1"/>
  <c r="L91" i="21" s="1"/>
  <c r="M91" i="21" s="1"/>
  <c r="G91" i="21"/>
  <c r="H91" i="21" s="1"/>
  <c r="I91" i="21" s="1"/>
  <c r="J262" i="21"/>
  <c r="K262" i="21" s="1"/>
  <c r="L262" i="21" s="1"/>
  <c r="M262" i="21" s="1"/>
  <c r="G262" i="21"/>
  <c r="H262" i="21" s="1"/>
  <c r="I262" i="21" s="1"/>
  <c r="J183" i="21"/>
  <c r="K183" i="21" s="1"/>
  <c r="L183" i="21" s="1"/>
  <c r="M183" i="21" s="1"/>
  <c r="G183" i="21"/>
  <c r="H183" i="21" s="1"/>
  <c r="I183" i="21" s="1"/>
  <c r="J40" i="21"/>
  <c r="K40" i="21" s="1"/>
  <c r="L40" i="21" s="1"/>
  <c r="M40" i="21" s="1"/>
  <c r="G40" i="21"/>
  <c r="H40" i="21" s="1"/>
  <c r="I40" i="21" s="1"/>
  <c r="J25" i="21"/>
  <c r="K25" i="21" s="1"/>
  <c r="L25" i="21" s="1"/>
  <c r="M25" i="21" s="1"/>
  <c r="G25" i="21"/>
  <c r="H25" i="21" s="1"/>
  <c r="I25" i="21" s="1"/>
  <c r="J61" i="21"/>
  <c r="K61" i="21" s="1"/>
  <c r="L61" i="21" s="1"/>
  <c r="M61" i="21" s="1"/>
  <c r="G61" i="21"/>
  <c r="H61" i="21" s="1"/>
  <c r="I61" i="21" s="1"/>
  <c r="J133" i="21"/>
  <c r="K133" i="21" s="1"/>
  <c r="L133" i="21" s="1"/>
  <c r="M133" i="21" s="1"/>
  <c r="G133" i="21"/>
  <c r="H133" i="21" s="1"/>
  <c r="I133" i="21" s="1"/>
  <c r="J117" i="21"/>
  <c r="K117" i="21" s="1"/>
  <c r="L117" i="21" s="1"/>
  <c r="M117" i="21" s="1"/>
  <c r="G117" i="21"/>
  <c r="H117" i="21" s="1"/>
  <c r="I117" i="21" s="1"/>
  <c r="J129" i="21"/>
  <c r="K129" i="21" s="1"/>
  <c r="L129" i="21" s="1"/>
  <c r="M129" i="21" s="1"/>
  <c r="G129" i="21"/>
  <c r="H129" i="21" s="1"/>
  <c r="I129" i="21" s="1"/>
  <c r="J324" i="21"/>
  <c r="K324" i="21" s="1"/>
  <c r="L324" i="21" s="1"/>
  <c r="M324" i="21" s="1"/>
  <c r="G324" i="21"/>
  <c r="H324" i="21" s="1"/>
  <c r="I324" i="21" s="1"/>
  <c r="J180" i="21"/>
  <c r="K180" i="21" s="1"/>
  <c r="L180" i="21" s="1"/>
  <c r="M180" i="21" s="1"/>
  <c r="G180" i="21"/>
  <c r="H180" i="21" s="1"/>
  <c r="I180" i="21" s="1"/>
  <c r="J325" i="21"/>
  <c r="K325" i="21" s="1"/>
  <c r="L325" i="21" s="1"/>
  <c r="M325" i="21" s="1"/>
  <c r="G325" i="21"/>
  <c r="H325" i="21" s="1"/>
  <c r="I325" i="21" s="1"/>
  <c r="J209" i="21"/>
  <c r="K209" i="21" s="1"/>
  <c r="L209" i="21" s="1"/>
  <c r="M209" i="21" s="1"/>
  <c r="G209" i="21"/>
  <c r="H209" i="21" s="1"/>
  <c r="I209" i="21" s="1"/>
  <c r="J376" i="21"/>
  <c r="K376" i="21" s="1"/>
  <c r="L376" i="21" s="1"/>
  <c r="M376" i="21" s="1"/>
  <c r="G376" i="21"/>
  <c r="H376" i="21" s="1"/>
  <c r="I376" i="21" s="1"/>
  <c r="J346" i="21"/>
  <c r="K346" i="21" s="1"/>
  <c r="L346" i="21" s="1"/>
  <c r="M346" i="21" s="1"/>
  <c r="G346" i="21"/>
  <c r="H346" i="21" s="1"/>
  <c r="I346" i="21" s="1"/>
  <c r="J341" i="21"/>
  <c r="K341" i="21" s="1"/>
  <c r="L341" i="21" s="1"/>
  <c r="M341" i="21" s="1"/>
  <c r="G341" i="21"/>
  <c r="H341" i="21" s="1"/>
  <c r="I341" i="21" s="1"/>
  <c r="J134" i="21"/>
  <c r="K134" i="21" s="1"/>
  <c r="L134" i="21" s="1"/>
  <c r="M134" i="21" s="1"/>
  <c r="G134" i="21"/>
  <c r="H134" i="21" s="1"/>
  <c r="I134" i="21" s="1"/>
  <c r="J28" i="21"/>
  <c r="K28" i="21" s="1"/>
  <c r="L28" i="21" s="1"/>
  <c r="M28" i="21" s="1"/>
  <c r="G28" i="21"/>
  <c r="H28" i="21" s="1"/>
  <c r="I28" i="21" s="1"/>
  <c r="J230" i="21"/>
  <c r="K230" i="21" s="1"/>
  <c r="L230" i="21" s="1"/>
  <c r="M230" i="21" s="1"/>
  <c r="G230" i="21"/>
  <c r="H230" i="21" s="1"/>
  <c r="I230" i="21" s="1"/>
  <c r="J23" i="21"/>
  <c r="K23" i="21" s="1"/>
  <c r="L23" i="21" s="1"/>
  <c r="M23" i="21" s="1"/>
  <c r="G23" i="21"/>
  <c r="H23" i="21" s="1"/>
  <c r="I23" i="21" s="1"/>
  <c r="J49" i="21"/>
  <c r="K49" i="21" s="1"/>
  <c r="L49" i="21" s="1"/>
  <c r="M49" i="21" s="1"/>
  <c r="G49" i="21"/>
  <c r="H49" i="21" s="1"/>
  <c r="I49" i="21" s="1"/>
  <c r="J326" i="21"/>
  <c r="K326" i="21" s="1"/>
  <c r="L326" i="21" s="1"/>
  <c r="M326" i="21" s="1"/>
  <c r="G326" i="21"/>
  <c r="H326" i="21" s="1"/>
  <c r="I326" i="21" s="1"/>
  <c r="J152" i="21"/>
  <c r="K152" i="21" s="1"/>
  <c r="L152" i="21" s="1"/>
  <c r="M152" i="21" s="1"/>
  <c r="G152" i="21"/>
  <c r="H152" i="21" s="1"/>
  <c r="I152" i="21" s="1"/>
  <c r="J279" i="21"/>
  <c r="K279" i="21" s="1"/>
  <c r="L279" i="21" s="1"/>
  <c r="M279" i="21" s="1"/>
  <c r="G279" i="21"/>
  <c r="H279" i="21" s="1"/>
  <c r="I279" i="21" s="1"/>
  <c r="J77" i="21"/>
  <c r="K77" i="21" s="1"/>
  <c r="L77" i="21" s="1"/>
  <c r="M77" i="21" s="1"/>
  <c r="G77" i="21"/>
  <c r="H77" i="21" s="1"/>
  <c r="I77" i="21" s="1"/>
  <c r="J246" i="21"/>
  <c r="K246" i="21" s="1"/>
  <c r="L246" i="21" s="1"/>
  <c r="M246" i="21" s="1"/>
  <c r="G246" i="21"/>
  <c r="H246" i="21" s="1"/>
  <c r="I246" i="21" s="1"/>
  <c r="J206" i="21"/>
  <c r="K206" i="21" s="1"/>
  <c r="L206" i="21" s="1"/>
  <c r="M206" i="21" s="1"/>
  <c r="G206" i="21"/>
  <c r="H206" i="21" s="1"/>
  <c r="I206" i="21" s="1"/>
  <c r="J274" i="21"/>
  <c r="K274" i="21" s="1"/>
  <c r="L274" i="21" s="1"/>
  <c r="M274" i="21" s="1"/>
  <c r="G274" i="21"/>
  <c r="H274" i="21" s="1"/>
  <c r="I274" i="21" s="1"/>
  <c r="J145" i="21"/>
  <c r="K145" i="21" s="1"/>
  <c r="L145" i="21" s="1"/>
  <c r="M145" i="21" s="1"/>
  <c r="G145" i="21"/>
  <c r="H145" i="21" s="1"/>
  <c r="I145" i="21" s="1"/>
  <c r="J63" i="21"/>
  <c r="K63" i="21" s="1"/>
  <c r="L63" i="21" s="1"/>
  <c r="M63" i="21" s="1"/>
  <c r="G63" i="21"/>
  <c r="H63" i="21" s="1"/>
  <c r="I63" i="21" s="1"/>
  <c r="J54" i="21"/>
  <c r="K54" i="21" s="1"/>
  <c r="L54" i="21" s="1"/>
  <c r="M54" i="21" s="1"/>
  <c r="G54" i="21"/>
  <c r="H54" i="21" s="1"/>
  <c r="I54" i="21" s="1"/>
  <c r="J169" i="21"/>
  <c r="K169" i="21" s="1"/>
  <c r="L169" i="21" s="1"/>
  <c r="M169" i="21" s="1"/>
  <c r="G169" i="21"/>
  <c r="H169" i="21" s="1"/>
  <c r="I169" i="21" s="1"/>
  <c r="J109" i="21"/>
  <c r="K109" i="21" s="1"/>
  <c r="L109" i="21" s="1"/>
  <c r="M109" i="21" s="1"/>
  <c r="G109" i="21"/>
  <c r="H109" i="21" s="1"/>
  <c r="I109" i="21" s="1"/>
  <c r="J146" i="21"/>
  <c r="K146" i="21" s="1"/>
  <c r="L146" i="21" s="1"/>
  <c r="M146" i="21" s="1"/>
  <c r="G146" i="21"/>
  <c r="H146" i="21" s="1"/>
  <c r="I146" i="21" s="1"/>
  <c r="J361" i="21"/>
  <c r="K361" i="21" s="1"/>
  <c r="L361" i="21" s="1"/>
  <c r="M361" i="21" s="1"/>
  <c r="G361" i="21"/>
  <c r="H361" i="21" s="1"/>
  <c r="I361" i="21" s="1"/>
  <c r="J188" i="21"/>
  <c r="K188" i="21" s="1"/>
  <c r="L188" i="21" s="1"/>
  <c r="M188" i="21" s="1"/>
  <c r="G188" i="21"/>
  <c r="H188" i="21" s="1"/>
  <c r="I188" i="21" s="1"/>
  <c r="J165" i="21"/>
  <c r="K165" i="21" s="1"/>
  <c r="L165" i="21" s="1"/>
  <c r="M165" i="21" s="1"/>
  <c r="G165" i="21"/>
  <c r="H165" i="21" s="1"/>
  <c r="I165" i="21" s="1"/>
  <c r="J265" i="21"/>
  <c r="K265" i="21" s="1"/>
  <c r="L265" i="21" s="1"/>
  <c r="M265" i="21" s="1"/>
  <c r="G265" i="21"/>
  <c r="H265" i="21" s="1"/>
  <c r="I265" i="21" s="1"/>
  <c r="J205" i="21"/>
  <c r="K205" i="21" s="1"/>
  <c r="L205" i="21" s="1"/>
  <c r="M205" i="21" s="1"/>
  <c r="G205" i="21"/>
  <c r="H205" i="21" s="1"/>
  <c r="I205" i="21" s="1"/>
  <c r="J347" i="21"/>
  <c r="K347" i="21" s="1"/>
  <c r="L347" i="21" s="1"/>
  <c r="M347" i="21" s="1"/>
  <c r="G347" i="21"/>
  <c r="H347" i="21" s="1"/>
  <c r="I347" i="21" s="1"/>
  <c r="J52" i="21"/>
  <c r="K52" i="21" s="1"/>
  <c r="L52" i="21" s="1"/>
  <c r="M52" i="21" s="1"/>
  <c r="G52" i="21"/>
  <c r="H52" i="21" s="1"/>
  <c r="I52" i="21" s="1"/>
  <c r="J144" i="21"/>
  <c r="K144" i="21" s="1"/>
  <c r="L144" i="21" s="1"/>
  <c r="M144" i="21" s="1"/>
  <c r="G144" i="21"/>
  <c r="H144" i="21" s="1"/>
  <c r="I144" i="21" s="1"/>
  <c r="J295" i="21"/>
  <c r="K295" i="21" s="1"/>
  <c r="L295" i="21" s="1"/>
  <c r="M295" i="21" s="1"/>
  <c r="G295" i="21"/>
  <c r="H295" i="21" s="1"/>
  <c r="I295" i="21" s="1"/>
  <c r="J14" i="21"/>
  <c r="K14" i="21" s="1"/>
  <c r="L14" i="21" s="1"/>
  <c r="M14" i="21" s="1"/>
  <c r="G14" i="21"/>
  <c r="H14" i="21" s="1"/>
  <c r="I14" i="21" s="1"/>
  <c r="J375" i="21"/>
  <c r="K375" i="21" s="1"/>
  <c r="L375" i="21" s="1"/>
  <c r="M375" i="21" s="1"/>
  <c r="G375" i="21"/>
  <c r="H375" i="21" s="1"/>
  <c r="I375" i="21" s="1"/>
  <c r="J207" i="21"/>
  <c r="K207" i="21" s="1"/>
  <c r="L207" i="21" s="1"/>
  <c r="M207" i="21" s="1"/>
  <c r="G207" i="21"/>
  <c r="H207" i="21" s="1"/>
  <c r="I207" i="21" s="1"/>
  <c r="J301" i="21"/>
  <c r="K301" i="21" s="1"/>
  <c r="L301" i="21" s="1"/>
  <c r="M301" i="21" s="1"/>
  <c r="G301" i="21"/>
  <c r="H301" i="21" s="1"/>
  <c r="I301" i="21" s="1"/>
  <c r="J282" i="21"/>
  <c r="K282" i="21" s="1"/>
  <c r="L282" i="21" s="1"/>
  <c r="M282" i="21" s="1"/>
  <c r="G282" i="21"/>
  <c r="H282" i="21" s="1"/>
  <c r="I282" i="21" s="1"/>
  <c r="J87" i="21"/>
  <c r="K87" i="21" s="1"/>
  <c r="L87" i="21" s="1"/>
  <c r="M87" i="21" s="1"/>
  <c r="G87" i="21"/>
  <c r="H87" i="21" s="1"/>
  <c r="I87" i="21" s="1"/>
  <c r="J136" i="21"/>
  <c r="K136" i="21" s="1"/>
  <c r="L136" i="21" s="1"/>
  <c r="M136" i="21" s="1"/>
  <c r="G136" i="21"/>
  <c r="H136" i="21" s="1"/>
  <c r="I136" i="21" s="1"/>
  <c r="J374" i="21"/>
  <c r="K374" i="21" s="1"/>
  <c r="L374" i="21" s="1"/>
  <c r="M374" i="21" s="1"/>
  <c r="G374" i="21"/>
  <c r="H374" i="21" s="1"/>
  <c r="I374" i="21" s="1"/>
  <c r="J236" i="21"/>
  <c r="K236" i="21" s="1"/>
  <c r="L236" i="21" s="1"/>
  <c r="M236" i="21" s="1"/>
  <c r="G236" i="21"/>
  <c r="H236" i="21" s="1"/>
  <c r="I236" i="21" s="1"/>
  <c r="J71" i="21"/>
  <c r="K71" i="21" s="1"/>
  <c r="L71" i="21" s="1"/>
  <c r="M71" i="21" s="1"/>
  <c r="G71" i="21"/>
  <c r="H71" i="21" s="1"/>
  <c r="I71" i="21" s="1"/>
  <c r="J319" i="21"/>
  <c r="K319" i="21" s="1"/>
  <c r="L319" i="21" s="1"/>
  <c r="M319" i="21" s="1"/>
  <c r="G319" i="21"/>
  <c r="H319" i="21" s="1"/>
  <c r="I319" i="21" s="1"/>
  <c r="J173" i="21"/>
  <c r="K173" i="21" s="1"/>
  <c r="L173" i="21" s="1"/>
  <c r="M173" i="21" s="1"/>
  <c r="G173" i="21"/>
  <c r="H173" i="21" s="1"/>
  <c r="I173" i="21" s="1"/>
  <c r="J48" i="21"/>
  <c r="K48" i="21" s="1"/>
  <c r="L48" i="21" s="1"/>
  <c r="M48" i="21" s="1"/>
  <c r="G48" i="21"/>
  <c r="H48" i="21" s="1"/>
  <c r="I48" i="21" s="1"/>
  <c r="J214" i="21"/>
  <c r="K214" i="21" s="1"/>
  <c r="L214" i="21" s="1"/>
  <c r="M214" i="21" s="1"/>
  <c r="G214" i="21"/>
  <c r="H214" i="21" s="1"/>
  <c r="I214" i="21" s="1"/>
  <c r="J38" i="21"/>
  <c r="K38" i="21" s="1"/>
  <c r="L38" i="21" s="1"/>
  <c r="M38" i="21" s="1"/>
  <c r="G38" i="21"/>
  <c r="H38" i="21" s="1"/>
  <c r="I38" i="21" s="1"/>
  <c r="J253" i="21"/>
  <c r="K253" i="21" s="1"/>
  <c r="L253" i="21" s="1"/>
  <c r="M253" i="21" s="1"/>
  <c r="G253" i="21"/>
  <c r="H253" i="21" s="1"/>
  <c r="I253" i="21" s="1"/>
  <c r="J245" i="21"/>
  <c r="K245" i="21" s="1"/>
  <c r="L245" i="21" s="1"/>
  <c r="M245" i="21" s="1"/>
  <c r="G245" i="21"/>
  <c r="H245" i="21" s="1"/>
  <c r="I245" i="21" s="1"/>
  <c r="J62" i="21"/>
  <c r="K62" i="21" s="1"/>
  <c r="L62" i="21" s="1"/>
  <c r="M62" i="21" s="1"/>
  <c r="G62" i="21"/>
  <c r="H62" i="21" s="1"/>
  <c r="I62" i="21" s="1"/>
  <c r="J30" i="21"/>
  <c r="K30" i="21" s="1"/>
  <c r="L30" i="21" s="1"/>
  <c r="M30" i="21" s="1"/>
  <c r="G30" i="21"/>
  <c r="H30" i="21" s="1"/>
  <c r="I30" i="21" s="1"/>
  <c r="J371" i="21"/>
  <c r="K371" i="21" s="1"/>
  <c r="L371" i="21" s="1"/>
  <c r="M371" i="21" s="1"/>
  <c r="G371" i="21"/>
  <c r="H371" i="21" s="1"/>
  <c r="I371" i="21" s="1"/>
  <c r="J192" i="21"/>
  <c r="K192" i="21" s="1"/>
  <c r="L192" i="21" s="1"/>
  <c r="M192" i="21" s="1"/>
  <c r="G192" i="21"/>
  <c r="H192" i="21" s="1"/>
  <c r="I192" i="21" s="1"/>
  <c r="J210" i="21"/>
  <c r="K210" i="21" s="1"/>
  <c r="L210" i="21" s="1"/>
  <c r="M210" i="21" s="1"/>
  <c r="G210" i="21"/>
  <c r="H210" i="21" s="1"/>
  <c r="I210" i="21" s="1"/>
  <c r="J24" i="21"/>
  <c r="K24" i="21" s="1"/>
  <c r="L24" i="21" s="1"/>
  <c r="M24" i="21" s="1"/>
  <c r="G24" i="21"/>
  <c r="H24" i="21" s="1"/>
  <c r="I24" i="21" s="1"/>
  <c r="J345" i="21"/>
  <c r="K345" i="21" s="1"/>
  <c r="L345" i="21" s="1"/>
  <c r="M345" i="21" s="1"/>
  <c r="G345" i="21"/>
  <c r="H345" i="21" s="1"/>
  <c r="I345" i="21" s="1"/>
  <c r="J364" i="21"/>
  <c r="K364" i="21" s="1"/>
  <c r="L364" i="21" s="1"/>
  <c r="M364" i="21" s="1"/>
  <c r="G364" i="21"/>
  <c r="H364" i="21" s="1"/>
  <c r="I364" i="21" s="1"/>
  <c r="J26" i="21"/>
  <c r="K26" i="21" s="1"/>
  <c r="L26" i="21" s="1"/>
  <c r="M26" i="21" s="1"/>
  <c r="G26" i="21"/>
  <c r="H26" i="21" s="1"/>
  <c r="I26" i="21" s="1"/>
  <c r="J357" i="21"/>
  <c r="K357" i="21" s="1"/>
  <c r="L357" i="21" s="1"/>
  <c r="M357" i="21" s="1"/>
  <c r="G357" i="21"/>
  <c r="H357" i="21" s="1"/>
  <c r="I357" i="21" s="1"/>
  <c r="J318" i="21"/>
  <c r="K318" i="21" s="1"/>
  <c r="L318" i="21" s="1"/>
  <c r="M318" i="21" s="1"/>
  <c r="G318" i="21"/>
  <c r="H318" i="21" s="1"/>
  <c r="I318" i="21" s="1"/>
  <c r="J352" i="21"/>
  <c r="K352" i="21" s="1"/>
  <c r="L352" i="21" s="1"/>
  <c r="M352" i="21" s="1"/>
  <c r="G352" i="21"/>
  <c r="H352" i="21" s="1"/>
  <c r="I352" i="21" s="1"/>
  <c r="J157" i="21"/>
  <c r="K157" i="21" s="1"/>
  <c r="L157" i="21" s="1"/>
  <c r="M157" i="21" s="1"/>
  <c r="G157" i="21"/>
  <c r="H157" i="21" s="1"/>
  <c r="I157" i="21" s="1"/>
  <c r="J99" i="21"/>
  <c r="K99" i="21" s="1"/>
  <c r="L99" i="21" s="1"/>
  <c r="M99" i="21" s="1"/>
  <c r="G99" i="21"/>
  <c r="H99" i="21" s="1"/>
  <c r="I99" i="21" s="1"/>
  <c r="J143" i="21"/>
  <c r="K143" i="21" s="1"/>
  <c r="L143" i="21" s="1"/>
  <c r="M143" i="21" s="1"/>
  <c r="G143" i="21"/>
  <c r="H143" i="21" s="1"/>
  <c r="I143" i="21" s="1"/>
  <c r="J368" i="21"/>
  <c r="K368" i="21" s="1"/>
  <c r="L368" i="21" s="1"/>
  <c r="M368" i="21" s="1"/>
  <c r="G368" i="21"/>
  <c r="H368" i="21" s="1"/>
  <c r="I368" i="21" s="1"/>
  <c r="J200" i="21"/>
  <c r="K200" i="21" s="1"/>
  <c r="L200" i="21" s="1"/>
  <c r="M200" i="21" s="1"/>
  <c r="G200" i="21"/>
  <c r="H200" i="21" s="1"/>
  <c r="I200" i="21" s="1"/>
  <c r="J349" i="21"/>
  <c r="K349" i="21" s="1"/>
  <c r="L349" i="21" s="1"/>
  <c r="M349" i="21" s="1"/>
  <c r="G349" i="21"/>
  <c r="H349" i="21" s="1"/>
  <c r="I349" i="21" s="1"/>
  <c r="J303" i="21"/>
  <c r="K303" i="21" s="1"/>
  <c r="L303" i="21" s="1"/>
  <c r="M303" i="21" s="1"/>
  <c r="G303" i="21"/>
  <c r="H303" i="21" s="1"/>
  <c r="I303" i="21" s="1"/>
  <c r="J286" i="21"/>
  <c r="K286" i="21" s="1"/>
  <c r="L286" i="21" s="1"/>
  <c r="M286" i="21" s="1"/>
  <c r="G286" i="21"/>
  <c r="H286" i="21" s="1"/>
  <c r="I286" i="21" s="1"/>
  <c r="J257" i="21"/>
  <c r="K257" i="21" s="1"/>
  <c r="L257" i="21" s="1"/>
  <c r="M257" i="21" s="1"/>
  <c r="G257" i="21"/>
  <c r="H257" i="21" s="1"/>
  <c r="I257" i="21" s="1"/>
  <c r="J333" i="21"/>
  <c r="K333" i="21" s="1"/>
  <c r="L333" i="21" s="1"/>
  <c r="M333" i="21" s="1"/>
  <c r="G333" i="21"/>
  <c r="H333" i="21" s="1"/>
  <c r="I333" i="21" s="1"/>
  <c r="J158" i="21"/>
  <c r="K158" i="21" s="1"/>
  <c r="L158" i="21" s="1"/>
  <c r="M158" i="21" s="1"/>
  <c r="G158" i="21"/>
  <c r="H158" i="21" s="1"/>
  <c r="I158" i="21" s="1"/>
  <c r="J68" i="21"/>
  <c r="K68" i="21" s="1"/>
  <c r="L68" i="21" s="1"/>
  <c r="M68" i="21" s="1"/>
  <c r="G68" i="21"/>
  <c r="H68" i="21" s="1"/>
  <c r="I68" i="21" s="1"/>
  <c r="J70" i="21"/>
  <c r="K70" i="21" s="1"/>
  <c r="L70" i="21" s="1"/>
  <c r="M70" i="21" s="1"/>
  <c r="G70" i="21"/>
  <c r="H70" i="21" s="1"/>
  <c r="I70" i="21" s="1"/>
  <c r="J132" i="21"/>
  <c r="K132" i="21" s="1"/>
  <c r="L132" i="21" s="1"/>
  <c r="M132" i="21" s="1"/>
  <c r="G132" i="21"/>
  <c r="H132" i="21" s="1"/>
  <c r="I132" i="21" s="1"/>
  <c r="J181" i="21"/>
  <c r="K181" i="21" s="1"/>
  <c r="L181" i="21" s="1"/>
  <c r="M181" i="21" s="1"/>
  <c r="G181" i="21"/>
  <c r="H181" i="21" s="1"/>
  <c r="I181" i="21" s="1"/>
  <c r="J304" i="21"/>
  <c r="K304" i="21" s="1"/>
  <c r="L304" i="21" s="1"/>
  <c r="M304" i="21" s="1"/>
  <c r="G304" i="21"/>
  <c r="H304" i="21" s="1"/>
  <c r="I304" i="21" s="1"/>
  <c r="J105" i="21"/>
  <c r="K105" i="21" s="1"/>
  <c r="L105" i="21" s="1"/>
  <c r="M105" i="21" s="1"/>
  <c r="G105" i="21"/>
  <c r="H105" i="21" s="1"/>
  <c r="I105" i="21" s="1"/>
  <c r="J367" i="21"/>
  <c r="K367" i="21" s="1"/>
  <c r="L367" i="21" s="1"/>
  <c r="M367" i="21" s="1"/>
  <c r="G367" i="21"/>
  <c r="H367" i="21" s="1"/>
  <c r="I367" i="21" s="1"/>
  <c r="J335" i="21"/>
  <c r="K335" i="21" s="1"/>
  <c r="L335" i="21" s="1"/>
  <c r="M335" i="21" s="1"/>
  <c r="G335" i="21"/>
  <c r="H335" i="21" s="1"/>
  <c r="I335" i="21" s="1"/>
  <c r="J229" i="21"/>
  <c r="K229" i="21" s="1"/>
  <c r="L229" i="21" s="1"/>
  <c r="M229" i="21" s="1"/>
  <c r="G229" i="21"/>
  <c r="H229" i="21" s="1"/>
  <c r="I229" i="21" s="1"/>
  <c r="J255" i="21"/>
  <c r="K255" i="21" s="1"/>
  <c r="L255" i="21" s="1"/>
  <c r="M255" i="21" s="1"/>
  <c r="G255" i="21"/>
  <c r="H255" i="21" s="1"/>
  <c r="I255" i="21" s="1"/>
  <c r="J114" i="21"/>
  <c r="K114" i="21" s="1"/>
  <c r="L114" i="21" s="1"/>
  <c r="M114" i="21" s="1"/>
  <c r="G114" i="21"/>
  <c r="H114" i="21" s="1"/>
  <c r="I114" i="21" s="1"/>
  <c r="J224" i="21"/>
  <c r="K224" i="21" s="1"/>
  <c r="L224" i="21" s="1"/>
  <c r="M224" i="21" s="1"/>
  <c r="G224" i="21"/>
  <c r="H224" i="21" s="1"/>
  <c r="I224" i="21" s="1"/>
  <c r="J167" i="21"/>
  <c r="K167" i="21" s="1"/>
  <c r="L167" i="21" s="1"/>
  <c r="M167" i="21" s="1"/>
  <c r="G167" i="21"/>
  <c r="H167" i="21" s="1"/>
  <c r="I167" i="21" s="1"/>
  <c r="J126" i="21"/>
  <c r="K126" i="21" s="1"/>
  <c r="L126" i="21" s="1"/>
  <c r="M126" i="21" s="1"/>
  <c r="G126" i="21"/>
  <c r="H126" i="21" s="1"/>
  <c r="I126" i="21" s="1"/>
  <c r="J151" i="21"/>
  <c r="K151" i="21" s="1"/>
  <c r="L151" i="21" s="1"/>
  <c r="M151" i="21" s="1"/>
  <c r="G151" i="21"/>
  <c r="H151" i="21" s="1"/>
  <c r="I151" i="21" s="1"/>
  <c r="J159" i="21"/>
  <c r="K159" i="21" s="1"/>
  <c r="L159" i="21" s="1"/>
  <c r="M159" i="21" s="1"/>
  <c r="G159" i="21"/>
  <c r="H159" i="21" s="1"/>
  <c r="I159" i="21" s="1"/>
  <c r="J217" i="21"/>
  <c r="K217" i="21" s="1"/>
  <c r="L217" i="21" s="1"/>
  <c r="M217" i="21" s="1"/>
  <c r="G217" i="21"/>
  <c r="H217" i="21" s="1"/>
  <c r="I217" i="21" s="1"/>
  <c r="J33" i="21"/>
  <c r="K33" i="21" s="1"/>
  <c r="L33" i="21" s="1"/>
  <c r="M33" i="21" s="1"/>
  <c r="G33" i="21"/>
  <c r="H33" i="21" s="1"/>
  <c r="I33" i="21" s="1"/>
  <c r="J72" i="21"/>
  <c r="K72" i="21" s="1"/>
  <c r="L72" i="21" s="1"/>
  <c r="M72" i="21" s="1"/>
  <c r="G72" i="21"/>
  <c r="H72" i="21" s="1"/>
  <c r="I72" i="21" s="1"/>
  <c r="J298" i="21"/>
  <c r="K298" i="21" s="1"/>
  <c r="L298" i="21" s="1"/>
  <c r="M298" i="21" s="1"/>
  <c r="G298" i="21"/>
  <c r="H298" i="21" s="1"/>
  <c r="I298" i="21" s="1"/>
  <c r="J76" i="21"/>
  <c r="K76" i="21" s="1"/>
  <c r="L76" i="21" s="1"/>
  <c r="M76" i="21" s="1"/>
  <c r="G76" i="21"/>
  <c r="H76" i="21" s="1"/>
  <c r="I76" i="21" s="1"/>
  <c r="J242" i="21"/>
  <c r="K242" i="21" s="1"/>
  <c r="L242" i="21" s="1"/>
  <c r="M242" i="21" s="1"/>
  <c r="G242" i="21"/>
  <c r="H242" i="21" s="1"/>
  <c r="I242" i="21" s="1"/>
  <c r="J234" i="21"/>
  <c r="K234" i="21" s="1"/>
  <c r="L234" i="21" s="1"/>
  <c r="M234" i="21" s="1"/>
  <c r="G234" i="21"/>
  <c r="H234" i="21" s="1"/>
  <c r="I234" i="21" s="1"/>
  <c r="J95" i="21"/>
  <c r="K95" i="21" s="1"/>
  <c r="L95" i="21" s="1"/>
  <c r="M95" i="21" s="1"/>
  <c r="G95" i="21"/>
  <c r="H95" i="21" s="1"/>
  <c r="I95" i="21" s="1"/>
  <c r="J256" i="21"/>
  <c r="K256" i="21" s="1"/>
  <c r="L256" i="21" s="1"/>
  <c r="M256" i="21" s="1"/>
  <c r="G256" i="21"/>
  <c r="H256" i="21" s="1"/>
  <c r="I256" i="21" s="1"/>
  <c r="J268" i="21"/>
  <c r="K268" i="21" s="1"/>
  <c r="L268" i="21" s="1"/>
  <c r="M268" i="21" s="1"/>
  <c r="G268" i="21"/>
  <c r="H268" i="21" s="1"/>
  <c r="I268" i="21" s="1"/>
  <c r="J184" i="21"/>
  <c r="K184" i="21" s="1"/>
  <c r="L184" i="21" s="1"/>
  <c r="M184" i="21" s="1"/>
  <c r="G184" i="21"/>
  <c r="H184" i="21" s="1"/>
  <c r="I184" i="21" s="1"/>
  <c r="J78" i="21"/>
  <c r="K78" i="21" s="1"/>
  <c r="L78" i="21" s="1"/>
  <c r="M78" i="21" s="1"/>
  <c r="G78" i="21"/>
  <c r="H78" i="21" s="1"/>
  <c r="I78" i="21" s="1"/>
  <c r="J94" i="21"/>
  <c r="K94" i="21" s="1"/>
  <c r="L94" i="21" s="1"/>
  <c r="M94" i="21" s="1"/>
  <c r="G94" i="21"/>
  <c r="H94" i="21" s="1"/>
  <c r="I94" i="21" s="1"/>
  <c r="J37" i="21"/>
  <c r="K37" i="21" s="1"/>
  <c r="L37" i="21" s="1"/>
  <c r="M37" i="21" s="1"/>
  <c r="G37" i="21"/>
  <c r="H37" i="21" s="1"/>
  <c r="I37" i="21" s="1"/>
  <c r="J172" i="21"/>
  <c r="K172" i="21" s="1"/>
  <c r="L172" i="21" s="1"/>
  <c r="M172" i="21" s="1"/>
  <c r="G172" i="21"/>
  <c r="H172" i="21" s="1"/>
  <c r="I172" i="21" s="1"/>
  <c r="J235" i="21"/>
  <c r="K235" i="21" s="1"/>
  <c r="L235" i="21" s="1"/>
  <c r="M235" i="21" s="1"/>
  <c r="G235" i="21"/>
  <c r="H235" i="21" s="1"/>
  <c r="I235" i="21" s="1"/>
  <c r="J306" i="21"/>
  <c r="K306" i="21" s="1"/>
  <c r="L306" i="21" s="1"/>
  <c r="M306" i="21" s="1"/>
  <c r="G306" i="21"/>
  <c r="H306" i="21" s="1"/>
  <c r="I306" i="21" s="1"/>
  <c r="J250" i="21"/>
  <c r="K250" i="21" s="1"/>
  <c r="L250" i="21" s="1"/>
  <c r="M250" i="21" s="1"/>
  <c r="G250" i="21"/>
  <c r="H250" i="21" s="1"/>
  <c r="I250" i="21" s="1"/>
  <c r="J226" i="21"/>
  <c r="K226" i="21" s="1"/>
  <c r="L226" i="21" s="1"/>
  <c r="M226" i="21" s="1"/>
  <c r="G226" i="21"/>
  <c r="H226" i="21" s="1"/>
  <c r="I226" i="21" s="1"/>
  <c r="J116" i="21"/>
  <c r="K116" i="21" s="1"/>
  <c r="L116" i="21" s="1"/>
  <c r="M116" i="21" s="1"/>
  <c r="G116" i="21"/>
  <c r="H116" i="21" s="1"/>
  <c r="I116" i="21" s="1"/>
  <c r="J90" i="21"/>
  <c r="K90" i="21" s="1"/>
  <c r="L90" i="21" s="1"/>
  <c r="M90" i="21" s="1"/>
  <c r="G90" i="21"/>
  <c r="H90" i="21" s="1"/>
  <c r="I90" i="21" s="1"/>
  <c r="J121" i="21"/>
  <c r="K121" i="21" s="1"/>
  <c r="L121" i="21" s="1"/>
  <c r="M121" i="21" s="1"/>
  <c r="G121" i="21"/>
  <c r="H121" i="21" s="1"/>
  <c r="I121" i="21" s="1"/>
  <c r="J353" i="21"/>
  <c r="K353" i="21" s="1"/>
  <c r="L353" i="21" s="1"/>
  <c r="M353" i="21" s="1"/>
  <c r="G353" i="21"/>
  <c r="H353" i="21" s="1"/>
  <c r="I353" i="21" s="1"/>
  <c r="J329" i="21"/>
  <c r="K329" i="21" s="1"/>
  <c r="L329" i="21" s="1"/>
  <c r="M329" i="21" s="1"/>
  <c r="G329" i="21"/>
  <c r="H329" i="21" s="1"/>
  <c r="I329" i="21" s="1"/>
  <c r="J195" i="21"/>
  <c r="K195" i="21" s="1"/>
  <c r="L195" i="21" s="1"/>
  <c r="M195" i="21" s="1"/>
  <c r="G195" i="21"/>
  <c r="H195" i="21" s="1"/>
  <c r="I195" i="21" s="1"/>
  <c r="J19" i="21"/>
  <c r="K19" i="21" s="1"/>
  <c r="L19" i="21" s="1"/>
  <c r="M19" i="21" s="1"/>
  <c r="G19" i="21"/>
  <c r="H19" i="21" s="1"/>
  <c r="I19" i="21" s="1"/>
  <c r="AI15" i="23"/>
  <c r="AF15" i="23"/>
  <c r="AE14" i="23"/>
  <c r="AG14" i="23" s="1"/>
  <c r="AI35" i="23"/>
  <c r="AF35" i="23"/>
  <c r="AE36" i="23"/>
  <c r="AG36" i="23" s="1"/>
  <c r="O13" i="21" l="1"/>
  <c r="U17" i="21"/>
  <c r="J17" i="21"/>
  <c r="K17" i="21" s="1"/>
  <c r="L17" i="21" s="1"/>
  <c r="M17" i="21" s="1"/>
  <c r="O17" i="21" s="1"/>
  <c r="U16" i="21"/>
  <c r="O121" i="21"/>
  <c r="O90" i="21"/>
  <c r="O184" i="21"/>
  <c r="O217" i="21"/>
  <c r="O367" i="21"/>
  <c r="O357" i="21"/>
  <c r="O92" i="21"/>
  <c r="O359" i="21"/>
  <c r="O113" i="21"/>
  <c r="O260" i="21"/>
  <c r="O168" i="21"/>
  <c r="O93" i="21"/>
  <c r="O355" i="21"/>
  <c r="O74" i="21"/>
  <c r="O284" i="21"/>
  <c r="O259" i="21"/>
  <c r="O287" i="21"/>
  <c r="O31" i="21"/>
  <c r="O202" i="21"/>
  <c r="O65" i="21"/>
  <c r="O264" i="21"/>
  <c r="O102" i="21"/>
  <c r="O124" i="21"/>
  <c r="O78" i="21"/>
  <c r="O201" i="21"/>
  <c r="O103" i="21"/>
  <c r="O195" i="21"/>
  <c r="O172" i="21"/>
  <c r="O76" i="21"/>
  <c r="O114" i="21"/>
  <c r="O116" i="21"/>
  <c r="O268" i="21"/>
  <c r="O159" i="21"/>
  <c r="O105" i="21"/>
  <c r="O303" i="21"/>
  <c r="O26" i="21"/>
  <c r="O99" i="21"/>
  <c r="O55" i="21"/>
  <c r="O233" i="21"/>
  <c r="O68" i="21"/>
  <c r="O290" i="21"/>
  <c r="O138" i="21"/>
  <c r="O293" i="21"/>
  <c r="O171" i="21"/>
  <c r="O158" i="21"/>
  <c r="O218" i="21"/>
  <c r="O344" i="21"/>
  <c r="O213" i="21"/>
  <c r="O328" i="21"/>
  <c r="O191" i="21"/>
  <c r="O193" i="21"/>
  <c r="O208" i="21"/>
  <c r="O48" i="21"/>
  <c r="O207" i="21"/>
  <c r="O188" i="21"/>
  <c r="O246" i="21"/>
  <c r="O341" i="21"/>
  <c r="O61" i="21"/>
  <c r="O50" i="21"/>
  <c r="O336" i="21"/>
  <c r="O189" i="21"/>
  <c r="O330" i="21"/>
  <c r="O288" i="21"/>
  <c r="O241" i="21"/>
  <c r="O47" i="21"/>
  <c r="O34" i="21"/>
  <c r="O227" i="21"/>
  <c r="O329" i="21"/>
  <c r="O298" i="21"/>
  <c r="O255" i="21"/>
  <c r="O157" i="21"/>
  <c r="O33" i="21"/>
  <c r="O335" i="21"/>
  <c r="O257" i="21"/>
  <c r="O318" i="21"/>
  <c r="O306" i="21"/>
  <c r="O234" i="21"/>
  <c r="O167" i="21"/>
  <c r="O132" i="21"/>
  <c r="O368" i="21"/>
  <c r="O24" i="21"/>
  <c r="O62" i="21"/>
  <c r="O374" i="21"/>
  <c r="O52" i="21"/>
  <c r="O54" i="21"/>
  <c r="O49" i="21"/>
  <c r="O180" i="21"/>
  <c r="O91" i="21"/>
  <c r="O315" i="21"/>
  <c r="O198" i="21"/>
  <c r="O187" i="21"/>
  <c r="O365" i="21"/>
  <c r="O155" i="21"/>
  <c r="O112" i="21"/>
  <c r="O354" i="21"/>
  <c r="O69" i="21"/>
  <c r="O360" i="21"/>
  <c r="O338" i="21"/>
  <c r="O32" i="21"/>
  <c r="O272" i="21"/>
  <c r="O59" i="21"/>
  <c r="O270" i="21"/>
  <c r="O322" i="21"/>
  <c r="O154" i="21"/>
  <c r="O177" i="21"/>
  <c r="O343" i="21"/>
  <c r="O248" i="21"/>
  <c r="O79" i="21"/>
  <c r="O160" i="21"/>
  <c r="O196" i="21"/>
  <c r="O275" i="21"/>
  <c r="O37" i="21"/>
  <c r="O226" i="21"/>
  <c r="O256" i="21"/>
  <c r="O151" i="21"/>
  <c r="O304" i="21"/>
  <c r="O349" i="21"/>
  <c r="O364" i="21"/>
  <c r="O250" i="21"/>
  <c r="O95" i="21"/>
  <c r="O126" i="21"/>
  <c r="O181" i="21"/>
  <c r="O200" i="21"/>
  <c r="O345" i="21"/>
  <c r="O339" i="21"/>
  <c r="O323" i="21"/>
  <c r="O317" i="21"/>
  <c r="O276" i="21"/>
  <c r="O299" i="21"/>
  <c r="O277" i="21"/>
  <c r="O331" i="21"/>
  <c r="O297" i="21"/>
  <c r="O245" i="21"/>
  <c r="O136" i="21"/>
  <c r="O347" i="21"/>
  <c r="O63" i="21"/>
  <c r="O23" i="21"/>
  <c r="O324" i="21"/>
  <c r="O221" i="21"/>
  <c r="O84" i="21"/>
  <c r="O36" i="21"/>
  <c r="O190" i="21"/>
  <c r="O225" i="21"/>
  <c r="O332" i="21"/>
  <c r="O140" i="21"/>
  <c r="O170" i="21"/>
  <c r="O20" i="21"/>
  <c r="O88" i="21"/>
  <c r="O178" i="21"/>
  <c r="O119" i="21"/>
  <c r="O194" i="21"/>
  <c r="O316" i="21"/>
  <c r="O289" i="21"/>
  <c r="O15" i="21"/>
  <c r="O66" i="21"/>
  <c r="O366" i="21"/>
  <c r="O106" i="21"/>
  <c r="O51" i="21"/>
  <c r="O243" i="21"/>
  <c r="O237" i="21"/>
  <c r="O18" i="21"/>
  <c r="O163" i="21"/>
  <c r="O253" i="21"/>
  <c r="O87" i="21"/>
  <c r="O205" i="21"/>
  <c r="O145" i="21"/>
  <c r="O230" i="21"/>
  <c r="O129" i="21"/>
  <c r="O351" i="21"/>
  <c r="O247" i="21"/>
  <c r="O238" i="21"/>
  <c r="O142" i="21"/>
  <c r="O148" i="21"/>
  <c r="O174" i="21"/>
  <c r="O107" i="21"/>
  <c r="O214" i="21"/>
  <c r="O301" i="21"/>
  <c r="O165" i="21"/>
  <c r="O206" i="21"/>
  <c r="O134" i="21"/>
  <c r="O133" i="21"/>
  <c r="O73" i="21"/>
  <c r="O363" i="21"/>
  <c r="O149" i="21"/>
  <c r="O215" i="21"/>
  <c r="O211" i="21"/>
  <c r="O147" i="21"/>
  <c r="O312" i="21"/>
  <c r="O100" i="21"/>
  <c r="O320" i="21"/>
  <c r="O128" i="21"/>
  <c r="O337" i="21"/>
  <c r="O254" i="21"/>
  <c r="O131" i="21"/>
  <c r="O249" i="21"/>
  <c r="O135" i="21"/>
  <c r="O219" i="21"/>
  <c r="O156" i="21"/>
  <c r="O21" i="21"/>
  <c r="O223" i="21"/>
  <c r="O263" i="21"/>
  <c r="O123" i="21"/>
  <c r="O80" i="21"/>
  <c r="O370" i="21"/>
  <c r="O139" i="21"/>
  <c r="O19" i="21"/>
  <c r="O235" i="21"/>
  <c r="O242" i="21"/>
  <c r="O224" i="21"/>
  <c r="O70" i="21"/>
  <c r="O143" i="21"/>
  <c r="O192" i="21"/>
  <c r="O319" i="21"/>
  <c r="O14" i="21"/>
  <c r="O146" i="21"/>
  <c r="O279" i="21"/>
  <c r="O376" i="21"/>
  <c r="O40" i="21"/>
  <c r="O220" i="21"/>
  <c r="O311" i="21"/>
  <c r="O58" i="21"/>
  <c r="O53" i="21"/>
  <c r="O150" i="21"/>
  <c r="O110" i="21"/>
  <c r="O362" i="21"/>
  <c r="O294" i="21"/>
  <c r="O280" i="21"/>
  <c r="O266" i="21"/>
  <c r="O373" i="21"/>
  <c r="O75" i="21"/>
  <c r="O269" i="21"/>
  <c r="O111" i="21"/>
  <c r="O342" i="21"/>
  <c r="O42" i="21"/>
  <c r="O162" i="21"/>
  <c r="O302" i="21"/>
  <c r="O97" i="21"/>
  <c r="O244" i="21"/>
  <c r="O310" i="21"/>
  <c r="O176" i="21"/>
  <c r="O175" i="21"/>
  <c r="O371" i="21"/>
  <c r="O71" i="21"/>
  <c r="O203" i="21"/>
  <c r="O300" i="21"/>
  <c r="O197" i="21"/>
  <c r="O296" i="21"/>
  <c r="O333" i="21"/>
  <c r="O286" i="21"/>
  <c r="O38" i="21"/>
  <c r="O282" i="21"/>
  <c r="O265" i="21"/>
  <c r="O274" i="21"/>
  <c r="O28" i="21"/>
  <c r="O117" i="21"/>
  <c r="O120" i="21"/>
  <c r="O239" i="21"/>
  <c r="O327" i="21"/>
  <c r="O179" i="21"/>
  <c r="O96" i="21"/>
  <c r="O161" i="21"/>
  <c r="O232" i="21"/>
  <c r="O85" i="21"/>
  <c r="O127" i="21"/>
  <c r="O122" i="21"/>
  <c r="O216" i="21"/>
  <c r="O228" i="21"/>
  <c r="O281" i="21"/>
  <c r="O307" i="21"/>
  <c r="O285" i="21"/>
  <c r="O108" i="21"/>
  <c r="O153" i="21"/>
  <c r="O240" i="21"/>
  <c r="O273" i="21"/>
  <c r="O29" i="21"/>
  <c r="O81" i="21"/>
  <c r="O348" i="21"/>
  <c r="O231" i="21"/>
  <c r="O308" i="21"/>
  <c r="O210" i="21"/>
  <c r="O173" i="21"/>
  <c r="O375" i="21"/>
  <c r="O361" i="21"/>
  <c r="O77" i="21"/>
  <c r="O346" i="21"/>
  <c r="O25" i="21"/>
  <c r="O212" i="21"/>
  <c r="O22" i="21"/>
  <c r="O186" i="21"/>
  <c r="O141" i="21"/>
  <c r="O292" i="21"/>
  <c r="O271" i="21"/>
  <c r="O104" i="21"/>
  <c r="O340" i="21"/>
  <c r="O309" i="21"/>
  <c r="O313" i="21"/>
  <c r="O45" i="21"/>
  <c r="O60" i="21"/>
  <c r="O369" i="21"/>
  <c r="O57" i="21"/>
  <c r="O86" i="21"/>
  <c r="O314" i="21"/>
  <c r="O356" i="21"/>
  <c r="O258" i="21"/>
  <c r="O137" i="21"/>
  <c r="O321" i="21"/>
  <c r="O199" i="21"/>
  <c r="O98" i="21"/>
  <c r="O350" i="21"/>
  <c r="O89" i="21"/>
  <c r="O295" i="21"/>
  <c r="O109" i="21"/>
  <c r="O152" i="21"/>
  <c r="O209" i="21"/>
  <c r="O183" i="21"/>
  <c r="O283" i="21"/>
  <c r="O125" i="21"/>
  <c r="O82" i="21"/>
  <c r="O101" i="21"/>
  <c r="O267" i="21"/>
  <c r="O251" i="21"/>
  <c r="O185" i="21"/>
  <c r="O130" i="21"/>
  <c r="O39" i="21"/>
  <c r="O372" i="21"/>
  <c r="O204" i="21"/>
  <c r="O353" i="21"/>
  <c r="O94" i="21"/>
  <c r="O72" i="21"/>
  <c r="O229" i="21"/>
  <c r="O352" i="21"/>
  <c r="O30" i="21"/>
  <c r="O236" i="21"/>
  <c r="O144" i="21"/>
  <c r="O169" i="21"/>
  <c r="O326" i="21"/>
  <c r="O325" i="21"/>
  <c r="O262" i="21"/>
  <c r="O67" i="21"/>
  <c r="O261" i="21"/>
  <c r="O164" i="21"/>
  <c r="O334" i="21"/>
  <c r="O278" i="21"/>
  <c r="O64" i="21"/>
  <c r="O41" i="21"/>
  <c r="O43" i="21"/>
  <c r="O27" i="21"/>
  <c r="O56" i="21"/>
  <c r="O182" i="21"/>
  <c r="O252" i="21"/>
  <c r="O222" i="21"/>
  <c r="O35" i="21"/>
  <c r="O291" i="21"/>
  <c r="O115" i="21"/>
  <c r="O44" i="21"/>
  <c r="O166" i="21"/>
  <c r="O118" i="21"/>
  <c r="O83" i="21"/>
  <c r="O305" i="21"/>
  <c r="O46" i="21"/>
  <c r="O358" i="21"/>
  <c r="J16" i="21"/>
  <c r="K16" i="21" s="1"/>
  <c r="L16" i="21" s="1"/>
  <c r="M16" i="21" s="1"/>
  <c r="G16" i="21"/>
  <c r="H16" i="21" s="1"/>
  <c r="AI36" i="23"/>
  <c r="AF36" i="23"/>
  <c r="AE37" i="23"/>
  <c r="AG37" i="23" s="1"/>
  <c r="AI14" i="23"/>
  <c r="AE13" i="23"/>
  <c r="AG13" i="23" s="1"/>
  <c r="AF14" i="23"/>
  <c r="I16" i="21" l="1"/>
  <c r="AI13" i="23"/>
  <c r="AF13" i="23"/>
  <c r="AE12" i="23"/>
  <c r="AG12" i="23" s="1"/>
  <c r="AI37" i="23"/>
  <c r="AF37" i="23"/>
  <c r="AE38" i="23"/>
  <c r="AG38" i="23" s="1"/>
  <c r="O16" i="21" l="1"/>
  <c r="AI38" i="23"/>
  <c r="AF38" i="23"/>
  <c r="AE39" i="23"/>
  <c r="AG39" i="23" s="1"/>
  <c r="AI12" i="23"/>
  <c r="AF12" i="23"/>
  <c r="AE11" i="23"/>
  <c r="AG11" i="23" s="1"/>
  <c r="AI39" i="23" l="1"/>
  <c r="AE40" i="23"/>
  <c r="AG40" i="23" s="1"/>
  <c r="AF39" i="23"/>
  <c r="AI11" i="23"/>
  <c r="AF11" i="23"/>
  <c r="AI40" i="23" l="1"/>
  <c r="AF40" i="23"/>
  <c r="AE41" i="23"/>
  <c r="AG41" i="23" s="1"/>
  <c r="AI41" i="23" l="1"/>
  <c r="AE42" i="23"/>
  <c r="AG42" i="23" s="1"/>
  <c r="AF41" i="23"/>
  <c r="AI42" i="23" l="1"/>
  <c r="AE43" i="23"/>
  <c r="AG43" i="23" s="1"/>
  <c r="AF42" i="23"/>
  <c r="AI43" i="23" l="1"/>
  <c r="AF43" i="23"/>
  <c r="AE44" i="23"/>
  <c r="AG44" i="23" s="1"/>
  <c r="AI44" i="23" l="1"/>
  <c r="AE45" i="23"/>
  <c r="AG45" i="23" s="1"/>
  <c r="AF44" i="23"/>
  <c r="AI45" i="23" l="1"/>
  <c r="AL10" i="23" s="1"/>
  <c r="AF45" i="23"/>
  <c r="AN10" i="23" a="1"/>
  <c r="AO10" i="23" a="1"/>
  <c r="AO10" i="23" l="1"/>
  <c r="AN10" i="23"/>
  <c r="AP10" i="23" a="1"/>
  <c r="AM10" i="23" a="1"/>
  <c r="AQ10" i="23" a="1"/>
  <c r="N3" i="23" l="1"/>
  <c r="B9" i="13" s="1"/>
  <c r="AM10" i="23"/>
  <c r="AP10" i="23"/>
  <c r="M3" i="23"/>
  <c r="J2" i="23" s="1"/>
  <c r="AQ10" i="23"/>
  <c r="F7" i="15" l="1"/>
  <c r="I7" i="15" s="1"/>
  <c r="K7" i="15" s="1"/>
  <c r="U12" i="21" l="1"/>
  <c r="U377" i="21" s="1"/>
  <c r="J12" i="21"/>
  <c r="K12" i="21" s="1"/>
  <c r="E12" i="21"/>
  <c r="E13" i="21" s="1"/>
  <c r="E14" i="21" s="1"/>
  <c r="E15" i="21" s="1"/>
  <c r="E16" i="21" s="1"/>
  <c r="E17" i="21" s="1"/>
  <c r="E18" i="21" s="1"/>
  <c r="E19" i="21" s="1"/>
  <c r="E20" i="21" s="1"/>
  <c r="E21" i="21" s="1"/>
  <c r="E22" i="21" s="1"/>
  <c r="E23" i="21" s="1"/>
  <c r="E24" i="21" s="1"/>
  <c r="E25" i="21" s="1"/>
  <c r="E26" i="21" s="1"/>
  <c r="E27" i="21" s="1"/>
  <c r="E28" i="21" s="1"/>
  <c r="E29" i="21" s="1"/>
  <c r="E30" i="21" s="1"/>
  <c r="E31" i="21" s="1"/>
  <c r="E32" i="21" s="1"/>
  <c r="E33" i="21" s="1"/>
  <c r="E34" i="21" s="1"/>
  <c r="E35" i="21" s="1"/>
  <c r="E36" i="21" s="1"/>
  <c r="E37" i="21" s="1"/>
  <c r="E38" i="21" s="1"/>
  <c r="E39" i="21" s="1"/>
  <c r="E40" i="21" s="1"/>
  <c r="E41" i="21" s="1"/>
  <c r="E42" i="21" s="1"/>
  <c r="E43" i="21" s="1"/>
  <c r="E44" i="21" s="1"/>
  <c r="E45" i="21" s="1"/>
  <c r="E46" i="21" s="1"/>
  <c r="E47" i="21" s="1"/>
  <c r="E48" i="21" s="1"/>
  <c r="E49" i="21" s="1"/>
  <c r="E50" i="21" s="1"/>
  <c r="E51" i="21" s="1"/>
  <c r="E52" i="21" s="1"/>
  <c r="E53" i="21" s="1"/>
  <c r="E54" i="21" s="1"/>
  <c r="E55" i="21" s="1"/>
  <c r="E56" i="21" s="1"/>
  <c r="E57" i="21" s="1"/>
  <c r="E58" i="21" s="1"/>
  <c r="E59" i="21" s="1"/>
  <c r="E60" i="21" s="1"/>
  <c r="E61" i="21" s="1"/>
  <c r="E62" i="21" s="1"/>
  <c r="E63" i="21" s="1"/>
  <c r="E64" i="21" s="1"/>
  <c r="E65" i="21" s="1"/>
  <c r="E66" i="21" s="1"/>
  <c r="E67" i="21" s="1"/>
  <c r="E68" i="21" s="1"/>
  <c r="E69" i="21" s="1"/>
  <c r="E70" i="21" s="1"/>
  <c r="E71" i="21" s="1"/>
  <c r="E72" i="21" s="1"/>
  <c r="E73" i="21" s="1"/>
  <c r="E74" i="21" s="1"/>
  <c r="E75" i="21" s="1"/>
  <c r="E76" i="21" s="1"/>
  <c r="E77" i="21" s="1"/>
  <c r="E78" i="21" s="1"/>
  <c r="E79" i="21" s="1"/>
  <c r="E80" i="21" s="1"/>
  <c r="E81" i="21" s="1"/>
  <c r="E82" i="21" s="1"/>
  <c r="E83" i="21" s="1"/>
  <c r="E84" i="21" s="1"/>
  <c r="E85" i="21" s="1"/>
  <c r="E86" i="21" s="1"/>
  <c r="E87" i="21" s="1"/>
  <c r="E88" i="21" s="1"/>
  <c r="E89" i="21" s="1"/>
  <c r="E90" i="21" s="1"/>
  <c r="E91" i="21" s="1"/>
  <c r="E92" i="21" s="1"/>
  <c r="E93" i="21" s="1"/>
  <c r="E94" i="21" s="1"/>
  <c r="E95" i="21" s="1"/>
  <c r="E96" i="21" s="1"/>
  <c r="E97" i="21" s="1"/>
  <c r="E98" i="21" s="1"/>
  <c r="E99" i="21" s="1"/>
  <c r="E100" i="21" s="1"/>
  <c r="E101" i="21" s="1"/>
  <c r="E102" i="21" s="1"/>
  <c r="E103" i="21" s="1"/>
  <c r="E104" i="21" s="1"/>
  <c r="E105" i="21" s="1"/>
  <c r="E106" i="21" s="1"/>
  <c r="E107" i="21" s="1"/>
  <c r="E108" i="21" s="1"/>
  <c r="E109" i="21" s="1"/>
  <c r="E110" i="21" s="1"/>
  <c r="E111" i="21" s="1"/>
  <c r="E112" i="21" s="1"/>
  <c r="E113" i="21" s="1"/>
  <c r="E114" i="21" s="1"/>
  <c r="E115" i="21" s="1"/>
  <c r="E116" i="21" s="1"/>
  <c r="E117" i="21" s="1"/>
  <c r="E118" i="21" s="1"/>
  <c r="E119" i="21" s="1"/>
  <c r="E120" i="21" s="1"/>
  <c r="E121" i="21" s="1"/>
  <c r="E122" i="21" s="1"/>
  <c r="E123" i="21" s="1"/>
  <c r="E124" i="21" s="1"/>
  <c r="E125" i="21" s="1"/>
  <c r="E126" i="21" s="1"/>
  <c r="E127" i="21" s="1"/>
  <c r="E128" i="21" s="1"/>
  <c r="E129" i="21" s="1"/>
  <c r="E130" i="21" s="1"/>
  <c r="E131" i="21" s="1"/>
  <c r="E132" i="21" s="1"/>
  <c r="E133" i="21" s="1"/>
  <c r="E134" i="21" s="1"/>
  <c r="E135" i="21" s="1"/>
  <c r="E136" i="21" s="1"/>
  <c r="E137" i="21" s="1"/>
  <c r="E138" i="21" s="1"/>
  <c r="E139" i="21" s="1"/>
  <c r="E140" i="21" s="1"/>
  <c r="E141" i="21" s="1"/>
  <c r="E142" i="21" s="1"/>
  <c r="E143" i="21" s="1"/>
  <c r="E144" i="21" s="1"/>
  <c r="E145" i="21" s="1"/>
  <c r="E146" i="21" s="1"/>
  <c r="E147" i="21" s="1"/>
  <c r="E148" i="21" s="1"/>
  <c r="E149" i="21" s="1"/>
  <c r="E150" i="21" s="1"/>
  <c r="E151" i="21" s="1"/>
  <c r="E152" i="21" s="1"/>
  <c r="E153" i="21" s="1"/>
  <c r="E154" i="21" s="1"/>
  <c r="E155" i="21" s="1"/>
  <c r="E156" i="21" s="1"/>
  <c r="E157" i="21" s="1"/>
  <c r="E158" i="21" s="1"/>
  <c r="E159" i="21" s="1"/>
  <c r="E160" i="21" s="1"/>
  <c r="E161" i="21" s="1"/>
  <c r="E162" i="21" s="1"/>
  <c r="E163" i="21" s="1"/>
  <c r="E164" i="21" s="1"/>
  <c r="E165" i="21" s="1"/>
  <c r="E166" i="21" s="1"/>
  <c r="E167" i="21" s="1"/>
  <c r="E168" i="21" s="1"/>
  <c r="E169" i="21" s="1"/>
  <c r="E170" i="21" s="1"/>
  <c r="E171" i="21" s="1"/>
  <c r="E172" i="21" s="1"/>
  <c r="E173" i="21" s="1"/>
  <c r="E174" i="21" s="1"/>
  <c r="E175" i="21" s="1"/>
  <c r="E176" i="21" s="1"/>
  <c r="E177" i="21" s="1"/>
  <c r="E178" i="21" s="1"/>
  <c r="E179" i="21" s="1"/>
  <c r="E180" i="21" s="1"/>
  <c r="E181" i="21" s="1"/>
  <c r="E182" i="21" s="1"/>
  <c r="E183" i="21" s="1"/>
  <c r="E184" i="21" s="1"/>
  <c r="E185" i="21" s="1"/>
  <c r="E186" i="21" s="1"/>
  <c r="E187" i="21" s="1"/>
  <c r="E188" i="21" s="1"/>
  <c r="E189" i="21" s="1"/>
  <c r="E190" i="21" s="1"/>
  <c r="E191" i="21" s="1"/>
  <c r="E192" i="21" s="1"/>
  <c r="E193" i="21" s="1"/>
  <c r="E194" i="21" s="1"/>
  <c r="E195" i="21" s="1"/>
  <c r="E196" i="21" s="1"/>
  <c r="E197" i="21" s="1"/>
  <c r="E198" i="21" s="1"/>
  <c r="E199" i="21" s="1"/>
  <c r="E200" i="21" s="1"/>
  <c r="E201" i="21" s="1"/>
  <c r="E202" i="21" s="1"/>
  <c r="E203" i="21" s="1"/>
  <c r="E204" i="21" s="1"/>
  <c r="E205" i="21" s="1"/>
  <c r="E206" i="21" s="1"/>
  <c r="E207" i="21" s="1"/>
  <c r="E208" i="21" s="1"/>
  <c r="E209" i="21" s="1"/>
  <c r="E210" i="21" s="1"/>
  <c r="E211" i="21" s="1"/>
  <c r="E212" i="21" s="1"/>
  <c r="E213" i="21" s="1"/>
  <c r="E214" i="21" s="1"/>
  <c r="E215" i="21" s="1"/>
  <c r="E216" i="21" s="1"/>
  <c r="E217" i="21" s="1"/>
  <c r="E218" i="21" s="1"/>
  <c r="E219" i="21" s="1"/>
  <c r="E220" i="21" s="1"/>
  <c r="E221" i="21" s="1"/>
  <c r="E222" i="21" s="1"/>
  <c r="E223" i="21" s="1"/>
  <c r="E224" i="21" s="1"/>
  <c r="E225" i="21" s="1"/>
  <c r="E226" i="21" s="1"/>
  <c r="E227" i="21" s="1"/>
  <c r="E228" i="21" s="1"/>
  <c r="E229" i="21" s="1"/>
  <c r="E230" i="21" s="1"/>
  <c r="E231" i="21" s="1"/>
  <c r="E232" i="21" s="1"/>
  <c r="E233" i="21" s="1"/>
  <c r="E234" i="21" s="1"/>
  <c r="E235" i="21" s="1"/>
  <c r="E236" i="21" s="1"/>
  <c r="E237" i="21" s="1"/>
  <c r="E238" i="21" s="1"/>
  <c r="E239" i="21" s="1"/>
  <c r="E240" i="21" s="1"/>
  <c r="E241" i="21" s="1"/>
  <c r="E242" i="21" s="1"/>
  <c r="E243" i="21" s="1"/>
  <c r="E244" i="21" s="1"/>
  <c r="E245" i="21" s="1"/>
  <c r="E246" i="21" s="1"/>
  <c r="E247" i="21" s="1"/>
  <c r="E248" i="21" s="1"/>
  <c r="E249" i="21" s="1"/>
  <c r="E250" i="21" s="1"/>
  <c r="E251" i="21" s="1"/>
  <c r="E252" i="21" s="1"/>
  <c r="E253" i="21" s="1"/>
  <c r="E254" i="21" s="1"/>
  <c r="E255" i="21" s="1"/>
  <c r="E256" i="21" s="1"/>
  <c r="E257" i="21" s="1"/>
  <c r="E258" i="21" s="1"/>
  <c r="E259" i="21" s="1"/>
  <c r="E260" i="21" s="1"/>
  <c r="E261" i="21" s="1"/>
  <c r="E262" i="21" s="1"/>
  <c r="E263" i="21" s="1"/>
  <c r="E264" i="21" s="1"/>
  <c r="E265" i="21" s="1"/>
  <c r="E266" i="21" s="1"/>
  <c r="E267" i="21" s="1"/>
  <c r="E268" i="21" s="1"/>
  <c r="E269" i="21" s="1"/>
  <c r="E270" i="21" s="1"/>
  <c r="E271" i="21" s="1"/>
  <c r="E272" i="21" s="1"/>
  <c r="E273" i="21" s="1"/>
  <c r="E274" i="21" s="1"/>
  <c r="E275" i="21" s="1"/>
  <c r="E276" i="21" s="1"/>
  <c r="E277" i="21" s="1"/>
  <c r="E278" i="21" s="1"/>
  <c r="E279" i="21" s="1"/>
  <c r="E280" i="21" s="1"/>
  <c r="E281" i="21" s="1"/>
  <c r="E282" i="21" s="1"/>
  <c r="E283" i="21" s="1"/>
  <c r="E284" i="21" s="1"/>
  <c r="E285" i="21" s="1"/>
  <c r="E286" i="21" s="1"/>
  <c r="E287" i="21" s="1"/>
  <c r="E288" i="21" s="1"/>
  <c r="E289" i="21" s="1"/>
  <c r="E290" i="21" s="1"/>
  <c r="E291" i="21" s="1"/>
  <c r="E292" i="21" s="1"/>
  <c r="E293" i="21" s="1"/>
  <c r="E294" i="21" s="1"/>
  <c r="E295" i="21" s="1"/>
  <c r="E296" i="21" s="1"/>
  <c r="E297" i="21" s="1"/>
  <c r="E298" i="21" s="1"/>
  <c r="E299" i="21" s="1"/>
  <c r="E300" i="21" s="1"/>
  <c r="E301" i="21" s="1"/>
  <c r="E302" i="21" s="1"/>
  <c r="E303" i="21" s="1"/>
  <c r="E304" i="21" s="1"/>
  <c r="E305" i="21" s="1"/>
  <c r="E306" i="21" s="1"/>
  <c r="E307" i="21" s="1"/>
  <c r="E308" i="21" s="1"/>
  <c r="E309" i="21" s="1"/>
  <c r="E310" i="21" s="1"/>
  <c r="E311" i="21" s="1"/>
  <c r="E312" i="21" s="1"/>
  <c r="E313" i="21" s="1"/>
  <c r="E314" i="21" s="1"/>
  <c r="E315" i="21" s="1"/>
  <c r="E316" i="21" s="1"/>
  <c r="E317" i="21" s="1"/>
  <c r="E318" i="21" s="1"/>
  <c r="E319" i="21" s="1"/>
  <c r="E320" i="21" s="1"/>
  <c r="E321" i="21" s="1"/>
  <c r="E322" i="21" s="1"/>
  <c r="E323" i="21" s="1"/>
  <c r="E324" i="21" s="1"/>
  <c r="E325" i="21" s="1"/>
  <c r="E326" i="21" s="1"/>
  <c r="E327" i="21" s="1"/>
  <c r="E328" i="21" s="1"/>
  <c r="E329" i="21" s="1"/>
  <c r="E330" i="21" s="1"/>
  <c r="E331" i="21" s="1"/>
  <c r="E332" i="21" s="1"/>
  <c r="E333" i="21" s="1"/>
  <c r="E334" i="21" s="1"/>
  <c r="E335" i="21" s="1"/>
  <c r="E336" i="21" s="1"/>
  <c r="E337" i="21" s="1"/>
  <c r="E338" i="21" s="1"/>
  <c r="E339" i="21" s="1"/>
  <c r="E340" i="21" s="1"/>
  <c r="E341" i="21" s="1"/>
  <c r="E342" i="21" s="1"/>
  <c r="E343" i="21" s="1"/>
  <c r="E344" i="21" s="1"/>
  <c r="E345" i="21" s="1"/>
  <c r="E346" i="21" s="1"/>
  <c r="E347" i="21" s="1"/>
  <c r="E348" i="21" s="1"/>
  <c r="E349" i="21" s="1"/>
  <c r="E350" i="21" s="1"/>
  <c r="E351" i="21" s="1"/>
  <c r="E352" i="21" s="1"/>
  <c r="E353" i="21" s="1"/>
  <c r="E354" i="21" s="1"/>
  <c r="E355" i="21" s="1"/>
  <c r="E356" i="21" s="1"/>
  <c r="E357" i="21" s="1"/>
  <c r="E358" i="21" s="1"/>
  <c r="E359" i="21" s="1"/>
  <c r="E360" i="21" s="1"/>
  <c r="E361" i="21" s="1"/>
  <c r="E362" i="21" s="1"/>
  <c r="E363" i="21" s="1"/>
  <c r="E364" i="21" s="1"/>
  <c r="E365" i="21" s="1"/>
  <c r="E366" i="21" s="1"/>
  <c r="E367" i="21" s="1"/>
  <c r="E368" i="21" s="1"/>
  <c r="E369" i="21" s="1"/>
  <c r="E370" i="21" s="1"/>
  <c r="E371" i="21" s="1"/>
  <c r="E372" i="21" s="1"/>
  <c r="E373" i="21" s="1"/>
  <c r="E374" i="21" s="1"/>
  <c r="E375" i="21" s="1"/>
  <c r="E376" i="21" s="1"/>
  <c r="G12" i="21"/>
  <c r="H12" i="21" l="1"/>
  <c r="I12" i="21" s="1"/>
  <c r="I377" i="21" s="1"/>
  <c r="E13" i="20"/>
  <c r="F13" i="20" s="1"/>
  <c r="B6" i="24"/>
  <c r="E2" i="8" s="1"/>
  <c r="L12" i="21"/>
  <c r="K377" i="21"/>
  <c r="E377" i="21"/>
  <c r="M12" i="21" l="1"/>
  <c r="M377" i="21" s="1"/>
  <c r="O12" i="21" l="1"/>
  <c r="O377" i="21" s="1"/>
  <c r="V18" i="21" l="1"/>
  <c r="P18" i="21" s="1"/>
  <c r="Q18" i="21" s="1"/>
  <c r="V19" i="21" l="1"/>
  <c r="P19" i="21" s="1"/>
  <c r="Q19" i="21" s="1"/>
  <c r="V20" i="21" l="1"/>
  <c r="P20" i="21" s="1"/>
  <c r="Q20" i="21" s="1"/>
  <c r="V21" i="21" l="1"/>
  <c r="P21" i="21" s="1"/>
  <c r="Q21" i="21" s="1"/>
  <c r="V22" i="21" l="1"/>
  <c r="P22" i="21" s="1"/>
  <c r="Q22" i="21" s="1"/>
  <c r="V23" i="21" l="1"/>
  <c r="P23" i="21" s="1"/>
  <c r="Q23" i="21" s="1"/>
  <c r="V24" i="21" l="1"/>
  <c r="P24" i="21" s="1"/>
  <c r="Q24" i="21" s="1"/>
  <c r="V25" i="21" l="1"/>
  <c r="P25" i="21" s="1"/>
  <c r="Q25" i="21" s="1"/>
  <c r="V40" i="21" l="1"/>
  <c r="P40" i="21" s="1"/>
  <c r="Q40" i="21" s="1"/>
  <c r="V42" i="21" l="1"/>
  <c r="P42" i="21" s="1"/>
  <c r="Q42" i="21" s="1"/>
  <c r="V58" i="21" l="1"/>
  <c r="P58" i="21" s="1"/>
  <c r="Q58" i="21" s="1"/>
  <c r="V59" i="21" l="1"/>
  <c r="P59" i="21" s="1"/>
  <c r="Q59" i="21" s="1"/>
  <c r="V63" i="21" l="1"/>
  <c r="P63" i="21" s="1"/>
  <c r="Q63" i="21" s="1"/>
  <c r="V64" i="21" l="1"/>
  <c r="P64" i="21" s="1"/>
  <c r="Q64" i="21" s="1"/>
  <c r="V65" i="21" l="1"/>
  <c r="P65" i="21" s="1"/>
  <c r="Q65" i="21" s="1"/>
  <c r="V70" i="21" l="1"/>
  <c r="P70" i="21" s="1"/>
  <c r="Q70" i="21" s="1"/>
  <c r="V71" i="21" l="1"/>
  <c r="P71" i="21" s="1"/>
  <c r="Q71" i="21" s="1"/>
  <c r="V72" i="21" l="1"/>
  <c r="P72" i="21" s="1"/>
  <c r="Q72" i="21" s="1"/>
  <c r="V73" i="21" l="1"/>
  <c r="P73" i="21" s="1"/>
  <c r="Q73" i="21" s="1"/>
  <c r="V74" i="21" l="1"/>
  <c r="P74" i="21" s="1"/>
  <c r="Q74" i="21" s="1"/>
  <c r="V77" i="21" l="1"/>
  <c r="P77" i="21" s="1"/>
  <c r="Q77" i="21" s="1"/>
  <c r="V91" i="21" l="1"/>
  <c r="P91" i="21" s="1"/>
  <c r="Q91" i="21" s="1"/>
  <c r="V108" i="21" l="1"/>
  <c r="P108" i="21" s="1"/>
  <c r="Q108" i="21" s="1"/>
  <c r="V109" i="21" l="1"/>
  <c r="P109" i="21" s="1"/>
  <c r="Q109" i="21" s="1"/>
  <c r="V119" i="21" l="1"/>
  <c r="P119" i="21" s="1"/>
  <c r="Q119" i="21" s="1"/>
  <c r="V126" i="21" l="1"/>
  <c r="P126" i="21" s="1"/>
  <c r="Q126" i="21" s="1"/>
  <c r="V134" i="21" l="1"/>
  <c r="P134" i="21" s="1"/>
  <c r="Q134" i="21" s="1"/>
  <c r="V142" i="21" l="1"/>
  <c r="P142" i="21" s="1"/>
  <c r="Q142" i="21" s="1"/>
  <c r="V143" i="21" l="1"/>
  <c r="P143" i="21" s="1"/>
  <c r="Q143" i="21" s="1"/>
  <c r="V144" i="21" l="1"/>
  <c r="P144" i="21" s="1"/>
  <c r="Q144" i="21" s="1"/>
  <c r="V146" i="21" l="1"/>
  <c r="P146" i="21" s="1"/>
  <c r="Q146" i="21" s="1"/>
  <c r="V147" i="21" l="1"/>
  <c r="P147" i="21" s="1"/>
  <c r="Q147" i="21" s="1"/>
  <c r="V148" i="21" l="1"/>
  <c r="P148" i="21" s="1"/>
  <c r="Q148" i="21" s="1"/>
  <c r="V149" i="21" l="1"/>
  <c r="P149" i="21" s="1"/>
  <c r="Q149" i="21" s="1"/>
  <c r="V151" i="21" l="1"/>
  <c r="P151" i="21" s="1"/>
  <c r="Q151" i="21" s="1"/>
  <c r="V152" i="21" l="1"/>
  <c r="P152" i="21" s="1"/>
  <c r="Q152" i="21" s="1"/>
  <c r="V153" i="21" l="1"/>
  <c r="P153" i="21" s="1"/>
  <c r="Q153" i="21" s="1"/>
  <c r="V155" i="21" l="1"/>
  <c r="P155" i="21" s="1"/>
  <c r="Q155" i="21" s="1"/>
  <c r="V156" i="21" l="1"/>
  <c r="P156" i="21" s="1"/>
  <c r="Q156" i="21" s="1"/>
  <c r="V158" i="21" l="1"/>
  <c r="P158" i="21" s="1"/>
  <c r="Q158" i="21" s="1"/>
  <c r="V160" i="21" l="1"/>
  <c r="P160" i="21" s="1"/>
  <c r="Q160" i="21" s="1"/>
  <c r="V161" i="21" l="1"/>
  <c r="P161" i="21" s="1"/>
  <c r="Q161" i="21" s="1"/>
  <c r="V162" i="21" l="1"/>
  <c r="P162" i="21" s="1"/>
  <c r="Q162" i="21" s="1"/>
  <c r="V168" i="21" l="1"/>
  <c r="P168" i="21" s="1"/>
  <c r="Q168" i="21" s="1"/>
  <c r="V169" i="21" l="1"/>
  <c r="P169" i="21" s="1"/>
  <c r="Q169" i="21" s="1"/>
  <c r="V170" i="21" l="1"/>
  <c r="P170" i="21" s="1"/>
  <c r="Q170" i="21" s="1"/>
  <c r="V172" i="21" l="1"/>
  <c r="P172" i="21" s="1"/>
  <c r="Q172" i="21" s="1"/>
  <c r="V173" i="21" l="1"/>
  <c r="P173" i="21" s="1"/>
  <c r="Q173" i="21" s="1"/>
  <c r="V174" i="21" l="1"/>
  <c r="P174" i="21" s="1"/>
  <c r="Q174" i="21" s="1"/>
  <c r="V175" i="21" l="1"/>
  <c r="P175" i="21" s="1"/>
  <c r="Q175" i="21" s="1"/>
  <c r="V176" i="21" l="1"/>
  <c r="P176" i="21" s="1"/>
  <c r="Q176" i="21" s="1"/>
  <c r="V177" i="21" l="1"/>
  <c r="P177" i="21" s="1"/>
  <c r="Q177" i="21" s="1"/>
  <c r="V178" i="21" l="1"/>
  <c r="P178" i="21" s="1"/>
  <c r="Q178" i="21" s="1"/>
  <c r="V179" i="21" l="1"/>
  <c r="P179" i="21" s="1"/>
  <c r="Q179" i="21" s="1"/>
  <c r="V183" i="21" l="1"/>
  <c r="P183" i="21" s="1"/>
  <c r="Q183" i="21" s="1"/>
  <c r="V184" i="21" l="1"/>
  <c r="P184" i="21" s="1"/>
  <c r="Q184" i="21" s="1"/>
  <c r="V190" i="21" l="1"/>
  <c r="P190" i="21" s="1"/>
  <c r="Q190" i="21" s="1"/>
  <c r="V191" i="21" l="1"/>
  <c r="P191" i="21" s="1"/>
  <c r="Q191" i="21" s="1"/>
  <c r="V193" i="21" l="1"/>
  <c r="P193" i="21" s="1"/>
  <c r="Q193" i="21" s="1"/>
  <c r="V194" i="21" l="1"/>
  <c r="P194" i="21" s="1"/>
  <c r="Q194" i="21" s="1"/>
  <c r="V200" i="21" l="1"/>
  <c r="P200" i="21" s="1"/>
  <c r="Q200" i="21" s="1"/>
  <c r="V211" i="21" l="1"/>
  <c r="P211" i="21" s="1"/>
  <c r="Q211" i="21" s="1"/>
  <c r="V214" i="21" l="1"/>
  <c r="P214" i="21" s="1"/>
  <c r="Q214" i="21" s="1"/>
  <c r="V215" i="21" l="1"/>
  <c r="P215" i="21" s="1"/>
  <c r="Q215" i="21" s="1"/>
  <c r="V218" i="21" l="1"/>
  <c r="P218" i="21" s="1"/>
  <c r="Q218" i="21" s="1"/>
  <c r="V224" i="21" l="1"/>
  <c r="P224" i="21" s="1"/>
  <c r="Q224" i="21" s="1"/>
  <c r="V227" i="21" l="1"/>
  <c r="P227" i="21" s="1"/>
  <c r="Q227" i="21" s="1"/>
  <c r="V228" i="21" l="1"/>
  <c r="P228" i="21" s="1"/>
  <c r="Q228" i="21" s="1"/>
  <c r="V229" i="21" l="1"/>
  <c r="P229" i="21" s="1"/>
  <c r="Q229" i="21" s="1"/>
  <c r="V235" i="21" l="1"/>
  <c r="P235" i="21" s="1"/>
  <c r="Q235" i="21" s="1"/>
  <c r="V236" i="21" l="1"/>
  <c r="P236" i="21" s="1"/>
  <c r="Q236" i="21" s="1"/>
  <c r="V237" i="21" l="1"/>
  <c r="P237" i="21" s="1"/>
  <c r="Q237" i="21" s="1"/>
  <c r="V238" i="21" l="1"/>
  <c r="P238" i="21" s="1"/>
  <c r="Q238" i="21" s="1"/>
  <c r="V240" i="21" l="1"/>
  <c r="P240" i="21" s="1"/>
  <c r="Q240" i="21" s="1"/>
  <c r="V242" i="21" l="1"/>
  <c r="P242" i="21" s="1"/>
  <c r="Q242" i="21" s="1"/>
  <c r="V244" i="21" l="1"/>
  <c r="P244" i="21" s="1"/>
  <c r="Q244" i="21" s="1"/>
  <c r="V280" i="21" l="1"/>
  <c r="P280" i="21" s="1"/>
  <c r="Q280" i="21" s="1"/>
  <c r="V281" i="21" l="1"/>
  <c r="P281" i="21" s="1"/>
  <c r="Q281" i="21" s="1"/>
  <c r="V283" i="21" l="1"/>
  <c r="P283" i="21" s="1"/>
  <c r="Q283" i="21" s="1"/>
  <c r="V284" i="21" l="1"/>
  <c r="P284" i="21" s="1"/>
  <c r="Q284" i="21" s="1"/>
  <c r="V287" i="21" l="1"/>
  <c r="P287" i="21" s="1"/>
  <c r="Q287" i="21" s="1"/>
  <c r="V288" i="21" l="1"/>
  <c r="P288" i="21" s="1"/>
  <c r="Q288" i="21" s="1"/>
  <c r="V289" i="21" l="1"/>
  <c r="P289" i="21" s="1"/>
  <c r="Q289" i="21" s="1"/>
  <c r="V299" i="21" l="1"/>
  <c r="P299" i="21" s="1"/>
  <c r="Q299" i="21" s="1"/>
  <c r="V335" i="21" l="1"/>
  <c r="P335" i="21" s="1"/>
  <c r="Q335" i="21" s="1"/>
  <c r="V336" i="21" l="1"/>
  <c r="P336" i="21" s="1"/>
  <c r="Q336" i="21" s="1"/>
  <c r="V337" i="21" l="1"/>
  <c r="P337" i="21" s="1"/>
  <c r="Q337" i="21" s="1"/>
  <c r="V338" i="21" l="1"/>
  <c r="P338" i="21" s="1"/>
  <c r="Q338" i="21" s="1"/>
  <c r="V339" i="21" l="1"/>
  <c r="P339" i="21" s="1"/>
  <c r="Q339" i="21" s="1"/>
  <c r="V340" i="21" l="1"/>
  <c r="P340" i="21" s="1"/>
  <c r="Q340" i="21" s="1"/>
  <c r="V342" i="21" l="1"/>
  <c r="P342" i="21" s="1"/>
  <c r="Q342" i="21" s="1"/>
  <c r="V343" i="21" l="1"/>
  <c r="P343" i="21" s="1"/>
  <c r="Q343" i="21" s="1"/>
  <c r="V344" i="21" l="1"/>
  <c r="P344" i="21" s="1"/>
  <c r="Q344" i="21" s="1"/>
  <c r="V369" i="21" l="1"/>
  <c r="P369" i="21" s="1"/>
  <c r="Q369" i="21" s="1"/>
  <c r="V370" i="21" l="1"/>
  <c r="P370" i="21" s="1"/>
  <c r="Q370" i="21" s="1"/>
  <c r="V375" i="21" l="1"/>
  <c r="P375" i="21" s="1"/>
  <c r="Q375" i="21" s="1"/>
  <c r="V12" i="21" l="1"/>
  <c r="P12" i="21"/>
  <c r="Q12" i="21" s="1"/>
  <c r="V13" i="21"/>
  <c r="P13" i="21"/>
  <c r="W12" i="21" l="1"/>
  <c r="Q13" i="21"/>
  <c r="D12" i="13" l="1"/>
  <c r="Y12" i="21"/>
  <c r="E12" i="13"/>
  <c r="X12" i="21"/>
  <c r="G9" i="18"/>
  <c r="G10" i="18" s="1"/>
  <c r="B8" i="18" s="1"/>
  <c r="F5" i="15" s="1"/>
  <c r="H12" i="13" l="1"/>
  <c r="F12" i="13"/>
  <c r="W13" i="21"/>
  <c r="X13" i="21" s="1"/>
  <c r="I5" i="15"/>
  <c r="K5" i="15" s="1"/>
  <c r="D13" i="13" l="1"/>
  <c r="E13" i="13"/>
  <c r="Y13" i="21"/>
  <c r="F13" i="13" l="1"/>
  <c r="H13" i="13"/>
  <c r="V14" i="21"/>
  <c r="W14" i="21" s="1"/>
  <c r="E14" i="13" s="1"/>
  <c r="V15" i="21"/>
  <c r="V16" i="21"/>
  <c r="V17" i="21"/>
  <c r="V26" i="21"/>
  <c r="V27" i="21"/>
  <c r="V28" i="21"/>
  <c r="V29" i="21"/>
  <c r="V30" i="21"/>
  <c r="V31" i="21"/>
  <c r="V32" i="21"/>
  <c r="V33" i="21"/>
  <c r="V34" i="21"/>
  <c r="V35" i="21"/>
  <c r="V36" i="21"/>
  <c r="V37" i="21"/>
  <c r="V38" i="21"/>
  <c r="V39" i="21"/>
  <c r="V41" i="21"/>
  <c r="V43" i="21"/>
  <c r="V44" i="21"/>
  <c r="V45" i="21"/>
  <c r="V46" i="21"/>
  <c r="V47" i="21"/>
  <c r="V48" i="21"/>
  <c r="V49" i="21"/>
  <c r="V50" i="21"/>
  <c r="V51" i="21"/>
  <c r="V52" i="21"/>
  <c r="V53" i="21"/>
  <c r="V54" i="21"/>
  <c r="V55" i="21"/>
  <c r="V56" i="21"/>
  <c r="V57" i="21"/>
  <c r="V60" i="21"/>
  <c r="V61" i="21"/>
  <c r="V62" i="21"/>
  <c r="V66" i="21"/>
  <c r="V67" i="21"/>
  <c r="V68" i="21"/>
  <c r="V69" i="21"/>
  <c r="V75" i="21"/>
  <c r="V76" i="21"/>
  <c r="V78" i="21"/>
  <c r="V79" i="21"/>
  <c r="V80" i="21"/>
  <c r="V81" i="21"/>
  <c r="V82" i="21"/>
  <c r="V83" i="21"/>
  <c r="V84" i="21"/>
  <c r="V85" i="21"/>
  <c r="V86" i="21"/>
  <c r="V87" i="21"/>
  <c r="V88" i="21"/>
  <c r="V89" i="21"/>
  <c r="V90" i="21"/>
  <c r="V92" i="21"/>
  <c r="V93" i="21"/>
  <c r="V94" i="21"/>
  <c r="V95" i="21"/>
  <c r="V96" i="21"/>
  <c r="V97" i="21"/>
  <c r="V98" i="21"/>
  <c r="V99" i="21"/>
  <c r="V100" i="21"/>
  <c r="V101" i="21"/>
  <c r="V102" i="21"/>
  <c r="V103" i="21"/>
  <c r="V104" i="21"/>
  <c r="V105" i="21"/>
  <c r="V106" i="21"/>
  <c r="V107" i="21"/>
  <c r="V110" i="21"/>
  <c r="V111" i="21"/>
  <c r="V112" i="21"/>
  <c r="V113" i="21"/>
  <c r="V114" i="21"/>
  <c r="V115" i="21"/>
  <c r="V116" i="21"/>
  <c r="V117" i="21"/>
  <c r="V118" i="21"/>
  <c r="V120" i="21"/>
  <c r="V121" i="21"/>
  <c r="V122" i="21"/>
  <c r="V123" i="21"/>
  <c r="V124" i="21"/>
  <c r="V125" i="21"/>
  <c r="V127" i="21"/>
  <c r="V128" i="21"/>
  <c r="V129" i="21"/>
  <c r="V130" i="21"/>
  <c r="V131" i="21"/>
  <c r="V132" i="21"/>
  <c r="V133" i="21"/>
  <c r="V135" i="21"/>
  <c r="V136" i="21"/>
  <c r="V137" i="21"/>
  <c r="V138" i="21"/>
  <c r="V139" i="21"/>
  <c r="V140" i="21"/>
  <c r="V141" i="21"/>
  <c r="V145" i="21"/>
  <c r="V150" i="21"/>
  <c r="V154" i="21"/>
  <c r="V157" i="21"/>
  <c r="V159" i="21"/>
  <c r="V163" i="21"/>
  <c r="V164" i="21"/>
  <c r="V165" i="21"/>
  <c r="V166" i="21"/>
  <c r="V167" i="21"/>
  <c r="V171" i="21"/>
  <c r="V180" i="21"/>
  <c r="V181" i="21"/>
  <c r="V182" i="21"/>
  <c r="V185" i="21"/>
  <c r="V186" i="21"/>
  <c r="V187" i="21"/>
  <c r="V188" i="21"/>
  <c r="V189" i="21"/>
  <c r="V192" i="21"/>
  <c r="V195" i="21"/>
  <c r="V196" i="21"/>
  <c r="V197" i="21"/>
  <c r="V198" i="21"/>
  <c r="V199" i="21"/>
  <c r="V201" i="21"/>
  <c r="V202" i="21"/>
  <c r="V203" i="21"/>
  <c r="V204" i="21"/>
  <c r="V205" i="21"/>
  <c r="V206" i="21"/>
  <c r="V207" i="21"/>
  <c r="V208" i="21"/>
  <c r="V209" i="21"/>
  <c r="V210" i="21"/>
  <c r="V212" i="21"/>
  <c r="V213" i="21"/>
  <c r="V216" i="21"/>
  <c r="V217" i="21"/>
  <c r="V219" i="21"/>
  <c r="V220" i="21"/>
  <c r="V221" i="21"/>
  <c r="V222" i="21"/>
  <c r="V223" i="21"/>
  <c r="V225" i="21"/>
  <c r="V226" i="21"/>
  <c r="V230" i="21"/>
  <c r="V231" i="21"/>
  <c r="V232" i="21"/>
  <c r="V233" i="21"/>
  <c r="V234" i="21"/>
  <c r="V239" i="21"/>
  <c r="V241" i="21"/>
  <c r="V243" i="21"/>
  <c r="V245" i="21"/>
  <c r="V246" i="21"/>
  <c r="V247" i="21"/>
  <c r="V248" i="21"/>
  <c r="V249" i="21"/>
  <c r="V250" i="21"/>
  <c r="V251" i="21"/>
  <c r="V252" i="21"/>
  <c r="V253" i="21"/>
  <c r="V254" i="21"/>
  <c r="V255" i="21"/>
  <c r="V256" i="21"/>
  <c r="V257" i="21"/>
  <c r="V258" i="21"/>
  <c r="V259" i="21"/>
  <c r="V260" i="21"/>
  <c r="V261" i="21"/>
  <c r="V262" i="21"/>
  <c r="V263" i="21"/>
  <c r="V264" i="21"/>
  <c r="V265" i="21"/>
  <c r="V266" i="21"/>
  <c r="V267" i="21"/>
  <c r="V268" i="21"/>
  <c r="V269" i="21"/>
  <c r="V270" i="21"/>
  <c r="V271" i="21"/>
  <c r="V272" i="21"/>
  <c r="V273" i="21"/>
  <c r="V274" i="21"/>
  <c r="V275" i="21"/>
  <c r="V276" i="21"/>
  <c r="V277" i="21"/>
  <c r="V278" i="21"/>
  <c r="V279" i="21"/>
  <c r="V282" i="21"/>
  <c r="V285" i="21"/>
  <c r="V286" i="21"/>
  <c r="V290" i="21"/>
  <c r="V291" i="21"/>
  <c r="V292" i="21"/>
  <c r="V293" i="21"/>
  <c r="V294" i="21"/>
  <c r="V295" i="21"/>
  <c r="V296" i="21"/>
  <c r="V297" i="21"/>
  <c r="V298" i="21"/>
  <c r="V300" i="21"/>
  <c r="V301" i="21"/>
  <c r="V302" i="21"/>
  <c r="V303" i="21"/>
  <c r="V304" i="21"/>
  <c r="V305" i="21"/>
  <c r="V306" i="21"/>
  <c r="V307" i="21"/>
  <c r="V308" i="21"/>
  <c r="V309" i="21"/>
  <c r="V310" i="21"/>
  <c r="V311" i="21"/>
  <c r="V312" i="21"/>
  <c r="V313" i="21"/>
  <c r="V314" i="21"/>
  <c r="V315" i="21"/>
  <c r="V316" i="21"/>
  <c r="V317" i="21"/>
  <c r="V318" i="21"/>
  <c r="V319" i="21"/>
  <c r="V320" i="21"/>
  <c r="V321" i="21"/>
  <c r="V322" i="21"/>
  <c r="V323" i="21"/>
  <c r="V324" i="21"/>
  <c r="V325" i="21"/>
  <c r="V326" i="21"/>
  <c r="V327" i="21"/>
  <c r="V328" i="21"/>
  <c r="V329" i="21"/>
  <c r="V330" i="21"/>
  <c r="V331" i="21"/>
  <c r="V332" i="21"/>
  <c r="V333" i="21"/>
  <c r="V334" i="21"/>
  <c r="V341" i="21"/>
  <c r="V345" i="21"/>
  <c r="V346" i="21"/>
  <c r="V347" i="21"/>
  <c r="V348" i="21"/>
  <c r="V349" i="21"/>
  <c r="V350" i="21"/>
  <c r="V351" i="21"/>
  <c r="V352" i="21"/>
  <c r="V353" i="21"/>
  <c r="V354" i="21"/>
  <c r="V355" i="21"/>
  <c r="V356" i="21"/>
  <c r="V357" i="21"/>
  <c r="V358" i="21"/>
  <c r="V359" i="21"/>
  <c r="V360" i="21"/>
  <c r="V361" i="21"/>
  <c r="V362" i="21"/>
  <c r="V363" i="21"/>
  <c r="V364" i="21"/>
  <c r="V365" i="21"/>
  <c r="V366" i="21"/>
  <c r="V367" i="21"/>
  <c r="V368" i="21"/>
  <c r="V371" i="21"/>
  <c r="V372" i="21"/>
  <c r="V373" i="21"/>
  <c r="V374" i="21"/>
  <c r="V376" i="21"/>
  <c r="Q14" i="21"/>
  <c r="Q15" i="21"/>
  <c r="Q16" i="21"/>
  <c r="Q17" i="21"/>
  <c r="Q26" i="21"/>
  <c r="Q27" i="21"/>
  <c r="Q28" i="21"/>
  <c r="Q29" i="21"/>
  <c r="Q30" i="21"/>
  <c r="Q31" i="21"/>
  <c r="Q32" i="21"/>
  <c r="Q33" i="21"/>
  <c r="Q34" i="21"/>
  <c r="Q35" i="21"/>
  <c r="Q36" i="21"/>
  <c r="Q37" i="21"/>
  <c r="Q38" i="21"/>
  <c r="Q39" i="21"/>
  <c r="Q41" i="21"/>
  <c r="Q43" i="21"/>
  <c r="Q44" i="21"/>
  <c r="Q45" i="21"/>
  <c r="Q46" i="21"/>
  <c r="Q47" i="21"/>
  <c r="Q48" i="21"/>
  <c r="Q49" i="21"/>
  <c r="Q50" i="21"/>
  <c r="Q51" i="21"/>
  <c r="Q52" i="21"/>
  <c r="Q53" i="21"/>
  <c r="Q54" i="21"/>
  <c r="Q55" i="21"/>
  <c r="Q56" i="21"/>
  <c r="Q57" i="21"/>
  <c r="Q60" i="21"/>
  <c r="Q61" i="21"/>
  <c r="Q62" i="21"/>
  <c r="Q66" i="21"/>
  <c r="Q67" i="21"/>
  <c r="Q68" i="21"/>
  <c r="Q69" i="21"/>
  <c r="Q75" i="21"/>
  <c r="Q76" i="21"/>
  <c r="Q78" i="21"/>
  <c r="Q79" i="21"/>
  <c r="Q80" i="21"/>
  <c r="Q81" i="21"/>
  <c r="Q82" i="21"/>
  <c r="Q83" i="21"/>
  <c r="Q84" i="21"/>
  <c r="Q85" i="21"/>
  <c r="Q86" i="21"/>
  <c r="Q87" i="21"/>
  <c r="Q88" i="21"/>
  <c r="Q89" i="21"/>
  <c r="Q90" i="21"/>
  <c r="Q92" i="21"/>
  <c r="Q93" i="21"/>
  <c r="Q94" i="21"/>
  <c r="Q95" i="21"/>
  <c r="Q96" i="21"/>
  <c r="Q97" i="21"/>
  <c r="Q98" i="21"/>
  <c r="Q99" i="21"/>
  <c r="Q100" i="21"/>
  <c r="Q101" i="21"/>
  <c r="Q102" i="21"/>
  <c r="Q103" i="21"/>
  <c r="Q104" i="21"/>
  <c r="Q105" i="21"/>
  <c r="Q106" i="21"/>
  <c r="Q107" i="21"/>
  <c r="Q110" i="21"/>
  <c r="Q111" i="21"/>
  <c r="Q112" i="21"/>
  <c r="Q113" i="21"/>
  <c r="Q114" i="21"/>
  <c r="Q115" i="21"/>
  <c r="Q116" i="21"/>
  <c r="Q117" i="21"/>
  <c r="Q118" i="21"/>
  <c r="Q120" i="21"/>
  <c r="Q121" i="21"/>
  <c r="Q122" i="21"/>
  <c r="Q123" i="21"/>
  <c r="Q124" i="21"/>
  <c r="Q125" i="21"/>
  <c r="Q127" i="21"/>
  <c r="Q128" i="21"/>
  <c r="Q129" i="21"/>
  <c r="Q130" i="21"/>
  <c r="Q131" i="21"/>
  <c r="Q132" i="21"/>
  <c r="Q133" i="21"/>
  <c r="Q135" i="21"/>
  <c r="Q136" i="21"/>
  <c r="Q137" i="21"/>
  <c r="Q138" i="21"/>
  <c r="Q139" i="21"/>
  <c r="Q140" i="21"/>
  <c r="Q141" i="21"/>
  <c r="Q145" i="21"/>
  <c r="Q150" i="21"/>
  <c r="Q154" i="21"/>
  <c r="Q157" i="21"/>
  <c r="Q159" i="21"/>
  <c r="Q163" i="21"/>
  <c r="Q164" i="21"/>
  <c r="Q165" i="21"/>
  <c r="Q166" i="21"/>
  <c r="Q167" i="21"/>
  <c r="Q171" i="21"/>
  <c r="Q180" i="21"/>
  <c r="Q181" i="21"/>
  <c r="Q182" i="21"/>
  <c r="Q185" i="21"/>
  <c r="Q186" i="21"/>
  <c r="Q187" i="21"/>
  <c r="Q188" i="21"/>
  <c r="Q189" i="21"/>
  <c r="Q192" i="21"/>
  <c r="Q195" i="21"/>
  <c r="Q196" i="21"/>
  <c r="Q197" i="21"/>
  <c r="Q198" i="21"/>
  <c r="Q199" i="21"/>
  <c r="Q201" i="21"/>
  <c r="Q202" i="21"/>
  <c r="Q203" i="21"/>
  <c r="Q204" i="21"/>
  <c r="Q205" i="21"/>
  <c r="Q206" i="21"/>
  <c r="Q207" i="21"/>
  <c r="Q208" i="21"/>
  <c r="Q209" i="21"/>
  <c r="Q210" i="21"/>
  <c r="Q212" i="21"/>
  <c r="Q213" i="21"/>
  <c r="Q216" i="21"/>
  <c r="Q217" i="21"/>
  <c r="Q219" i="21"/>
  <c r="Q220" i="21"/>
  <c r="Q221" i="21"/>
  <c r="Q222" i="21"/>
  <c r="Q223" i="21"/>
  <c r="Q225" i="21"/>
  <c r="Q226" i="21"/>
  <c r="Q230" i="21"/>
  <c r="Q231" i="21"/>
  <c r="Q232" i="21"/>
  <c r="Q233" i="21"/>
  <c r="Q234" i="21"/>
  <c r="Q239" i="21"/>
  <c r="Q241" i="21"/>
  <c r="Q243" i="21"/>
  <c r="Q245" i="21"/>
  <c r="Q246" i="21"/>
  <c r="Q247" i="21"/>
  <c r="Q248" i="21"/>
  <c r="Q249" i="21"/>
  <c r="Q250" i="21"/>
  <c r="Q251" i="21"/>
  <c r="Q252" i="21"/>
  <c r="Q253" i="21"/>
  <c r="Q254" i="21"/>
  <c r="Q255" i="21"/>
  <c r="Q256" i="21"/>
  <c r="Q257" i="21"/>
  <c r="Q258" i="21"/>
  <c r="Q259" i="21"/>
  <c r="Q260" i="21"/>
  <c r="Q261" i="21"/>
  <c r="Q262" i="21"/>
  <c r="Q263" i="21"/>
  <c r="Q264" i="21"/>
  <c r="Q265" i="21"/>
  <c r="Q266" i="21"/>
  <c r="Q267" i="21"/>
  <c r="Q268" i="21"/>
  <c r="Q269" i="21"/>
  <c r="Q270" i="21"/>
  <c r="Q271" i="21"/>
  <c r="Q272" i="21"/>
  <c r="Q273" i="21"/>
  <c r="Q274" i="21"/>
  <c r="Q275" i="21"/>
  <c r="Q276" i="21"/>
  <c r="Q277" i="21"/>
  <c r="Q278" i="21"/>
  <c r="Q279" i="21"/>
  <c r="Q282" i="21"/>
  <c r="Q285" i="21"/>
  <c r="Q286" i="21"/>
  <c r="Q290" i="21"/>
  <c r="Q291" i="21"/>
  <c r="Q292" i="21"/>
  <c r="Q293" i="21"/>
  <c r="Q294" i="21"/>
  <c r="Q295" i="21"/>
  <c r="Q296" i="21"/>
  <c r="Q297" i="21"/>
  <c r="Q298" i="21"/>
  <c r="Q300" i="21"/>
  <c r="Q301" i="21"/>
  <c r="Q302" i="21"/>
  <c r="Q303" i="21"/>
  <c r="Q304" i="21"/>
  <c r="Q305" i="21"/>
  <c r="Q306" i="21"/>
  <c r="Q307" i="21"/>
  <c r="Q308" i="21"/>
  <c r="Q309" i="21"/>
  <c r="Q310" i="21"/>
  <c r="Q311" i="21"/>
  <c r="Q312" i="21"/>
  <c r="Q313" i="21"/>
  <c r="Q314" i="21"/>
  <c r="Q315" i="21"/>
  <c r="Q316" i="21"/>
  <c r="Q317" i="21"/>
  <c r="Q318" i="21"/>
  <c r="Q319" i="21"/>
  <c r="Q320" i="21"/>
  <c r="Q321" i="21"/>
  <c r="Q322" i="21"/>
  <c r="Q323" i="21"/>
  <c r="Q324" i="21"/>
  <c r="Q325" i="21"/>
  <c r="Q326" i="21"/>
  <c r="Q327" i="21"/>
  <c r="Q328" i="21"/>
  <c r="Q329" i="21"/>
  <c r="Q330" i="21"/>
  <c r="Q331" i="21"/>
  <c r="Q332" i="21"/>
  <c r="Q333" i="21"/>
  <c r="Q334" i="21"/>
  <c r="Q341" i="21"/>
  <c r="Q345" i="21"/>
  <c r="Q346" i="21"/>
  <c r="Q347" i="21"/>
  <c r="Q348" i="21"/>
  <c r="Q349" i="21"/>
  <c r="Q350" i="21"/>
  <c r="Q351" i="21"/>
  <c r="Q352" i="21"/>
  <c r="Q353" i="21"/>
  <c r="Q354" i="21"/>
  <c r="Q355" i="21"/>
  <c r="Q356" i="21"/>
  <c r="Q357" i="21"/>
  <c r="Q358" i="21"/>
  <c r="Q359" i="21"/>
  <c r="Q360" i="21"/>
  <c r="Q361" i="21"/>
  <c r="Q362" i="21"/>
  <c r="Q363" i="21"/>
  <c r="Q364" i="21"/>
  <c r="Q365" i="21"/>
  <c r="Q366" i="21"/>
  <c r="Q367" i="21"/>
  <c r="Q368" i="21"/>
  <c r="Q371" i="21"/>
  <c r="Q372" i="21"/>
  <c r="Q373" i="21"/>
  <c r="Q374" i="21"/>
  <c r="Q376" i="21"/>
  <c r="P14" i="21"/>
  <c r="P15" i="21"/>
  <c r="P16" i="21"/>
  <c r="P17" i="21"/>
  <c r="P26" i="21"/>
  <c r="P27" i="21"/>
  <c r="P28" i="21"/>
  <c r="P29" i="21"/>
  <c r="P30" i="21"/>
  <c r="P31" i="21"/>
  <c r="P32" i="21"/>
  <c r="P33" i="21"/>
  <c r="P34" i="21"/>
  <c r="P35" i="21"/>
  <c r="P36" i="21"/>
  <c r="P37" i="21"/>
  <c r="P38" i="21"/>
  <c r="P39" i="21"/>
  <c r="P41" i="21"/>
  <c r="P43" i="21"/>
  <c r="P44" i="21"/>
  <c r="P45" i="21"/>
  <c r="P46" i="21"/>
  <c r="P47" i="21"/>
  <c r="P48" i="21"/>
  <c r="P49" i="21"/>
  <c r="P50" i="21"/>
  <c r="P51" i="21"/>
  <c r="P52" i="21"/>
  <c r="P53" i="21"/>
  <c r="P54" i="21"/>
  <c r="P55" i="21"/>
  <c r="P56" i="21"/>
  <c r="P57" i="21"/>
  <c r="P60" i="21"/>
  <c r="P61" i="21"/>
  <c r="P62" i="21"/>
  <c r="P66" i="21"/>
  <c r="P67" i="21"/>
  <c r="P68" i="21"/>
  <c r="P69" i="21"/>
  <c r="P75" i="21"/>
  <c r="P76" i="21"/>
  <c r="P78" i="21"/>
  <c r="P79" i="21"/>
  <c r="P80" i="21"/>
  <c r="P81" i="21"/>
  <c r="P82" i="21"/>
  <c r="P83" i="21"/>
  <c r="P84" i="21"/>
  <c r="P85" i="21"/>
  <c r="P86" i="21"/>
  <c r="P87" i="21"/>
  <c r="P88" i="21"/>
  <c r="P89" i="21"/>
  <c r="P90" i="21"/>
  <c r="P92" i="21"/>
  <c r="P93" i="21"/>
  <c r="P94" i="21"/>
  <c r="P95" i="21"/>
  <c r="P96" i="21"/>
  <c r="P97" i="21"/>
  <c r="P98" i="21"/>
  <c r="P99" i="21"/>
  <c r="P100" i="21"/>
  <c r="P101" i="21"/>
  <c r="P102" i="21"/>
  <c r="P103" i="21"/>
  <c r="P104" i="21"/>
  <c r="P105" i="21"/>
  <c r="P106" i="21"/>
  <c r="P107" i="21"/>
  <c r="P110" i="21"/>
  <c r="P111" i="21"/>
  <c r="P112" i="21"/>
  <c r="P113" i="21"/>
  <c r="P114" i="21"/>
  <c r="P115" i="21"/>
  <c r="P116" i="21"/>
  <c r="P117" i="21"/>
  <c r="P118" i="21"/>
  <c r="P120" i="21"/>
  <c r="P121" i="21"/>
  <c r="P122" i="21"/>
  <c r="P123" i="21"/>
  <c r="P124" i="21"/>
  <c r="P125" i="21"/>
  <c r="P127" i="21"/>
  <c r="P128" i="21"/>
  <c r="P129" i="21"/>
  <c r="P130" i="21"/>
  <c r="P131" i="21"/>
  <c r="P132" i="21"/>
  <c r="P133" i="21"/>
  <c r="P135" i="21"/>
  <c r="P136" i="21"/>
  <c r="P137" i="21"/>
  <c r="P138" i="21"/>
  <c r="P139" i="21"/>
  <c r="P140" i="21"/>
  <c r="P141" i="21"/>
  <c r="P145" i="21"/>
  <c r="P150" i="21"/>
  <c r="P154" i="21"/>
  <c r="P157" i="21"/>
  <c r="P159" i="21"/>
  <c r="P163" i="21"/>
  <c r="P164" i="21"/>
  <c r="P165" i="21"/>
  <c r="P166" i="21"/>
  <c r="P167" i="21"/>
  <c r="P171" i="21"/>
  <c r="P180" i="21"/>
  <c r="P181" i="21"/>
  <c r="P182" i="21"/>
  <c r="P185" i="21"/>
  <c r="P186" i="21"/>
  <c r="P187" i="21"/>
  <c r="P188" i="21"/>
  <c r="P189" i="21"/>
  <c r="P192" i="21"/>
  <c r="P195" i="21"/>
  <c r="P196" i="21"/>
  <c r="P197" i="21"/>
  <c r="P198" i="21"/>
  <c r="P199" i="21"/>
  <c r="P201" i="21"/>
  <c r="P202" i="21"/>
  <c r="P203" i="21"/>
  <c r="P204" i="21"/>
  <c r="P205" i="21"/>
  <c r="P206" i="21"/>
  <c r="P207" i="21"/>
  <c r="P208" i="21"/>
  <c r="P209" i="21"/>
  <c r="P210" i="21"/>
  <c r="P212" i="21"/>
  <c r="P213" i="21"/>
  <c r="P216" i="21"/>
  <c r="P217" i="21"/>
  <c r="P219" i="21"/>
  <c r="P220" i="21"/>
  <c r="P221" i="21"/>
  <c r="P222" i="21"/>
  <c r="P223" i="21"/>
  <c r="P225" i="21"/>
  <c r="P226" i="21"/>
  <c r="P230" i="21"/>
  <c r="P231" i="21"/>
  <c r="P232" i="21"/>
  <c r="P233" i="21"/>
  <c r="P234" i="21"/>
  <c r="P239" i="21"/>
  <c r="P241" i="21"/>
  <c r="P243" i="21"/>
  <c r="P245" i="21"/>
  <c r="P246" i="21"/>
  <c r="P247" i="21"/>
  <c r="P248" i="21"/>
  <c r="P249" i="21"/>
  <c r="P250" i="21"/>
  <c r="P251" i="21"/>
  <c r="P252" i="21"/>
  <c r="P253" i="21"/>
  <c r="P254" i="21"/>
  <c r="P255" i="21"/>
  <c r="P256" i="21"/>
  <c r="P257" i="21"/>
  <c r="P258" i="21"/>
  <c r="P259" i="21"/>
  <c r="P260" i="21"/>
  <c r="P261" i="21"/>
  <c r="P262" i="21"/>
  <c r="P263" i="21"/>
  <c r="P264" i="21"/>
  <c r="P265" i="21"/>
  <c r="P266" i="21"/>
  <c r="P267" i="21"/>
  <c r="P268" i="21"/>
  <c r="P269" i="21"/>
  <c r="P270" i="21"/>
  <c r="P271" i="21"/>
  <c r="P272" i="21"/>
  <c r="P273" i="21"/>
  <c r="P274" i="21"/>
  <c r="P275" i="21"/>
  <c r="P276" i="21"/>
  <c r="P277" i="21"/>
  <c r="P278" i="21"/>
  <c r="P279" i="21"/>
  <c r="P282" i="21"/>
  <c r="P285" i="21"/>
  <c r="P286" i="21"/>
  <c r="P290" i="21"/>
  <c r="P291" i="21"/>
  <c r="P292" i="21"/>
  <c r="P293" i="21"/>
  <c r="P294" i="21"/>
  <c r="P295" i="21"/>
  <c r="P296" i="21"/>
  <c r="P297" i="21"/>
  <c r="P298" i="21"/>
  <c r="P300" i="21"/>
  <c r="P301" i="21"/>
  <c r="P302" i="21"/>
  <c r="P303" i="21"/>
  <c r="P304" i="21"/>
  <c r="P305" i="21"/>
  <c r="P306" i="21"/>
  <c r="P307" i="21"/>
  <c r="P308" i="21"/>
  <c r="P309" i="21"/>
  <c r="P310" i="21"/>
  <c r="P311" i="21"/>
  <c r="P312" i="21"/>
  <c r="P313" i="21"/>
  <c r="P314" i="21"/>
  <c r="P315" i="21"/>
  <c r="P316" i="21"/>
  <c r="P317" i="21"/>
  <c r="P318" i="21"/>
  <c r="P319" i="21"/>
  <c r="P320" i="21"/>
  <c r="P321" i="21"/>
  <c r="P322" i="21"/>
  <c r="P323" i="21"/>
  <c r="P324" i="21"/>
  <c r="P325" i="21"/>
  <c r="P326" i="21"/>
  <c r="P327" i="21"/>
  <c r="P328" i="21"/>
  <c r="P329" i="21"/>
  <c r="P330" i="21"/>
  <c r="P331" i="21"/>
  <c r="P332" i="21"/>
  <c r="P333" i="21"/>
  <c r="P334" i="21"/>
  <c r="P341" i="21"/>
  <c r="P345" i="21"/>
  <c r="P346" i="21"/>
  <c r="P347" i="21"/>
  <c r="P348" i="21"/>
  <c r="P349" i="21"/>
  <c r="P350" i="21"/>
  <c r="P351" i="21"/>
  <c r="P352" i="21"/>
  <c r="P353" i="21"/>
  <c r="P354" i="21"/>
  <c r="P355" i="21"/>
  <c r="P356" i="21"/>
  <c r="P357" i="21"/>
  <c r="P358" i="21"/>
  <c r="P359" i="21"/>
  <c r="P360" i="21"/>
  <c r="P361" i="21"/>
  <c r="P362" i="21"/>
  <c r="P363" i="21"/>
  <c r="P364" i="21"/>
  <c r="P365" i="21"/>
  <c r="P366" i="21"/>
  <c r="P367" i="21"/>
  <c r="P368" i="21"/>
  <c r="P371" i="21"/>
  <c r="P372" i="21"/>
  <c r="P373" i="21"/>
  <c r="P374" i="21"/>
  <c r="P376" i="21"/>
  <c r="V377" i="21" l="1"/>
  <c r="Q377" i="21"/>
  <c r="E20" i="20" s="1"/>
  <c r="F20" i="20" s="1"/>
  <c r="P377" i="21"/>
  <c r="Y14" i="21"/>
  <c r="X14" i="21"/>
  <c r="W15" i="21" s="1"/>
  <c r="D15" i="13" s="1"/>
  <c r="F15" i="13" s="1"/>
  <c r="D14" i="13"/>
  <c r="F14" i="13" s="1"/>
  <c r="B10" i="24" l="1"/>
  <c r="I2" i="8"/>
  <c r="B2" i="8" s="1"/>
  <c r="E19" i="20"/>
  <c r="F19" i="20" s="1"/>
  <c r="B11" i="24"/>
  <c r="H14" i="13"/>
  <c r="H15" i="13" s="1"/>
  <c r="Y15" i="21"/>
  <c r="E15" i="13"/>
  <c r="X15" i="21"/>
  <c r="B1" i="8" l="1"/>
  <c r="B3" i="8" s="1"/>
  <c r="F4" i="15" s="1"/>
  <c r="I4" i="15" s="1"/>
  <c r="W16" i="21"/>
  <c r="K4" i="15" l="1"/>
  <c r="X16" i="21"/>
  <c r="W17" i="21" s="1"/>
  <c r="D16" i="13"/>
  <c r="Y16" i="21"/>
  <c r="E16" i="13"/>
  <c r="F16" i="13" l="1"/>
  <c r="H16" i="13"/>
  <c r="E17" i="13"/>
  <c r="Y17" i="21"/>
  <c r="D17" i="13"/>
  <c r="X17" i="21"/>
  <c r="W18" i="21" s="1"/>
  <c r="X18" i="21" s="1"/>
  <c r="W19" i="21" s="1"/>
  <c r="X19" i="21" s="1"/>
  <c r="Y18" i="21" l="1"/>
  <c r="D18" i="13"/>
  <c r="F18" i="13" s="1"/>
  <c r="E18" i="13"/>
  <c r="F17" i="13"/>
  <c r="H17" i="13"/>
  <c r="W20" i="21"/>
  <c r="X20" i="21" s="1"/>
  <c r="D19" i="13"/>
  <c r="F19" i="13" s="1"/>
  <c r="E19" i="13"/>
  <c r="Y19" i="21"/>
  <c r="H18" i="13" l="1"/>
  <c r="H19" i="13" s="1"/>
  <c r="W21" i="21"/>
  <c r="X21" i="21" s="1"/>
  <c r="D20" i="13"/>
  <c r="F20" i="13" s="1"/>
  <c r="Y20" i="21"/>
  <c r="E20" i="13"/>
  <c r="H20" i="13" l="1"/>
  <c r="W22" i="21"/>
  <c r="D21" i="13"/>
  <c r="F21" i="13" s="1"/>
  <c r="E21" i="13"/>
  <c r="Y21" i="21"/>
  <c r="D22" i="13" l="1"/>
  <c r="F22" i="13" s="1"/>
  <c r="Y22" i="21"/>
  <c r="E22" i="13"/>
  <c r="X22" i="21"/>
  <c r="H21" i="13"/>
  <c r="W23" i="21" l="1"/>
  <c r="H22" i="13"/>
  <c r="D23" i="13" l="1"/>
  <c r="F23" i="13" s="1"/>
  <c r="Y23" i="21"/>
  <c r="E23" i="13"/>
  <c r="X23" i="21"/>
  <c r="H23" i="13" l="1"/>
  <c r="W24" i="21"/>
  <c r="X24" i="21" s="1"/>
  <c r="W25" i="21" l="1"/>
  <c r="D24" i="13"/>
  <c r="F24" i="13" s="1"/>
  <c r="Y24" i="21"/>
  <c r="E24" i="13"/>
  <c r="D25" i="13" l="1"/>
  <c r="F25" i="13" s="1"/>
  <c r="E25" i="13"/>
  <c r="Y25" i="21"/>
  <c r="X25" i="21"/>
  <c r="H24" i="13"/>
  <c r="H25" i="13" l="1"/>
  <c r="W26" i="21"/>
  <c r="X26" i="21" s="1"/>
  <c r="W27" i="21" l="1"/>
  <c r="D26" i="13"/>
  <c r="F26" i="13" s="1"/>
  <c r="E26" i="13"/>
  <c r="Y26" i="21"/>
  <c r="H26" i="13" l="1"/>
  <c r="D27" i="13"/>
  <c r="F27" i="13" s="1"/>
  <c r="E27" i="13"/>
  <c r="Y27" i="21"/>
  <c r="X27" i="21"/>
  <c r="H27" i="13" l="1"/>
  <c r="W28" i="21"/>
  <c r="X28" i="21" l="1"/>
  <c r="W29" i="21" s="1"/>
  <c r="D28" i="13"/>
  <c r="F28" i="13" s="1"/>
  <c r="E28" i="13"/>
  <c r="Y28" i="21"/>
  <c r="H28" i="13" l="1"/>
  <c r="D29" i="13"/>
  <c r="E29" i="13"/>
  <c r="Y29" i="21"/>
  <c r="X29" i="21"/>
  <c r="W30" i="21" l="1"/>
  <c r="F29" i="13"/>
  <c r="H29" i="13"/>
  <c r="D30" i="13" l="1"/>
  <c r="F30" i="13" s="1"/>
  <c r="Y30" i="21"/>
  <c r="E30" i="13"/>
  <c r="X30" i="21"/>
  <c r="W31" i="21" l="1"/>
  <c r="H30" i="13"/>
  <c r="D31" i="13" l="1"/>
  <c r="F31" i="13" s="1"/>
  <c r="E31" i="13"/>
  <c r="Y31" i="21"/>
  <c r="X31" i="21"/>
  <c r="H31" i="13" l="1"/>
  <c r="W32" i="21"/>
  <c r="Y32" i="21" l="1"/>
  <c r="D32" i="13"/>
  <c r="E32" i="13"/>
  <c r="X32" i="21"/>
  <c r="W33" i="21" l="1"/>
  <c r="F32" i="13"/>
  <c r="H32" i="13"/>
  <c r="D33" i="13" l="1"/>
  <c r="F33" i="13" s="1"/>
  <c r="E33" i="13"/>
  <c r="Y33" i="21"/>
  <c r="X33" i="21"/>
  <c r="H33" i="13" l="1"/>
  <c r="W34" i="21"/>
  <c r="D34" i="13" s="1"/>
  <c r="F34" i="13" s="1"/>
  <c r="H34" i="13" l="1"/>
  <c r="Y34" i="21"/>
  <c r="E34" i="13"/>
  <c r="X34" i="21"/>
  <c r="W35" i="21" l="1"/>
  <c r="X35" i="21" l="1"/>
  <c r="W36" i="21" s="1"/>
  <c r="D35" i="13"/>
  <c r="Y35" i="21"/>
  <c r="E35" i="13"/>
  <c r="X36" i="21" l="1"/>
  <c r="W37" i="21" s="1"/>
  <c r="D36" i="13"/>
  <c r="F36" i="13" s="1"/>
  <c r="F35" i="13"/>
  <c r="H35" i="13"/>
  <c r="Y36" i="21"/>
  <c r="E36" i="13"/>
  <c r="H36" i="13" l="1"/>
  <c r="X37" i="21"/>
  <c r="W38" i="21" s="1"/>
  <c r="D37" i="13"/>
  <c r="F37" i="13" s="1"/>
  <c r="Y37" i="21"/>
  <c r="E37" i="13"/>
  <c r="H37" i="13" l="1"/>
  <c r="D38" i="13"/>
  <c r="Y38" i="21"/>
  <c r="E38" i="13"/>
  <c r="X38" i="21"/>
  <c r="W39" i="21" l="1"/>
  <c r="F38" i="13"/>
  <c r="H38" i="13"/>
  <c r="X39" i="21" l="1"/>
  <c r="W40" i="21" s="1"/>
  <c r="D39" i="13"/>
  <c r="F39" i="13" s="1"/>
  <c r="E39" i="13"/>
  <c r="Y39" i="21"/>
  <c r="X40" i="21" l="1"/>
  <c r="W41" i="21" s="1"/>
  <c r="D41" i="13" s="1"/>
  <c r="D40" i="13"/>
  <c r="F40" i="13" s="1"/>
  <c r="H39" i="13"/>
  <c r="E40" i="13"/>
  <c r="Y40" i="21"/>
  <c r="H40" i="13" l="1"/>
  <c r="H41" i="13" s="1"/>
  <c r="F41" i="13"/>
  <c r="E41" i="13"/>
  <c r="Y41" i="21"/>
  <c r="X41" i="21"/>
  <c r="W42" i="21" l="1"/>
  <c r="X42" i="21" s="1"/>
  <c r="W43" i="21" l="1"/>
  <c r="D42" i="13"/>
  <c r="E42" i="13"/>
  <c r="Y42" i="21"/>
  <c r="F42" i="13" l="1"/>
  <c r="H42" i="13"/>
  <c r="D43" i="13"/>
  <c r="F43" i="13" s="1"/>
  <c r="E43" i="13"/>
  <c r="Y43" i="21"/>
  <c r="X43" i="21"/>
  <c r="G43" i="13" l="1"/>
  <c r="I43" i="13" s="1"/>
  <c r="W44" i="21"/>
  <c r="D44" i="13" s="1"/>
  <c r="F44" i="13" s="1"/>
  <c r="H43" i="13" l="1"/>
  <c r="Y44" i="21"/>
  <c r="E44" i="13"/>
  <c r="X44" i="21"/>
  <c r="G44" i="13" l="1"/>
  <c r="I44" i="13" s="1"/>
  <c r="W45" i="21"/>
  <c r="H44" i="13" l="1"/>
  <c r="X45" i="21"/>
  <c r="W46" i="21" s="1"/>
  <c r="D45" i="13"/>
  <c r="F45" i="13" s="1"/>
  <c r="E45" i="13"/>
  <c r="Y45" i="21"/>
  <c r="G45" i="13" l="1"/>
  <c r="H45" i="13" s="1"/>
  <c r="X46" i="21"/>
  <c r="W47" i="21" s="1"/>
  <c r="D46" i="13"/>
  <c r="F46" i="13" s="1"/>
  <c r="E46" i="13"/>
  <c r="Y46" i="21"/>
  <c r="G46" i="13" l="1"/>
  <c r="I46" i="13" s="1"/>
  <c r="I45" i="13"/>
  <c r="X47" i="21"/>
  <c r="W48" i="21" s="1"/>
  <c r="D47" i="13"/>
  <c r="F47" i="13" s="1"/>
  <c r="E47" i="13"/>
  <c r="Y47" i="21"/>
  <c r="H46" i="13" l="1"/>
  <c r="G47" i="13" s="1"/>
  <c r="I47" i="13" s="1"/>
  <c r="X48" i="21"/>
  <c r="W49" i="21" s="1"/>
  <c r="D48" i="13"/>
  <c r="F48" i="13" s="1"/>
  <c r="E48" i="13"/>
  <c r="Y48" i="21"/>
  <c r="X49" i="21" l="1"/>
  <c r="W50" i="21" s="1"/>
  <c r="D49" i="13"/>
  <c r="F49" i="13" s="1"/>
  <c r="H47" i="13"/>
  <c r="E49" i="13"/>
  <c r="Y49" i="21"/>
  <c r="X50" i="21" l="1"/>
  <c r="W51" i="21" s="1"/>
  <c r="X51" i="21" s="1"/>
  <c r="D50" i="13"/>
  <c r="F50" i="13" s="1"/>
  <c r="G48" i="13"/>
  <c r="I48" i="13" s="1"/>
  <c r="E50" i="13"/>
  <c r="Y50" i="21"/>
  <c r="H48" i="13" l="1"/>
  <c r="G49" i="13" s="1"/>
  <c r="I49" i="13" s="1"/>
  <c r="W52" i="21"/>
  <c r="X52" i="21" s="1"/>
  <c r="D51" i="13"/>
  <c r="F51" i="13" s="1"/>
  <c r="E51" i="13"/>
  <c r="Y51" i="21"/>
  <c r="H49" i="13" l="1"/>
  <c r="G50" i="13" s="1"/>
  <c r="I50" i="13" s="1"/>
  <c r="W53" i="21"/>
  <c r="E52" i="13"/>
  <c r="D52" i="13"/>
  <c r="F52" i="13" s="1"/>
  <c r="Y52" i="21"/>
  <c r="E53" i="13" l="1"/>
  <c r="Y53" i="21"/>
  <c r="D53" i="13"/>
  <c r="F53" i="13" s="1"/>
  <c r="X53" i="21"/>
  <c r="H50" i="13"/>
  <c r="W54" i="21" l="1"/>
  <c r="X54" i="21" s="1"/>
  <c r="G51" i="13"/>
  <c r="I51" i="13" s="1"/>
  <c r="W55" i="21" l="1"/>
  <c r="H51" i="13"/>
  <c r="D54" i="13"/>
  <c r="F54" i="13" s="1"/>
  <c r="E54" i="13"/>
  <c r="Y54" i="21"/>
  <c r="D55" i="13" l="1"/>
  <c r="F55" i="13" s="1"/>
  <c r="E55" i="13"/>
  <c r="Y55" i="21"/>
  <c r="X55" i="21"/>
  <c r="G52" i="13"/>
  <c r="I52" i="13" s="1"/>
  <c r="H52" i="13" l="1"/>
  <c r="G53" i="13" s="1"/>
  <c r="I53" i="13" s="1"/>
  <c r="W56" i="21"/>
  <c r="X56" i="21" s="1"/>
  <c r="W57" i="21" l="1"/>
  <c r="X57" i="21" s="1"/>
  <c r="D56" i="13"/>
  <c r="F56" i="13" s="1"/>
  <c r="E56" i="13"/>
  <c r="Y56" i="21"/>
  <c r="H53" i="13"/>
  <c r="W58" i="21" l="1"/>
  <c r="G54" i="13"/>
  <c r="I54" i="13" s="1"/>
  <c r="E57" i="13"/>
  <c r="D57" i="13"/>
  <c r="F57" i="13" s="1"/>
  <c r="Y57" i="21"/>
  <c r="H54" i="13" l="1"/>
  <c r="D58" i="13"/>
  <c r="F58" i="13" s="1"/>
  <c r="Y58" i="21"/>
  <c r="E58" i="13"/>
  <c r="X58" i="21"/>
  <c r="W59" i="21" l="1"/>
  <c r="X59" i="21" s="1"/>
  <c r="G55" i="13"/>
  <c r="I55" i="13" s="1"/>
  <c r="W60" i="21" l="1"/>
  <c r="X60" i="21" s="1"/>
  <c r="H55" i="13"/>
  <c r="D59" i="13"/>
  <c r="F59" i="13" s="1"/>
  <c r="E59" i="13"/>
  <c r="Y59" i="21"/>
  <c r="G56" i="13" l="1"/>
  <c r="I56" i="13" s="1"/>
  <c r="W61" i="21"/>
  <c r="X61" i="21" s="1"/>
  <c r="E60" i="13"/>
  <c r="D60" i="13"/>
  <c r="F60" i="13" s="1"/>
  <c r="Y60" i="21"/>
  <c r="H56" i="13" l="1"/>
  <c r="G57" i="13" s="1"/>
  <c r="I57" i="13" s="1"/>
  <c r="W62" i="21"/>
  <c r="D61" i="13"/>
  <c r="F61" i="13" s="1"/>
  <c r="E61" i="13"/>
  <c r="Y61" i="21"/>
  <c r="D62" i="13" l="1"/>
  <c r="F62" i="13" s="1"/>
  <c r="E62" i="13"/>
  <c r="Y62" i="21"/>
  <c r="X62" i="21"/>
  <c r="H57" i="13"/>
  <c r="G58" i="13" l="1"/>
  <c r="I58" i="13" s="1"/>
  <c r="W63" i="21"/>
  <c r="E63" i="13" l="1"/>
  <c r="D63" i="13"/>
  <c r="F63" i="13" s="1"/>
  <c r="Y63" i="21"/>
  <c r="X63" i="21"/>
  <c r="H58" i="13"/>
  <c r="G59" i="13" l="1"/>
  <c r="I59" i="13" s="1"/>
  <c r="W64" i="21"/>
  <c r="X64" i="21" s="1"/>
  <c r="H59" i="13" l="1"/>
  <c r="W65" i="21"/>
  <c r="D64" i="13"/>
  <c r="F64" i="13" s="1"/>
  <c r="E64" i="13"/>
  <c r="Y64" i="21"/>
  <c r="D65" i="13" l="1"/>
  <c r="F65" i="13" s="1"/>
  <c r="E65" i="13"/>
  <c r="Y65" i="21"/>
  <c r="G60" i="13"/>
  <c r="I60" i="13" s="1"/>
  <c r="X65" i="21"/>
  <c r="W66" i="21" l="1"/>
  <c r="H60" i="13"/>
  <c r="D66" i="13" l="1"/>
  <c r="F66" i="13" s="1"/>
  <c r="E66" i="13"/>
  <c r="Y66" i="21"/>
  <c r="G61" i="13"/>
  <c r="I61" i="13" s="1"/>
  <c r="X66" i="21"/>
  <c r="W67" i="21" l="1"/>
  <c r="D67" i="13" s="1"/>
  <c r="F67" i="13" s="1"/>
  <c r="H61" i="13"/>
  <c r="E67" i="13" l="1"/>
  <c r="Y67" i="21"/>
  <c r="X67" i="21"/>
  <c r="G62" i="13"/>
  <c r="I62" i="13" s="1"/>
  <c r="H62" i="13" l="1"/>
  <c r="W68" i="21"/>
  <c r="D68" i="13" l="1"/>
  <c r="F68" i="13" s="1"/>
  <c r="Y68" i="21"/>
  <c r="E68" i="13"/>
  <c r="X68" i="21"/>
  <c r="G63" i="13"/>
  <c r="I63" i="13" s="1"/>
  <c r="W69" i="21" l="1"/>
  <c r="D69" i="13" s="1"/>
  <c r="F69" i="13" s="1"/>
  <c r="H63" i="13"/>
  <c r="E69" i="13" l="1"/>
  <c r="Y69" i="21"/>
  <c r="X69" i="21"/>
  <c r="G64" i="13"/>
  <c r="I64" i="13" s="1"/>
  <c r="H64" i="13" l="1"/>
  <c r="W70" i="21"/>
  <c r="X70" i="21" s="1"/>
  <c r="G65" i="13" l="1"/>
  <c r="I65" i="13" s="1"/>
  <c r="W71" i="21"/>
  <c r="X71" i="21" s="1"/>
  <c r="E70" i="13"/>
  <c r="D70" i="13"/>
  <c r="F70" i="13" s="1"/>
  <c r="Y70" i="21"/>
  <c r="W72" i="21" l="1"/>
  <c r="X72" i="21" s="1"/>
  <c r="D71" i="13"/>
  <c r="F71" i="13" s="1"/>
  <c r="Y71" i="21"/>
  <c r="E71" i="13"/>
  <c r="H65" i="13"/>
  <c r="W73" i="21" l="1"/>
  <c r="G66" i="13"/>
  <c r="I66" i="13" s="1"/>
  <c r="E72" i="13"/>
  <c r="D72" i="13"/>
  <c r="F72" i="13" s="1"/>
  <c r="Y72" i="21"/>
  <c r="D73" i="13" l="1"/>
  <c r="F73" i="13" s="1"/>
  <c r="E73" i="13"/>
  <c r="Y73" i="21"/>
  <c r="H66" i="13"/>
  <c r="X73" i="21"/>
  <c r="G67" i="13" l="1"/>
  <c r="I67" i="13" s="1"/>
  <c r="W74" i="21"/>
  <c r="H67" i="13" l="1"/>
  <c r="D74" i="13"/>
  <c r="F74" i="13" s="1"/>
  <c r="E74" i="13"/>
  <c r="Y74" i="21"/>
  <c r="X74" i="21"/>
  <c r="W75" i="21" l="1"/>
  <c r="G68" i="13"/>
  <c r="I68" i="13" s="1"/>
  <c r="E75" i="13" l="1"/>
  <c r="D75" i="13"/>
  <c r="F75" i="13" s="1"/>
  <c r="Y75" i="21"/>
  <c r="H68" i="13"/>
  <c r="X75" i="21"/>
  <c r="W76" i="21" l="1"/>
  <c r="X76" i="21" s="1"/>
  <c r="G69" i="13"/>
  <c r="I69" i="13" s="1"/>
  <c r="H69" i="13" l="1"/>
  <c r="W77" i="21"/>
  <c r="D76" i="13"/>
  <c r="F76" i="13" s="1"/>
  <c r="Y76" i="21"/>
  <c r="E76" i="13"/>
  <c r="E77" i="13" l="1"/>
  <c r="D77" i="13"/>
  <c r="F77" i="13" s="1"/>
  <c r="Y77" i="21"/>
  <c r="X77" i="21"/>
  <c r="G70" i="13"/>
  <c r="I70" i="13" s="1"/>
  <c r="H70" i="13" l="1"/>
  <c r="W78" i="21"/>
  <c r="X78" i="21" s="1"/>
  <c r="W79" i="21" l="1"/>
  <c r="X79" i="21" s="1"/>
  <c r="D78" i="13"/>
  <c r="F78" i="13" s="1"/>
  <c r="E78" i="13"/>
  <c r="Y78" i="21"/>
  <c r="G71" i="13"/>
  <c r="I71" i="13" s="1"/>
  <c r="H71" i="13" l="1"/>
  <c r="W80" i="21"/>
  <c r="D79" i="13"/>
  <c r="F79" i="13" s="1"/>
  <c r="E79" i="13"/>
  <c r="Y79" i="21"/>
  <c r="G72" i="13" l="1"/>
  <c r="I72" i="13" s="1"/>
  <c r="Y80" i="21"/>
  <c r="D80" i="13"/>
  <c r="F80" i="13" s="1"/>
  <c r="E80" i="13"/>
  <c r="X80" i="21"/>
  <c r="H72" i="13" l="1"/>
  <c r="W81" i="21"/>
  <c r="X81" i="21" l="1"/>
  <c r="W82" i="21" s="1"/>
  <c r="D81" i="13"/>
  <c r="F81" i="13" s="1"/>
  <c r="G73" i="13"/>
  <c r="I73" i="13" s="1"/>
  <c r="E81" i="13"/>
  <c r="Y81" i="21"/>
  <c r="D82" i="13" l="1"/>
  <c r="F82" i="13" s="1"/>
  <c r="E82" i="13"/>
  <c r="Y82" i="21"/>
  <c r="H73" i="13"/>
  <c r="X82" i="21"/>
  <c r="W83" i="21" l="1"/>
  <c r="X83" i="21" s="1"/>
  <c r="G74" i="13"/>
  <c r="I74" i="13" s="1"/>
  <c r="W84" i="21" l="1"/>
  <c r="X84" i="21" s="1"/>
  <c r="H74" i="13"/>
  <c r="D83" i="13"/>
  <c r="F83" i="13" s="1"/>
  <c r="E83" i="13"/>
  <c r="Y83" i="21"/>
  <c r="W85" i="21" l="1"/>
  <c r="E84" i="13"/>
  <c r="D84" i="13"/>
  <c r="F84" i="13" s="1"/>
  <c r="Y84" i="21"/>
  <c r="G75" i="13"/>
  <c r="I75" i="13" s="1"/>
  <c r="H75" i="13" l="1"/>
  <c r="E85" i="13"/>
  <c r="D85" i="13"/>
  <c r="F85" i="13" s="1"/>
  <c r="Y85" i="21"/>
  <c r="X85" i="21"/>
  <c r="W86" i="21" l="1"/>
  <c r="X86" i="21" s="1"/>
  <c r="G76" i="13"/>
  <c r="I76" i="13" s="1"/>
  <c r="W87" i="21" l="1"/>
  <c r="X87" i="21" s="1"/>
  <c r="H76" i="13"/>
  <c r="D86" i="13"/>
  <c r="F86" i="13" s="1"/>
  <c r="E86" i="13"/>
  <c r="Y86" i="21"/>
  <c r="W88" i="21" l="1"/>
  <c r="G77" i="13"/>
  <c r="I77" i="13" s="1"/>
  <c r="E87" i="13"/>
  <c r="D87" i="13"/>
  <c r="F87" i="13" s="1"/>
  <c r="Y87" i="21"/>
  <c r="D88" i="13" l="1"/>
  <c r="F88" i="13" s="1"/>
  <c r="E88" i="13"/>
  <c r="Y88" i="21"/>
  <c r="H77" i="13"/>
  <c r="X88" i="21"/>
  <c r="G78" i="13" l="1"/>
  <c r="I78" i="13" s="1"/>
  <c r="W89" i="21"/>
  <c r="X89" i="21" s="1"/>
  <c r="W90" i="21" l="1"/>
  <c r="D89" i="13"/>
  <c r="F89" i="13" s="1"/>
  <c r="Y89" i="21"/>
  <c r="E89" i="13"/>
  <c r="H78" i="13"/>
  <c r="G79" i="13" l="1"/>
  <c r="I79" i="13" s="1"/>
  <c r="D90" i="13"/>
  <c r="F90" i="13" s="1"/>
  <c r="E90" i="13"/>
  <c r="Y90" i="21"/>
  <c r="X90" i="21"/>
  <c r="W91" i="21" l="1"/>
  <c r="X91" i="21" s="1"/>
  <c r="H79" i="13"/>
  <c r="W92" i="21" l="1"/>
  <c r="G80" i="13"/>
  <c r="I80" i="13" s="1"/>
  <c r="D91" i="13"/>
  <c r="F91" i="13" s="1"/>
  <c r="E91" i="13"/>
  <c r="Y91" i="21"/>
  <c r="H80" i="13" l="1"/>
  <c r="E92" i="13"/>
  <c r="Y92" i="21"/>
  <c r="D92" i="13"/>
  <c r="F92" i="13" s="1"/>
  <c r="X92" i="21"/>
  <c r="W93" i="21" l="1"/>
  <c r="G81" i="13"/>
  <c r="I81" i="13" s="1"/>
  <c r="X93" i="21" l="1"/>
  <c r="W94" i="21" s="1"/>
  <c r="D93" i="13"/>
  <c r="F93" i="13" s="1"/>
  <c r="H81" i="13"/>
  <c r="G82" i="13" s="1"/>
  <c r="I82" i="13" s="1"/>
  <c r="E93" i="13"/>
  <c r="Y93" i="21"/>
  <c r="D94" i="13" l="1"/>
  <c r="F94" i="13" s="1"/>
  <c r="E94" i="13"/>
  <c r="Y94" i="21"/>
  <c r="X94" i="21"/>
  <c r="H82" i="13"/>
  <c r="W95" i="21" l="1"/>
  <c r="X95" i="21" s="1"/>
  <c r="G83" i="13"/>
  <c r="I83" i="13" s="1"/>
  <c r="W96" i="21" l="1"/>
  <c r="X96" i="21" s="1"/>
  <c r="H83" i="13"/>
  <c r="E95" i="13"/>
  <c r="D95" i="13"/>
  <c r="F95" i="13" s="1"/>
  <c r="Y95" i="21"/>
  <c r="W97" i="21" l="1"/>
  <c r="X97" i="21" s="1"/>
  <c r="G84" i="13"/>
  <c r="I84" i="13" s="1"/>
  <c r="E96" i="13"/>
  <c r="D96" i="13"/>
  <c r="F96" i="13" s="1"/>
  <c r="Y96" i="21"/>
  <c r="H84" i="13" l="1"/>
  <c r="W98" i="21"/>
  <c r="X98" i="21" s="1"/>
  <c r="D97" i="13"/>
  <c r="F97" i="13" s="1"/>
  <c r="E97" i="13"/>
  <c r="Y97" i="21"/>
  <c r="W99" i="21" l="1"/>
  <c r="X99" i="21" s="1"/>
  <c r="D98" i="13"/>
  <c r="F98" i="13" s="1"/>
  <c r="E98" i="13"/>
  <c r="Y98" i="21"/>
  <c r="G85" i="13"/>
  <c r="I85" i="13" s="1"/>
  <c r="W100" i="21" l="1"/>
  <c r="X100" i="21" s="1"/>
  <c r="H85" i="13"/>
  <c r="D99" i="13"/>
  <c r="F99" i="13" s="1"/>
  <c r="Y99" i="21"/>
  <c r="E99" i="13"/>
  <c r="G86" i="13" l="1"/>
  <c r="I86" i="13" s="1"/>
  <c r="W101" i="21"/>
  <c r="D100" i="13"/>
  <c r="F100" i="13" s="1"/>
  <c r="E100" i="13"/>
  <c r="Y100" i="21"/>
  <c r="X101" i="21" l="1"/>
  <c r="W102" i="21" s="1"/>
  <c r="D101" i="13"/>
  <c r="F101" i="13" s="1"/>
  <c r="H86" i="13"/>
  <c r="G87" i="13" s="1"/>
  <c r="I87" i="13" s="1"/>
  <c r="E101" i="13"/>
  <c r="Y101" i="21"/>
  <c r="E102" i="13" l="1"/>
  <c r="Y102" i="21"/>
  <c r="H87" i="13"/>
  <c r="X102" i="21"/>
  <c r="W103" i="21" l="1"/>
  <c r="X103" i="21" s="1"/>
  <c r="G88" i="13"/>
  <c r="I88" i="13" s="1"/>
  <c r="H88" i="13" l="1"/>
  <c r="D103" i="13"/>
  <c r="F103" i="13" s="1"/>
  <c r="E103" i="13"/>
  <c r="Y103" i="21"/>
  <c r="W104" i="21"/>
  <c r="X104" i="21" s="1"/>
  <c r="W105" i="21" l="1"/>
  <c r="D104" i="13"/>
  <c r="F104" i="13" s="1"/>
  <c r="E104" i="13"/>
  <c r="Y104" i="21"/>
  <c r="G89" i="13"/>
  <c r="I89" i="13" s="1"/>
  <c r="H89" i="13" l="1"/>
  <c r="E105" i="13"/>
  <c r="D105" i="13"/>
  <c r="F105" i="13" s="1"/>
  <c r="Y105" i="21"/>
  <c r="X105" i="21"/>
  <c r="W106" i="21" l="1"/>
  <c r="X106" i="21" s="1"/>
  <c r="G90" i="13"/>
  <c r="I90" i="13" s="1"/>
  <c r="H90" i="13" l="1"/>
  <c r="D106" i="13"/>
  <c r="F106" i="13" s="1"/>
  <c r="Y106" i="21"/>
  <c r="E106" i="13"/>
  <c r="W107" i="21"/>
  <c r="G91" i="13" l="1"/>
  <c r="I91" i="13" s="1"/>
  <c r="D107" i="13"/>
  <c r="F107" i="13" s="1"/>
  <c r="E107" i="13"/>
  <c r="Y107" i="21"/>
  <c r="X107" i="21"/>
  <c r="H91" i="13" l="1"/>
  <c r="G92" i="13" s="1"/>
  <c r="I92" i="13" s="1"/>
  <c r="W108" i="21"/>
  <c r="H92" i="13" l="1"/>
  <c r="G93" i="13" s="1"/>
  <c r="I93" i="13" s="1"/>
  <c r="D108" i="13"/>
  <c r="F108" i="13" s="1"/>
  <c r="E108" i="13"/>
  <c r="Y108" i="21"/>
  <c r="X108" i="21"/>
  <c r="W109" i="21" l="1"/>
  <c r="H93" i="13"/>
  <c r="G94" i="13" l="1"/>
  <c r="I94" i="13" s="1"/>
  <c r="D109" i="13"/>
  <c r="F109" i="13" s="1"/>
  <c r="E109" i="13"/>
  <c r="Y109" i="21"/>
  <c r="X109" i="21"/>
  <c r="W110" i="21" l="1"/>
  <c r="D110" i="13" s="1"/>
  <c r="F110" i="13" s="1"/>
  <c r="H94" i="13"/>
  <c r="E110" i="13" l="1"/>
  <c r="Y110" i="21"/>
  <c r="G95" i="13"/>
  <c r="I95" i="13" s="1"/>
  <c r="X110" i="21"/>
  <c r="H95" i="13" l="1"/>
  <c r="W111" i="21"/>
  <c r="D111" i="13" l="1"/>
  <c r="F111" i="13" s="1"/>
  <c r="E111" i="13"/>
  <c r="Y111" i="21"/>
  <c r="X111" i="21"/>
  <c r="G96" i="13"/>
  <c r="I96" i="13" s="1"/>
  <c r="W112" i="21" l="1"/>
  <c r="H96" i="13"/>
  <c r="X112" i="21" l="1"/>
  <c r="W113" i="21" s="1"/>
  <c r="D112" i="13"/>
  <c r="F112" i="13" s="1"/>
  <c r="G97" i="13"/>
  <c r="I97" i="13" s="1"/>
  <c r="E112" i="13"/>
  <c r="Y112" i="21"/>
  <c r="X113" i="21" l="1"/>
  <c r="W114" i="21" s="1"/>
  <c r="D114" i="13" s="1"/>
  <c r="F114" i="13" s="1"/>
  <c r="D113" i="13"/>
  <c r="F113" i="13" s="1"/>
  <c r="E113" i="13"/>
  <c r="Y113" i="21"/>
  <c r="H97" i="13"/>
  <c r="G98" i="13" l="1"/>
  <c r="I98" i="13" s="1"/>
  <c r="E114" i="13"/>
  <c r="Y114" i="21"/>
  <c r="X114" i="21"/>
  <c r="H98" i="13" l="1"/>
  <c r="W115" i="21"/>
  <c r="D115" i="13" l="1"/>
  <c r="F115" i="13" s="1"/>
  <c r="E115" i="13"/>
  <c r="Y115" i="21"/>
  <c r="X115" i="21"/>
  <c r="G99" i="13"/>
  <c r="I99" i="13" s="1"/>
  <c r="H99" i="13" l="1"/>
  <c r="W116" i="21"/>
  <c r="X116" i="21" s="1"/>
  <c r="W117" i="21" l="1"/>
  <c r="D116" i="13"/>
  <c r="F116" i="13" s="1"/>
  <c r="E116" i="13"/>
  <c r="Y116" i="21"/>
  <c r="G100" i="13"/>
  <c r="I100" i="13" s="1"/>
  <c r="H100" i="13" l="1"/>
  <c r="D117" i="13"/>
  <c r="F117" i="13" s="1"/>
  <c r="E117" i="13"/>
  <c r="Y117" i="21"/>
  <c r="X117" i="21"/>
  <c r="G101" i="13" l="1"/>
  <c r="I101" i="13" s="1"/>
  <c r="W118" i="21"/>
  <c r="X118" i="21" s="1"/>
  <c r="H101" i="13" l="1"/>
  <c r="G102" i="13" s="1"/>
  <c r="I102" i="13" s="1"/>
  <c r="W119" i="21"/>
  <c r="X119" i="21" s="1"/>
  <c r="D118" i="13"/>
  <c r="F118" i="13" s="1"/>
  <c r="E118" i="13"/>
  <c r="Y118" i="21"/>
  <c r="H102" i="13" l="1"/>
  <c r="G103" i="13" s="1"/>
  <c r="I103" i="13" s="1"/>
  <c r="W120" i="21"/>
  <c r="D119" i="13"/>
  <c r="F119" i="13" s="1"/>
  <c r="E119" i="13"/>
  <c r="Y119" i="21"/>
  <c r="H103" i="13" l="1"/>
  <c r="E120" i="13"/>
  <c r="Y120" i="21"/>
  <c r="D120" i="13"/>
  <c r="F120" i="13" s="1"/>
  <c r="X120" i="21"/>
  <c r="W121" i="21" l="1"/>
  <c r="G104" i="13"/>
  <c r="I104" i="13" s="1"/>
  <c r="D121" i="13" l="1"/>
  <c r="F121" i="13" s="1"/>
  <c r="Y121" i="21"/>
  <c r="E121" i="13"/>
  <c r="X121" i="21"/>
  <c r="H104" i="13"/>
  <c r="G105" i="13" l="1"/>
  <c r="I105" i="13" s="1"/>
  <c r="W122" i="21"/>
  <c r="D122" i="13" s="1"/>
  <c r="F122" i="13" s="1"/>
  <c r="X122" i="21" l="1"/>
  <c r="W123" i="21" s="1"/>
  <c r="X123" i="21" s="1"/>
  <c r="H105" i="13"/>
  <c r="G106" i="13" s="1"/>
  <c r="I106" i="13" s="1"/>
  <c r="E122" i="13"/>
  <c r="Y122" i="21"/>
  <c r="W124" i="21" l="1"/>
  <c r="D123" i="13"/>
  <c r="F123" i="13" s="1"/>
  <c r="E123" i="13"/>
  <c r="Y123" i="21"/>
  <c r="H106" i="13"/>
  <c r="D124" i="13" l="1"/>
  <c r="F124" i="13" s="1"/>
  <c r="E124" i="13"/>
  <c r="Y124" i="21"/>
  <c r="G107" i="13"/>
  <c r="I107" i="13" s="1"/>
  <c r="X124" i="21"/>
  <c r="H107" i="13" l="1"/>
  <c r="G108" i="13" s="1"/>
  <c r="I108" i="13" s="1"/>
  <c r="W125" i="21"/>
  <c r="H108" i="13" l="1"/>
  <c r="G109" i="13" s="1"/>
  <c r="I109" i="13" s="1"/>
  <c r="D125" i="13"/>
  <c r="F125" i="13" s="1"/>
  <c r="E125" i="13"/>
  <c r="Y125" i="21"/>
  <c r="X125" i="21"/>
  <c r="H109" i="13" l="1"/>
  <c r="G110" i="13" s="1"/>
  <c r="I110" i="13" s="1"/>
  <c r="W126" i="21"/>
  <c r="X126" i="21" s="1"/>
  <c r="W127" i="21" l="1"/>
  <c r="X127" i="21" s="1"/>
  <c r="E126" i="13"/>
  <c r="D126" i="13"/>
  <c r="F126" i="13" s="1"/>
  <c r="Y126" i="21"/>
  <c r="H110" i="13"/>
  <c r="G111" i="13" l="1"/>
  <c r="I111" i="13" s="1"/>
  <c r="W128" i="21"/>
  <c r="X128" i="21" s="1"/>
  <c r="D127" i="13"/>
  <c r="F127" i="13" s="1"/>
  <c r="E127" i="13"/>
  <c r="Y127" i="21"/>
  <c r="H111" i="13" l="1"/>
  <c r="W129" i="21"/>
  <c r="X129" i="21" s="1"/>
  <c r="D128" i="13"/>
  <c r="F128" i="13" s="1"/>
  <c r="Y128" i="21"/>
  <c r="E128" i="13"/>
  <c r="G112" i="13" l="1"/>
  <c r="I112" i="13" s="1"/>
  <c r="W130" i="21"/>
  <c r="D129" i="13"/>
  <c r="F129" i="13" s="1"/>
  <c r="E129" i="13"/>
  <c r="Y129" i="21"/>
  <c r="H112" i="13" l="1"/>
  <c r="E130" i="13"/>
  <c r="D130" i="13"/>
  <c r="F130" i="13" s="1"/>
  <c r="Y130" i="21"/>
  <c r="X130" i="21"/>
  <c r="G113" i="13" l="1"/>
  <c r="I113" i="13" s="1"/>
  <c r="W131" i="21"/>
  <c r="X131" i="21" l="1"/>
  <c r="W132" i="21" s="1"/>
  <c r="D132" i="13" s="1"/>
  <c r="F132" i="13" s="1"/>
  <c r="D131" i="13"/>
  <c r="F131" i="13" s="1"/>
  <c r="H113" i="13"/>
  <c r="E131" i="13"/>
  <c r="Y131" i="21"/>
  <c r="E132" i="13" l="1"/>
  <c r="Y132" i="21"/>
  <c r="G114" i="13"/>
  <c r="I114" i="13" s="1"/>
  <c r="X132" i="21"/>
  <c r="W133" i="21" l="1"/>
  <c r="H114" i="13"/>
  <c r="G115" i="13" l="1"/>
  <c r="I115" i="13" s="1"/>
  <c r="D133" i="13"/>
  <c r="F133" i="13" s="1"/>
  <c r="E133" i="13"/>
  <c r="Y133" i="21"/>
  <c r="X133" i="21"/>
  <c r="W134" i="21" l="1"/>
  <c r="X134" i="21" s="1"/>
  <c r="H115" i="13"/>
  <c r="W135" i="21" l="1"/>
  <c r="D134" i="13"/>
  <c r="F134" i="13" s="1"/>
  <c r="E134" i="13"/>
  <c r="Y134" i="21"/>
  <c r="G116" i="13"/>
  <c r="I116" i="13" s="1"/>
  <c r="D135" i="13" l="1"/>
  <c r="F135" i="13" s="1"/>
  <c r="E135" i="13"/>
  <c r="Y135" i="21"/>
  <c r="H116" i="13"/>
  <c r="X135" i="21"/>
  <c r="W136" i="21" l="1"/>
  <c r="G117" i="13"/>
  <c r="I117" i="13" s="1"/>
  <c r="X136" i="21" l="1"/>
  <c r="W137" i="21" s="1"/>
  <c r="X137" i="21" s="1"/>
  <c r="D136" i="13"/>
  <c r="F136" i="13" s="1"/>
  <c r="H117" i="13"/>
  <c r="E136" i="13"/>
  <c r="Y136" i="21"/>
  <c r="G118" i="13" l="1"/>
  <c r="I118" i="13" s="1"/>
  <c r="W138" i="21"/>
  <c r="X138" i="21" s="1"/>
  <c r="Y137" i="21"/>
  <c r="E137" i="13"/>
  <c r="H118" i="13" l="1"/>
  <c r="G119" i="13" s="1"/>
  <c r="I119" i="13" s="1"/>
  <c r="W139" i="21"/>
  <c r="E138" i="13"/>
  <c r="Y138" i="21"/>
  <c r="X139" i="21" l="1"/>
  <c r="W140" i="21" s="1"/>
  <c r="X140" i="21" s="1"/>
  <c r="Y139" i="21"/>
  <c r="E139" i="13"/>
  <c r="H119" i="13"/>
  <c r="W141" i="21" l="1"/>
  <c r="X141" i="21" s="1"/>
  <c r="Y140" i="21"/>
  <c r="E140" i="13"/>
  <c r="G120" i="13"/>
  <c r="I120" i="13" s="1"/>
  <c r="H120" i="13" l="1"/>
  <c r="G121" i="13" s="1"/>
  <c r="I121" i="13" s="1"/>
  <c r="W142" i="21"/>
  <c r="E141" i="13"/>
  <c r="D141" i="13"/>
  <c r="F141" i="13" s="1"/>
  <c r="Y141" i="21"/>
  <c r="X142" i="21" l="1"/>
  <c r="W143" i="21" s="1"/>
  <c r="D142" i="13"/>
  <c r="F142" i="13" s="1"/>
  <c r="H121" i="13"/>
  <c r="G122" i="13" s="1"/>
  <c r="I122" i="13" s="1"/>
  <c r="E142" i="13"/>
  <c r="Y142" i="21"/>
  <c r="D143" i="13" l="1"/>
  <c r="F143" i="13" s="1"/>
  <c r="E143" i="13"/>
  <c r="Y143" i="21"/>
  <c r="H122" i="13"/>
  <c r="X143" i="21"/>
  <c r="G123" i="13" l="1"/>
  <c r="I123" i="13" s="1"/>
  <c r="W144" i="21"/>
  <c r="D144" i="13" s="1"/>
  <c r="F144" i="13" s="1"/>
  <c r="H123" i="13" l="1"/>
  <c r="E144" i="13"/>
  <c r="Y144" i="21"/>
  <c r="X144" i="21"/>
  <c r="G124" i="13" l="1"/>
  <c r="I124" i="13" s="1"/>
  <c r="W145" i="21"/>
  <c r="X145" i="21" l="1"/>
  <c r="W146" i="21" s="1"/>
  <c r="D146" i="13" s="1"/>
  <c r="F146" i="13" s="1"/>
  <c r="D145" i="13"/>
  <c r="F145" i="13" s="1"/>
  <c r="H124" i="13"/>
  <c r="G125" i="13" s="1"/>
  <c r="I125" i="13" s="1"/>
  <c r="E145" i="13"/>
  <c r="Y145" i="21"/>
  <c r="E146" i="13" l="1"/>
  <c r="Y146" i="21"/>
  <c r="H125" i="13"/>
  <c r="X146" i="21"/>
  <c r="W147" i="21" l="1"/>
  <c r="X147" i="21" s="1"/>
  <c r="G126" i="13"/>
  <c r="I126" i="13" s="1"/>
  <c r="W148" i="21" l="1"/>
  <c r="D147" i="13"/>
  <c r="F147" i="13" s="1"/>
  <c r="E147" i="13"/>
  <c r="Y147" i="21"/>
  <c r="H126" i="13"/>
  <c r="X148" i="21" l="1"/>
  <c r="W149" i="21" s="1"/>
  <c r="D148" i="13"/>
  <c r="F148" i="13" s="1"/>
  <c r="G127" i="13"/>
  <c r="I127" i="13" s="1"/>
  <c r="E148" i="13"/>
  <c r="Y148" i="21"/>
  <c r="X149" i="21" l="1"/>
  <c r="W150" i="21" s="1"/>
  <c r="X150" i="21" s="1"/>
  <c r="D149" i="13"/>
  <c r="F149" i="13" s="1"/>
  <c r="H127" i="13"/>
  <c r="E149" i="13"/>
  <c r="Y149" i="21"/>
  <c r="W151" i="21" l="1"/>
  <c r="E150" i="13"/>
  <c r="Y150" i="21"/>
  <c r="G128" i="13"/>
  <c r="I128" i="13" s="1"/>
  <c r="X151" i="21" l="1"/>
  <c r="W152" i="21" s="1"/>
  <c r="D151" i="13"/>
  <c r="F151" i="13" s="1"/>
  <c r="H128" i="13"/>
  <c r="E151" i="13"/>
  <c r="Y151" i="21"/>
  <c r="D152" i="13" l="1"/>
  <c r="F152" i="13" s="1"/>
  <c r="Y152" i="21"/>
  <c r="E152" i="13"/>
  <c r="G129" i="13"/>
  <c r="I129" i="13" s="1"/>
  <c r="X152" i="21"/>
  <c r="W153" i="21" l="1"/>
  <c r="X153" i="21" s="1"/>
  <c r="H129" i="13"/>
  <c r="G130" i="13" l="1"/>
  <c r="I130" i="13" s="1"/>
  <c r="W154" i="21"/>
  <c r="X154" i="21" s="1"/>
  <c r="D153" i="13"/>
  <c r="F153" i="13" s="1"/>
  <c r="E153" i="13"/>
  <c r="Y153" i="21"/>
  <c r="W155" i="21" l="1"/>
  <c r="X155" i="21" s="1"/>
  <c r="E154" i="13"/>
  <c r="Y154" i="21"/>
  <c r="D154" i="13"/>
  <c r="F154" i="13" s="1"/>
  <c r="H130" i="13"/>
  <c r="W156" i="21" l="1"/>
  <c r="G131" i="13"/>
  <c r="I131" i="13" s="1"/>
  <c r="D155" i="13"/>
  <c r="F155" i="13" s="1"/>
  <c r="E155" i="13"/>
  <c r="Y155" i="21"/>
  <c r="E156" i="13" l="1"/>
  <c r="Y156" i="21"/>
  <c r="D156" i="13"/>
  <c r="F156" i="13" s="1"/>
  <c r="H131" i="13"/>
  <c r="X156" i="21"/>
  <c r="G132" i="13" l="1"/>
  <c r="I132" i="13" s="1"/>
  <c r="W157" i="21"/>
  <c r="X157" i="21" l="1"/>
  <c r="W158" i="21" s="1"/>
  <c r="X158" i="21" s="1"/>
  <c r="D157" i="13"/>
  <c r="F157" i="13" s="1"/>
  <c r="E157" i="13"/>
  <c r="Y157" i="21"/>
  <c r="H132" i="13"/>
  <c r="G133" i="13" l="1"/>
  <c r="I133" i="13" s="1"/>
  <c r="W159" i="21"/>
  <c r="D158" i="13"/>
  <c r="F158" i="13" s="1"/>
  <c r="E158" i="13"/>
  <c r="Y158" i="21"/>
  <c r="X159" i="21" l="1"/>
  <c r="W160" i="21" s="1"/>
  <c r="D160" i="13" s="1"/>
  <c r="F160" i="13" s="1"/>
  <c r="D159" i="13"/>
  <c r="F159" i="13" s="1"/>
  <c r="H133" i="13"/>
  <c r="E159" i="13"/>
  <c r="Y159" i="21"/>
  <c r="E160" i="13" l="1"/>
  <c r="Y160" i="21"/>
  <c r="G134" i="13"/>
  <c r="I134" i="13" s="1"/>
  <c r="X160" i="21"/>
  <c r="W161" i="21" l="1"/>
  <c r="D161" i="13" s="1"/>
  <c r="F161" i="13" s="1"/>
  <c r="H134" i="13"/>
  <c r="E161" i="13" l="1"/>
  <c r="Y161" i="21"/>
  <c r="G135" i="13"/>
  <c r="I135" i="13" s="1"/>
  <c r="X161" i="21"/>
  <c r="W162" i="21" l="1"/>
  <c r="D162" i="13" s="1"/>
  <c r="F162" i="13" s="1"/>
  <c r="H135" i="13"/>
  <c r="E162" i="13" l="1"/>
  <c r="Y162" i="21"/>
  <c r="G136" i="13"/>
  <c r="I136" i="13" s="1"/>
  <c r="X162" i="21"/>
  <c r="W163" i="21" l="1"/>
  <c r="D163" i="13" s="1"/>
  <c r="F163" i="13" s="1"/>
  <c r="H136" i="13"/>
  <c r="E163" i="13" l="1"/>
  <c r="Y163" i="21"/>
  <c r="X163" i="21"/>
  <c r="G137" i="13"/>
  <c r="I137" i="13" s="1"/>
  <c r="H137" i="13" l="1"/>
  <c r="W164" i="21"/>
  <c r="X164" i="21" l="1"/>
  <c r="W165" i="21" s="1"/>
  <c r="D164" i="13"/>
  <c r="F164" i="13" s="1"/>
  <c r="Y164" i="21"/>
  <c r="E164" i="13"/>
  <c r="G138" i="13"/>
  <c r="I138" i="13" s="1"/>
  <c r="H138" i="13" l="1"/>
  <c r="E165" i="13"/>
  <c r="Y165" i="21"/>
  <c r="X165" i="21"/>
  <c r="W166" i="21" l="1"/>
  <c r="G139" i="13"/>
  <c r="I139" i="13" s="1"/>
  <c r="X166" i="21" l="1"/>
  <c r="W167" i="21" s="1"/>
  <c r="D166" i="13"/>
  <c r="F166" i="13" s="1"/>
  <c r="H139" i="13"/>
  <c r="E166" i="13"/>
  <c r="Y166" i="21"/>
  <c r="Y167" i="21" l="1"/>
  <c r="E167" i="13"/>
  <c r="G140" i="13"/>
  <c r="I140" i="13" s="1"/>
  <c r="X167" i="21"/>
  <c r="W168" i="21" l="1"/>
  <c r="D168" i="13" s="1"/>
  <c r="F168" i="13" s="1"/>
  <c r="H140" i="13"/>
  <c r="E168" i="13" l="1"/>
  <c r="Y168" i="21"/>
  <c r="X168" i="21"/>
  <c r="G141" i="13"/>
  <c r="I141" i="13" s="1"/>
  <c r="H141" i="13" l="1"/>
  <c r="W169" i="21"/>
  <c r="D169" i="13" s="1"/>
  <c r="F169" i="13" s="1"/>
  <c r="E169" i="13" l="1"/>
  <c r="Y169" i="21"/>
  <c r="G142" i="13"/>
  <c r="I142" i="13" s="1"/>
  <c r="X169" i="21"/>
  <c r="W170" i="21" l="1"/>
  <c r="X170" i="21" s="1"/>
  <c r="H142" i="13"/>
  <c r="W171" i="21" l="1"/>
  <c r="D171" i="13" s="1"/>
  <c r="F171" i="13" s="1"/>
  <c r="G143" i="13"/>
  <c r="I143" i="13" s="1"/>
  <c r="D170" i="13"/>
  <c r="F170" i="13" s="1"/>
  <c r="E170" i="13"/>
  <c r="Y170" i="21"/>
  <c r="H143" i="13" l="1"/>
  <c r="E171" i="13"/>
  <c r="Y171" i="21"/>
  <c r="X171" i="21"/>
  <c r="W172" i="21" l="1"/>
  <c r="D172" i="13" s="1"/>
  <c r="F172" i="13" s="1"/>
  <c r="G144" i="13"/>
  <c r="I144" i="13" s="1"/>
  <c r="E172" i="13" l="1"/>
  <c r="Y172" i="21"/>
  <c r="X172" i="21"/>
  <c r="H144" i="13"/>
  <c r="G145" i="13" l="1"/>
  <c r="I145" i="13" s="1"/>
  <c r="W173" i="21"/>
  <c r="D173" i="13" s="1"/>
  <c r="F173" i="13" s="1"/>
  <c r="H145" i="13" l="1"/>
  <c r="G146" i="13" s="1"/>
  <c r="I146" i="13" s="1"/>
  <c r="Y173" i="21"/>
  <c r="E173" i="13"/>
  <c r="X173" i="21"/>
  <c r="H146" i="13" l="1"/>
  <c r="W174" i="21"/>
  <c r="X174" i="21" l="1"/>
  <c r="W175" i="21" s="1"/>
  <c r="D175" i="13" s="1"/>
  <c r="F175" i="13" s="1"/>
  <c r="D174" i="13"/>
  <c r="F174" i="13" s="1"/>
  <c r="G147" i="13"/>
  <c r="I147" i="13" s="1"/>
  <c r="E174" i="13"/>
  <c r="Y174" i="21"/>
  <c r="H147" i="13" l="1"/>
  <c r="E175" i="13"/>
  <c r="Y175" i="21"/>
  <c r="X175" i="21"/>
  <c r="W176" i="21" l="1"/>
  <c r="X176" i="21" s="1"/>
  <c r="G148" i="13"/>
  <c r="I148" i="13" s="1"/>
  <c r="W177" i="21" l="1"/>
  <c r="D176" i="13"/>
  <c r="F176" i="13" s="1"/>
  <c r="Y176" i="21"/>
  <c r="E176" i="13"/>
  <c r="H148" i="13"/>
  <c r="X177" i="21" l="1"/>
  <c r="W178" i="21" s="1"/>
  <c r="D177" i="13"/>
  <c r="F177" i="13" s="1"/>
  <c r="E177" i="13"/>
  <c r="Y177" i="21"/>
  <c r="G149" i="13"/>
  <c r="I149" i="13" s="1"/>
  <c r="X178" i="21" l="1"/>
  <c r="W179" i="21" s="1"/>
  <c r="D178" i="13"/>
  <c r="F178" i="13" s="1"/>
  <c r="E178" i="13"/>
  <c r="Y178" i="21"/>
  <c r="H149" i="13"/>
  <c r="X179" i="21" l="1"/>
  <c r="W180" i="21" s="1"/>
  <c r="X180" i="21" s="1"/>
  <c r="D179" i="13"/>
  <c r="F179" i="13" s="1"/>
  <c r="G150" i="13"/>
  <c r="I150" i="13" s="1"/>
  <c r="E179" i="13"/>
  <c r="Y179" i="21"/>
  <c r="W181" i="21" l="1"/>
  <c r="H150" i="13"/>
  <c r="E180" i="13"/>
  <c r="D180" i="13"/>
  <c r="F180" i="13" s="1"/>
  <c r="Y180" i="21"/>
  <c r="D181" i="13" l="1"/>
  <c r="F181" i="13" s="1"/>
  <c r="E181" i="13"/>
  <c r="Y181" i="21"/>
  <c r="G151" i="13"/>
  <c r="I151" i="13" s="1"/>
  <c r="X181" i="21"/>
  <c r="H151" i="13" l="1"/>
  <c r="G152" i="13" s="1"/>
  <c r="I152" i="13" s="1"/>
  <c r="W182" i="21"/>
  <c r="X182" i="21" s="1"/>
  <c r="E182" i="13" l="1"/>
  <c r="D182" i="13"/>
  <c r="F182" i="13" s="1"/>
  <c r="Y182" i="21"/>
  <c r="W183" i="21"/>
  <c r="X183" i="21" s="1"/>
  <c r="H152" i="13"/>
  <c r="W184" i="21" l="1"/>
  <c r="G153" i="13"/>
  <c r="I153" i="13" s="1"/>
  <c r="D183" i="13"/>
  <c r="F183" i="13" s="1"/>
  <c r="E183" i="13"/>
  <c r="Y183" i="21"/>
  <c r="H153" i="13" l="1"/>
  <c r="Y184" i="21"/>
  <c r="E184" i="13"/>
  <c r="X184" i="21"/>
  <c r="W185" i="21" l="1"/>
  <c r="X185" i="21" s="1"/>
  <c r="G154" i="13"/>
  <c r="I154" i="13" s="1"/>
  <c r="H154" i="13" l="1"/>
  <c r="W186" i="21"/>
  <c r="D185" i="13"/>
  <c r="F185" i="13" s="1"/>
  <c r="E185" i="13"/>
  <c r="Y185" i="21"/>
  <c r="D186" i="13" l="1"/>
  <c r="F186" i="13" s="1"/>
  <c r="E186" i="13"/>
  <c r="Y186" i="21"/>
  <c r="X186" i="21"/>
  <c r="G155" i="13"/>
  <c r="I155" i="13" s="1"/>
  <c r="H155" i="13" l="1"/>
  <c r="W187" i="21"/>
  <c r="X187" i="21" l="1"/>
  <c r="W188" i="21" s="1"/>
  <c r="X188" i="21" s="1"/>
  <c r="D187" i="13"/>
  <c r="F187" i="13" s="1"/>
  <c r="E187" i="13"/>
  <c r="Y187" i="21"/>
  <c r="G156" i="13"/>
  <c r="I156" i="13" s="1"/>
  <c r="H156" i="13" l="1"/>
  <c r="W189" i="21"/>
  <c r="X189" i="21" s="1"/>
  <c r="D188" i="13"/>
  <c r="F188" i="13" s="1"/>
  <c r="Y188" i="21"/>
  <c r="E188" i="13"/>
  <c r="D189" i="13" l="1"/>
  <c r="F189" i="13" s="1"/>
  <c r="E189" i="13"/>
  <c r="Y189" i="21"/>
  <c r="G157" i="13"/>
  <c r="I157" i="13" s="1"/>
  <c r="W190" i="21"/>
  <c r="X190" i="21" s="1"/>
  <c r="W191" i="21" l="1"/>
  <c r="X191" i="21" s="1"/>
  <c r="D190" i="13"/>
  <c r="F190" i="13" s="1"/>
  <c r="Y190" i="21"/>
  <c r="E190" i="13"/>
  <c r="H157" i="13"/>
  <c r="G158" i="13" l="1"/>
  <c r="I158" i="13" s="1"/>
  <c r="W192" i="21"/>
  <c r="X192" i="21" s="1"/>
  <c r="D191" i="13"/>
  <c r="F191" i="13" s="1"/>
  <c r="E191" i="13"/>
  <c r="Y191" i="21"/>
  <c r="H158" i="13" l="1"/>
  <c r="G159" i="13" s="1"/>
  <c r="I159" i="13" s="1"/>
  <c r="W193" i="21"/>
  <c r="D193" i="13" s="1"/>
  <c r="F193" i="13" s="1"/>
  <c r="E192" i="13"/>
  <c r="Y192" i="21"/>
  <c r="Y193" i="21" l="1"/>
  <c r="E193" i="13"/>
  <c r="H159" i="13"/>
  <c r="X193" i="21"/>
  <c r="W194" i="21" l="1"/>
  <c r="G160" i="13"/>
  <c r="I160" i="13" s="1"/>
  <c r="D194" i="13" l="1"/>
  <c r="F194" i="13" s="1"/>
  <c r="Y194" i="21"/>
  <c r="E194" i="13"/>
  <c r="H160" i="13"/>
  <c r="X194" i="21"/>
  <c r="W195" i="21" l="1"/>
  <c r="X195" i="21" s="1"/>
  <c r="G161" i="13"/>
  <c r="I161" i="13" s="1"/>
  <c r="W196" i="21" l="1"/>
  <c r="H161" i="13"/>
  <c r="E195" i="13"/>
  <c r="D195" i="13"/>
  <c r="F195" i="13" s="1"/>
  <c r="Y195" i="21"/>
  <c r="D196" i="13" l="1"/>
  <c r="F196" i="13" s="1"/>
  <c r="Y196" i="21"/>
  <c r="E196" i="13"/>
  <c r="G162" i="13"/>
  <c r="I162" i="13" s="1"/>
  <c r="X196" i="21"/>
  <c r="W197" i="21" l="1"/>
  <c r="X197" i="21" s="1"/>
  <c r="H162" i="13"/>
  <c r="W198" i="21" l="1"/>
  <c r="X198" i="21" s="1"/>
  <c r="G163" i="13"/>
  <c r="I163" i="13" s="1"/>
  <c r="D197" i="13"/>
  <c r="F197" i="13" s="1"/>
  <c r="E197" i="13"/>
  <c r="Y197" i="21"/>
  <c r="W199" i="21" l="1"/>
  <c r="D199" i="13" s="1"/>
  <c r="F199" i="13" s="1"/>
  <c r="H163" i="13"/>
  <c r="D198" i="13"/>
  <c r="F198" i="13" s="1"/>
  <c r="E198" i="13"/>
  <c r="Y198" i="21"/>
  <c r="G164" i="13" l="1"/>
  <c r="I164" i="13" s="1"/>
  <c r="E199" i="13"/>
  <c r="Y199" i="21"/>
  <c r="X199" i="21"/>
  <c r="W200" i="21" l="1"/>
  <c r="D200" i="13" s="1"/>
  <c r="F200" i="13" s="1"/>
  <c r="H164" i="13"/>
  <c r="Y200" i="21" l="1"/>
  <c r="E200" i="13"/>
  <c r="G165" i="13"/>
  <c r="I165" i="13" s="1"/>
  <c r="X200" i="21"/>
  <c r="W201" i="21" l="1"/>
  <c r="H165" i="13"/>
  <c r="X201" i="21" l="1"/>
  <c r="W202" i="21" s="1"/>
  <c r="D202" i="13" s="1"/>
  <c r="F202" i="13" s="1"/>
  <c r="D201" i="13"/>
  <c r="F201" i="13" s="1"/>
  <c r="G166" i="13"/>
  <c r="I166" i="13" s="1"/>
  <c r="E201" i="13"/>
  <c r="Y201" i="21"/>
  <c r="H166" i="13" l="1"/>
  <c r="G167" i="13" s="1"/>
  <c r="I167" i="13" s="1"/>
  <c r="E202" i="13"/>
  <c r="Y202" i="21"/>
  <c r="X202" i="21"/>
  <c r="H167" i="13" l="1"/>
  <c r="W203" i="21"/>
  <c r="X203" i="21" l="1"/>
  <c r="W204" i="21" s="1"/>
  <c r="D203" i="13"/>
  <c r="F203" i="13" s="1"/>
  <c r="G168" i="13"/>
  <c r="I168" i="13" s="1"/>
  <c r="E203" i="13"/>
  <c r="Y203" i="21"/>
  <c r="X204" i="21" l="1"/>
  <c r="W205" i="21" s="1"/>
  <c r="D204" i="13"/>
  <c r="F204" i="13" s="1"/>
  <c r="H168" i="13"/>
  <c r="E204" i="13"/>
  <c r="Y204" i="21"/>
  <c r="X205" i="21" l="1"/>
  <c r="W206" i="21" s="1"/>
  <c r="D206" i="13" s="1"/>
  <c r="F206" i="13" s="1"/>
  <c r="D205" i="13"/>
  <c r="F205" i="13" s="1"/>
  <c r="G169" i="13"/>
  <c r="I169" i="13" s="1"/>
  <c r="E205" i="13"/>
  <c r="Y205" i="21"/>
  <c r="E206" i="13" l="1"/>
  <c r="Y206" i="21"/>
  <c r="H169" i="13"/>
  <c r="X206" i="21"/>
  <c r="W207" i="21" l="1"/>
  <c r="G170" i="13"/>
  <c r="I170" i="13" s="1"/>
  <c r="E207" i="13" l="1"/>
  <c r="Y207" i="21"/>
  <c r="H170" i="13"/>
  <c r="X207" i="21"/>
  <c r="G171" i="13" l="1"/>
  <c r="I171" i="13" s="1"/>
  <c r="W208" i="21"/>
  <c r="X208" i="21" s="1"/>
  <c r="E208" i="13" l="1"/>
  <c r="Y208" i="21"/>
  <c r="H171" i="13"/>
  <c r="W209" i="21"/>
  <c r="X209" i="21" s="1"/>
  <c r="W210" i="21" l="1"/>
  <c r="G172" i="13"/>
  <c r="I172" i="13" s="1"/>
  <c r="Y209" i="21"/>
  <c r="E209" i="13"/>
  <c r="E210" i="13" l="1"/>
  <c r="D210" i="13"/>
  <c r="F210" i="13" s="1"/>
  <c r="Y210" i="21"/>
  <c r="H172" i="13"/>
  <c r="X210" i="21"/>
  <c r="G173" i="13" l="1"/>
  <c r="I173" i="13" s="1"/>
  <c r="W211" i="21"/>
  <c r="H173" i="13" l="1"/>
  <c r="G174" i="13" s="1"/>
  <c r="I174" i="13" s="1"/>
  <c r="D211" i="13"/>
  <c r="F211" i="13" s="1"/>
  <c r="E211" i="13"/>
  <c r="Y211" i="21"/>
  <c r="X211" i="21"/>
  <c r="W212" i="21" l="1"/>
  <c r="H174" i="13"/>
  <c r="X212" i="21" l="1"/>
  <c r="W213" i="21" s="1"/>
  <c r="D212" i="13"/>
  <c r="F212" i="13" s="1"/>
  <c r="G175" i="13"/>
  <c r="I175" i="13" s="1"/>
  <c r="Y212" i="21"/>
  <c r="E212" i="13"/>
  <c r="E213" i="13" l="1"/>
  <c r="Y213" i="21"/>
  <c r="H175" i="13"/>
  <c r="X213" i="21"/>
  <c r="W214" i="21" l="1"/>
  <c r="X214" i="21" s="1"/>
  <c r="G176" i="13"/>
  <c r="I176" i="13" s="1"/>
  <c r="W215" i="21" l="1"/>
  <c r="X215" i="21" s="1"/>
  <c r="H176" i="13"/>
  <c r="E214" i="13"/>
  <c r="D214" i="13"/>
  <c r="F214" i="13" s="1"/>
  <c r="Y214" i="21"/>
  <c r="D215" i="13" l="1"/>
  <c r="F215" i="13" s="1"/>
  <c r="E215" i="13"/>
  <c r="Y215" i="21"/>
  <c r="G177" i="13"/>
  <c r="I177" i="13" s="1"/>
  <c r="W216" i="21"/>
  <c r="D216" i="13" l="1"/>
  <c r="F216" i="13" s="1"/>
  <c r="E216" i="13"/>
  <c r="Y216" i="21"/>
  <c r="X216" i="21"/>
  <c r="H177" i="13"/>
  <c r="G178" i="13" l="1"/>
  <c r="I178" i="13" s="1"/>
  <c r="W217" i="21"/>
  <c r="D217" i="13" s="1"/>
  <c r="F217" i="13" s="1"/>
  <c r="X217" i="21" l="1"/>
  <c r="W218" i="21" s="1"/>
  <c r="D218" i="13" s="1"/>
  <c r="F218" i="13" s="1"/>
  <c r="H178" i="13"/>
  <c r="E217" i="13"/>
  <c r="Y217" i="21"/>
  <c r="E218" i="13" l="1"/>
  <c r="Y218" i="21"/>
  <c r="X218" i="21"/>
  <c r="G179" i="13"/>
  <c r="I179" i="13" s="1"/>
  <c r="H179" i="13" l="1"/>
  <c r="G180" i="13" s="1"/>
  <c r="I180" i="13" s="1"/>
  <c r="W219" i="21"/>
  <c r="H180" i="13" l="1"/>
  <c r="E219" i="13"/>
  <c r="Y219" i="21"/>
  <c r="X219" i="21"/>
  <c r="G181" i="13" l="1"/>
  <c r="I181" i="13" s="1"/>
  <c r="W220" i="21"/>
  <c r="X220" i="21" s="1"/>
  <c r="W221" i="21" l="1"/>
  <c r="Y220" i="21"/>
  <c r="E220" i="13"/>
  <c r="H181" i="13"/>
  <c r="E221" i="13" l="1"/>
  <c r="Y221" i="21"/>
  <c r="G182" i="13"/>
  <c r="I182" i="13" s="1"/>
  <c r="X221" i="21"/>
  <c r="W222" i="21" l="1"/>
  <c r="X222" i="21" s="1"/>
  <c r="H182" i="13"/>
  <c r="W223" i="21" l="1"/>
  <c r="E222" i="13"/>
  <c r="Y222" i="21"/>
  <c r="G183" i="13"/>
  <c r="I183" i="13" s="1"/>
  <c r="X223" i="21" l="1"/>
  <c r="W224" i="21" s="1"/>
  <c r="D223" i="13"/>
  <c r="F223" i="13" s="1"/>
  <c r="H183" i="13"/>
  <c r="Y223" i="21"/>
  <c r="E223" i="13"/>
  <c r="X224" i="21" l="1"/>
  <c r="W225" i="21" s="1"/>
  <c r="D224" i="13"/>
  <c r="F224" i="13" s="1"/>
  <c r="Y224" i="21"/>
  <c r="E224" i="13"/>
  <c r="G184" i="13"/>
  <c r="I184" i="13" s="1"/>
  <c r="E225" i="13" l="1"/>
  <c r="Y225" i="21"/>
  <c r="H184" i="13"/>
  <c r="X225" i="21"/>
  <c r="W226" i="21" l="1"/>
  <c r="X226" i="21" s="1"/>
  <c r="G185" i="13"/>
  <c r="I185" i="13" s="1"/>
  <c r="W227" i="21" l="1"/>
  <c r="D227" i="13" s="1"/>
  <c r="F227" i="13" s="1"/>
  <c r="H185" i="13"/>
  <c r="E226" i="13"/>
  <c r="Y226" i="21"/>
  <c r="E227" i="13" l="1"/>
  <c r="Y227" i="21"/>
  <c r="G186" i="13"/>
  <c r="I186" i="13" s="1"/>
  <c r="X227" i="21"/>
  <c r="W228" i="21" l="1"/>
  <c r="H186" i="13"/>
  <c r="X228" i="21" l="1"/>
  <c r="W229" i="21" s="1"/>
  <c r="D229" i="13" s="1"/>
  <c r="F229" i="13" s="1"/>
  <c r="D228" i="13"/>
  <c r="F228" i="13" s="1"/>
  <c r="E228" i="13"/>
  <c r="Y228" i="21"/>
  <c r="G187" i="13"/>
  <c r="I187" i="13" s="1"/>
  <c r="Y229" i="21" l="1"/>
  <c r="E229" i="13"/>
  <c r="H187" i="13"/>
  <c r="X229" i="21"/>
  <c r="W230" i="21" l="1"/>
  <c r="D230" i="13" s="1"/>
  <c r="F230" i="13" s="1"/>
  <c r="G188" i="13"/>
  <c r="I188" i="13" s="1"/>
  <c r="E230" i="13" l="1"/>
  <c r="Y230" i="21"/>
  <c r="H188" i="13"/>
  <c r="X230" i="21"/>
  <c r="W231" i="21" l="1"/>
  <c r="G189" i="13"/>
  <c r="I189" i="13" s="1"/>
  <c r="X231" i="21" l="1"/>
  <c r="W232" i="21" s="1"/>
  <c r="D232" i="13" s="1"/>
  <c r="F232" i="13" s="1"/>
  <c r="D231" i="13"/>
  <c r="F231" i="13" s="1"/>
  <c r="H189" i="13"/>
  <c r="E231" i="13"/>
  <c r="Y231" i="21"/>
  <c r="X232" i="21" l="1"/>
  <c r="W233" i="21" s="1"/>
  <c r="G190" i="13"/>
  <c r="I190" i="13" s="1"/>
  <c r="Y232" i="21"/>
  <c r="E232" i="13"/>
  <c r="H190" i="13" l="1"/>
  <c r="G191" i="13" s="1"/>
  <c r="I191" i="13" s="1"/>
  <c r="Y233" i="21"/>
  <c r="E233" i="13"/>
  <c r="X233" i="21"/>
  <c r="W234" i="21" l="1"/>
  <c r="H191" i="13"/>
  <c r="X234" i="21" l="1"/>
  <c r="W235" i="21" s="1"/>
  <c r="D234" i="13"/>
  <c r="F234" i="13" s="1"/>
  <c r="E234" i="13"/>
  <c r="Y234" i="21"/>
  <c r="G192" i="13"/>
  <c r="I192" i="13" s="1"/>
  <c r="X235" i="21" l="1"/>
  <c r="W236" i="21" s="1"/>
  <c r="D235" i="13"/>
  <c r="F235" i="13" s="1"/>
  <c r="H192" i="13"/>
  <c r="Y235" i="21"/>
  <c r="E235" i="13"/>
  <c r="X236" i="21" l="1"/>
  <c r="W237" i="21" s="1"/>
  <c r="D237" i="13" s="1"/>
  <c r="F237" i="13" s="1"/>
  <c r="D236" i="13"/>
  <c r="F236" i="13" s="1"/>
  <c r="G193" i="13"/>
  <c r="I193" i="13" s="1"/>
  <c r="Y236" i="21"/>
  <c r="E236" i="13"/>
  <c r="E237" i="13" l="1"/>
  <c r="Y237" i="21"/>
  <c r="X237" i="21"/>
  <c r="H193" i="13"/>
  <c r="G194" i="13" l="1"/>
  <c r="I194" i="13" s="1"/>
  <c r="W238" i="21"/>
  <c r="X238" i="21" l="1"/>
  <c r="W239" i="21" s="1"/>
  <c r="D238" i="13"/>
  <c r="F238" i="13" s="1"/>
  <c r="H194" i="13"/>
  <c r="E238" i="13"/>
  <c r="Y238" i="21"/>
  <c r="X239" i="21" l="1"/>
  <c r="W240" i="21" s="1"/>
  <c r="D239" i="13"/>
  <c r="F239" i="13" s="1"/>
  <c r="G195" i="13"/>
  <c r="I195" i="13" s="1"/>
  <c r="Y239" i="21"/>
  <c r="E239" i="13"/>
  <c r="X240" i="21" l="1"/>
  <c r="W241" i="21" s="1"/>
  <c r="D240" i="13"/>
  <c r="F240" i="13" s="1"/>
  <c r="H195" i="13"/>
  <c r="E240" i="13"/>
  <c r="Y240" i="21"/>
  <c r="X241" i="21" l="1"/>
  <c r="W242" i="21" s="1"/>
  <c r="D242" i="13" s="1"/>
  <c r="F242" i="13" s="1"/>
  <c r="D241" i="13"/>
  <c r="F241" i="13" s="1"/>
  <c r="E241" i="13"/>
  <c r="Y241" i="21"/>
  <c r="G196" i="13"/>
  <c r="I196" i="13" s="1"/>
  <c r="E242" i="13" l="1"/>
  <c r="Y242" i="21"/>
  <c r="X242" i="21"/>
  <c r="H196" i="13"/>
  <c r="G197" i="13" l="1"/>
  <c r="I197" i="13" s="1"/>
  <c r="W243" i="21"/>
  <c r="D243" i="13" s="1"/>
  <c r="F243" i="13" s="1"/>
  <c r="H197" i="13" l="1"/>
  <c r="E243" i="13"/>
  <c r="Y243" i="21"/>
  <c r="X243" i="21"/>
  <c r="W244" i="21" l="1"/>
  <c r="D244" i="13" s="1"/>
  <c r="F244" i="13" s="1"/>
  <c r="G198" i="13"/>
  <c r="I198" i="13" s="1"/>
  <c r="E244" i="13" l="1"/>
  <c r="Y244" i="21"/>
  <c r="X244" i="21"/>
  <c r="H198" i="13"/>
  <c r="G199" i="13" l="1"/>
  <c r="I199" i="13" s="1"/>
  <c r="W245" i="21"/>
  <c r="X245" i="21" l="1"/>
  <c r="W246" i="21" s="1"/>
  <c r="D246" i="13" s="1"/>
  <c r="F246" i="13" s="1"/>
  <c r="D245" i="13"/>
  <c r="F245" i="13" s="1"/>
  <c r="Y245" i="21"/>
  <c r="E245" i="13"/>
  <c r="H199" i="13"/>
  <c r="G200" i="13" l="1"/>
  <c r="I200" i="13" s="1"/>
  <c r="E246" i="13"/>
  <c r="Y246" i="21"/>
  <c r="X246" i="21"/>
  <c r="W247" i="21" l="1"/>
  <c r="H200" i="13"/>
  <c r="X247" i="21" l="1"/>
  <c r="W248" i="21" s="1"/>
  <c r="D247" i="13"/>
  <c r="F247" i="13" s="1"/>
  <c r="G201" i="13"/>
  <c r="I201" i="13" s="1"/>
  <c r="E247" i="13"/>
  <c r="Y247" i="21"/>
  <c r="H201" i="13" l="1"/>
  <c r="Y248" i="21"/>
  <c r="E248" i="13"/>
  <c r="X248" i="21"/>
  <c r="W249" i="21" l="1"/>
  <c r="X249" i="21" s="1"/>
  <c r="G202" i="13"/>
  <c r="I202" i="13" s="1"/>
  <c r="W250" i="21" l="1"/>
  <c r="D250" i="13" s="1"/>
  <c r="F250" i="13" s="1"/>
  <c r="E249" i="13"/>
  <c r="Y249" i="21"/>
  <c r="H202" i="13"/>
  <c r="E250" i="13" l="1"/>
  <c r="Y250" i="21"/>
  <c r="X250" i="21"/>
  <c r="G203" i="13"/>
  <c r="I203" i="13" s="1"/>
  <c r="H203" i="13" l="1"/>
  <c r="W251" i="21"/>
  <c r="X251" i="21" s="1"/>
  <c r="W252" i="21" l="1"/>
  <c r="X252" i="21" s="1"/>
  <c r="E251" i="13"/>
  <c r="D251" i="13"/>
  <c r="F251" i="13" s="1"/>
  <c r="Y251" i="21"/>
  <c r="G204" i="13"/>
  <c r="I204" i="13" s="1"/>
  <c r="H204" i="13" l="1"/>
  <c r="W253" i="21"/>
  <c r="X253" i="21" s="1"/>
  <c r="D252" i="13"/>
  <c r="F252" i="13" s="1"/>
  <c r="E252" i="13"/>
  <c r="Y252" i="21"/>
  <c r="G205" i="13" l="1"/>
  <c r="I205" i="13" s="1"/>
  <c r="W254" i="21"/>
  <c r="D253" i="13"/>
  <c r="F253" i="13" s="1"/>
  <c r="E253" i="13"/>
  <c r="Y253" i="21"/>
  <c r="D254" i="13" l="1"/>
  <c r="F254" i="13" s="1"/>
  <c r="E254" i="13"/>
  <c r="Y254" i="21"/>
  <c r="H205" i="13"/>
  <c r="X254" i="21"/>
  <c r="G206" i="13" l="1"/>
  <c r="I206" i="13" s="1"/>
  <c r="W255" i="21"/>
  <c r="X255" i="21" s="1"/>
  <c r="W256" i="21" l="1"/>
  <c r="X256" i="21" s="1"/>
  <c r="H206" i="13"/>
  <c r="E255" i="13"/>
  <c r="D255" i="13"/>
  <c r="F255" i="13" s="1"/>
  <c r="Y255" i="21"/>
  <c r="W257" i="21" l="1"/>
  <c r="D256" i="13"/>
  <c r="F256" i="13" s="1"/>
  <c r="E256" i="13"/>
  <c r="Y256" i="21"/>
  <c r="G207" i="13"/>
  <c r="I207" i="13" s="1"/>
  <c r="X257" i="21" l="1"/>
  <c r="W258" i="21" s="1"/>
  <c r="D257" i="13"/>
  <c r="F257" i="13" s="1"/>
  <c r="H207" i="13"/>
  <c r="G208" i="13" s="1"/>
  <c r="I208" i="13" s="1"/>
  <c r="E257" i="13"/>
  <c r="Y257" i="21"/>
  <c r="E258" i="13" l="1"/>
  <c r="Y258" i="21"/>
  <c r="X258" i="21"/>
  <c r="H208" i="13"/>
  <c r="G209" i="13" l="1"/>
  <c r="I209" i="13" s="1"/>
  <c r="W259" i="21"/>
  <c r="D259" i="13" s="1"/>
  <c r="F259" i="13" s="1"/>
  <c r="Y259" i="21" l="1"/>
  <c r="E259" i="13"/>
  <c r="X259" i="21"/>
  <c r="H209" i="13"/>
  <c r="G210" i="13" l="1"/>
  <c r="I210" i="13" s="1"/>
  <c r="W260" i="21"/>
  <c r="X260" i="21" l="1"/>
  <c r="W261" i="21" s="1"/>
  <c r="D260" i="13"/>
  <c r="F260" i="13" s="1"/>
  <c r="H210" i="13"/>
  <c r="Y260" i="21"/>
  <c r="E260" i="13"/>
  <c r="X261" i="21" l="1"/>
  <c r="W262" i="21" s="1"/>
  <c r="D261" i="13"/>
  <c r="F261" i="13" s="1"/>
  <c r="E261" i="13"/>
  <c r="Y261" i="21"/>
  <c r="G211" i="13"/>
  <c r="I211" i="13" s="1"/>
  <c r="X262" i="21" l="1"/>
  <c r="W263" i="21" s="1"/>
  <c r="D263" i="13" s="1"/>
  <c r="F263" i="13" s="1"/>
  <c r="D262" i="13"/>
  <c r="F262" i="13" s="1"/>
  <c r="H211" i="13"/>
  <c r="E262" i="13"/>
  <c r="Y262" i="21"/>
  <c r="E263" i="13" l="1"/>
  <c r="Y263" i="21"/>
  <c r="G212" i="13"/>
  <c r="I212" i="13" s="1"/>
  <c r="X263" i="21"/>
  <c r="W264" i="21" l="1"/>
  <c r="X264" i="21" s="1"/>
  <c r="H212" i="13"/>
  <c r="E264" i="13" l="1"/>
  <c r="Y264" i="21"/>
  <c r="G213" i="13"/>
  <c r="I213" i="13" s="1"/>
  <c r="W265" i="21"/>
  <c r="X265" i="21" s="1"/>
  <c r="W266" i="21" l="1"/>
  <c r="E265" i="13"/>
  <c r="Y265" i="21"/>
  <c r="H213" i="13"/>
  <c r="E266" i="13" l="1"/>
  <c r="Y266" i="21"/>
  <c r="G214" i="13"/>
  <c r="I214" i="13" s="1"/>
  <c r="X266" i="21"/>
  <c r="H214" i="13" l="1"/>
  <c r="W267" i="21"/>
  <c r="X267" i="21" s="1"/>
  <c r="W268" i="21" l="1"/>
  <c r="X268" i="21" s="1"/>
  <c r="G215" i="13"/>
  <c r="I215" i="13" s="1"/>
  <c r="E267" i="13"/>
  <c r="Y267" i="21"/>
  <c r="W269" i="21" l="1"/>
  <c r="D269" i="13" s="1"/>
  <c r="F269" i="13" s="1"/>
  <c r="H215" i="13"/>
  <c r="Y268" i="21"/>
  <c r="E268" i="13"/>
  <c r="E269" i="13" l="1"/>
  <c r="Y269" i="21"/>
  <c r="X269" i="21"/>
  <c r="G216" i="13"/>
  <c r="I216" i="13" s="1"/>
  <c r="H216" i="13" l="1"/>
  <c r="W270" i="21"/>
  <c r="D270" i="13" s="1"/>
  <c r="F270" i="13" s="1"/>
  <c r="E270" i="13" l="1"/>
  <c r="Y270" i="21"/>
  <c r="X270" i="21"/>
  <c r="G217" i="13"/>
  <c r="I217" i="13" s="1"/>
  <c r="H217" i="13" l="1"/>
  <c r="W271" i="21"/>
  <c r="D271" i="13" s="1"/>
  <c r="F271" i="13" s="1"/>
  <c r="Y271" i="21" l="1"/>
  <c r="E271" i="13"/>
  <c r="G218" i="13"/>
  <c r="I218" i="13" s="1"/>
  <c r="X271" i="21"/>
  <c r="W272" i="21" l="1"/>
  <c r="H218" i="13"/>
  <c r="Y272" i="21" l="1"/>
  <c r="D272" i="13"/>
  <c r="F272" i="13" s="1"/>
  <c r="E272" i="13"/>
  <c r="G219" i="13"/>
  <c r="I219" i="13" s="1"/>
  <c r="X272" i="21"/>
  <c r="W273" i="21" l="1"/>
  <c r="H219" i="13"/>
  <c r="E273" i="13" l="1"/>
  <c r="D273" i="13"/>
  <c r="F273" i="13" s="1"/>
  <c r="Y273" i="21"/>
  <c r="G220" i="13"/>
  <c r="I220" i="13" s="1"/>
  <c r="X273" i="21"/>
  <c r="W274" i="21" l="1"/>
  <c r="H220" i="13"/>
  <c r="X274" i="21" l="1"/>
  <c r="W275" i="21" s="1"/>
  <c r="X275" i="21" s="1"/>
  <c r="D274" i="13"/>
  <c r="F274" i="13" s="1"/>
  <c r="E274" i="13"/>
  <c r="Y274" i="21"/>
  <c r="G221" i="13"/>
  <c r="I221" i="13" s="1"/>
  <c r="W276" i="21" l="1"/>
  <c r="X276" i="21" s="1"/>
  <c r="H221" i="13"/>
  <c r="D275" i="13"/>
  <c r="F275" i="13" s="1"/>
  <c r="E275" i="13"/>
  <c r="Y275" i="21"/>
  <c r="W277" i="21" l="1"/>
  <c r="X277" i="21" s="1"/>
  <c r="G222" i="13"/>
  <c r="I222" i="13" s="1"/>
  <c r="E276" i="13"/>
  <c r="Y276" i="21"/>
  <c r="D276" i="13"/>
  <c r="F276" i="13" s="1"/>
  <c r="H222" i="13" l="1"/>
  <c r="W278" i="21"/>
  <c r="X278" i="21" s="1"/>
  <c r="D277" i="13"/>
  <c r="F277" i="13" s="1"/>
  <c r="E277" i="13"/>
  <c r="Y277" i="21"/>
  <c r="W279" i="21" l="1"/>
  <c r="E278" i="13"/>
  <c r="D278" i="13"/>
  <c r="F278" i="13" s="1"/>
  <c r="Y278" i="21"/>
  <c r="G223" i="13"/>
  <c r="I223" i="13" s="1"/>
  <c r="H223" i="13" l="1"/>
  <c r="G224" i="13" s="1"/>
  <c r="I224" i="13" s="1"/>
  <c r="E279" i="13"/>
  <c r="D279" i="13"/>
  <c r="F279" i="13" s="1"/>
  <c r="Y279" i="21"/>
  <c r="X279" i="21"/>
  <c r="W280" i="21" l="1"/>
  <c r="X280" i="21" s="1"/>
  <c r="H224" i="13"/>
  <c r="G225" i="13" l="1"/>
  <c r="I225" i="13" s="1"/>
  <c r="W281" i="21"/>
  <c r="D281" i="13" s="1"/>
  <c r="F281" i="13" s="1"/>
  <c r="E280" i="13"/>
  <c r="D280" i="13"/>
  <c r="F280" i="13" s="1"/>
  <c r="Y280" i="21"/>
  <c r="Y281" i="21" l="1"/>
  <c r="E281" i="13"/>
  <c r="X281" i="21"/>
  <c r="H225" i="13"/>
  <c r="G226" i="13" l="1"/>
  <c r="I226" i="13" s="1"/>
  <c r="W282" i="21"/>
  <c r="H226" i="13" l="1"/>
  <c r="G227" i="13" s="1"/>
  <c r="I227" i="13" s="1"/>
  <c r="E282" i="13"/>
  <c r="D282" i="13"/>
  <c r="F282" i="13" s="1"/>
  <c r="Y282" i="21"/>
  <c r="X282" i="21"/>
  <c r="W283" i="21" l="1"/>
  <c r="H227" i="13"/>
  <c r="D283" i="13" l="1"/>
  <c r="F283" i="13" s="1"/>
  <c r="E283" i="13"/>
  <c r="Y283" i="21"/>
  <c r="G228" i="13"/>
  <c r="I228" i="13" s="1"/>
  <c r="X283" i="21"/>
  <c r="W284" i="21" l="1"/>
  <c r="H228" i="13"/>
  <c r="X284" i="21" l="1"/>
  <c r="W285" i="21" s="1"/>
  <c r="D284" i="13"/>
  <c r="F284" i="13" s="1"/>
  <c r="G229" i="13"/>
  <c r="I229" i="13" s="1"/>
  <c r="Y284" i="21"/>
  <c r="E284" i="13"/>
  <c r="H229" i="13" l="1"/>
  <c r="E285" i="13"/>
  <c r="Y285" i="21"/>
  <c r="X285" i="21"/>
  <c r="W286" i="21" l="1"/>
  <c r="G230" i="13"/>
  <c r="I230" i="13" s="1"/>
  <c r="H230" i="13" l="1"/>
  <c r="E286" i="13"/>
  <c r="Y286" i="21"/>
  <c r="X286" i="21"/>
  <c r="W287" i="21" l="1"/>
  <c r="G231" i="13"/>
  <c r="I231" i="13" s="1"/>
  <c r="D287" i="13" l="1"/>
  <c r="F287" i="13" s="1"/>
  <c r="E287" i="13"/>
  <c r="Y287" i="21"/>
  <c r="H231" i="13"/>
  <c r="X287" i="21"/>
  <c r="G232" i="13" l="1"/>
  <c r="I232" i="13" s="1"/>
  <c r="W288" i="21"/>
  <c r="X288" i="21" s="1"/>
  <c r="H232" i="13" l="1"/>
  <c r="G233" i="13" s="1"/>
  <c r="I233" i="13" s="1"/>
  <c r="W289" i="21"/>
  <c r="X289" i="21" s="1"/>
  <c r="D288" i="13"/>
  <c r="F288" i="13" s="1"/>
  <c r="E288" i="13"/>
  <c r="Y288" i="21"/>
  <c r="H233" i="13" l="1"/>
  <c r="W290" i="21"/>
  <c r="X290" i="21" s="1"/>
  <c r="D289" i="13"/>
  <c r="F289" i="13" s="1"/>
  <c r="E289" i="13"/>
  <c r="Y289" i="21"/>
  <c r="D290" i="13" l="1"/>
  <c r="F290" i="13" s="1"/>
  <c r="E290" i="13"/>
  <c r="Y290" i="21"/>
  <c r="W291" i="21"/>
  <c r="G234" i="13"/>
  <c r="I234" i="13" s="1"/>
  <c r="X291" i="21" l="1"/>
  <c r="W292" i="21" s="1"/>
  <c r="X292" i="21" s="1"/>
  <c r="D291" i="13"/>
  <c r="F291" i="13" s="1"/>
  <c r="H234" i="13"/>
  <c r="E291" i="13"/>
  <c r="Y291" i="21"/>
  <c r="W293" i="21" l="1"/>
  <c r="G235" i="13"/>
  <c r="I235" i="13" s="1"/>
  <c r="E292" i="13"/>
  <c r="D292" i="13"/>
  <c r="F292" i="13" s="1"/>
  <c r="Y292" i="21"/>
  <c r="H235" i="13" l="1"/>
  <c r="D293" i="13"/>
  <c r="F293" i="13" s="1"/>
  <c r="E293" i="13"/>
  <c r="Y293" i="21"/>
  <c r="X293" i="21"/>
  <c r="W294" i="21" l="1"/>
  <c r="X294" i="21" s="1"/>
  <c r="G236" i="13"/>
  <c r="I236" i="13" s="1"/>
  <c r="H236" i="13" l="1"/>
  <c r="E294" i="13"/>
  <c r="D294" i="13"/>
  <c r="F294" i="13" s="1"/>
  <c r="Y294" i="21"/>
  <c r="W295" i="21"/>
  <c r="X295" i="21" s="1"/>
  <c r="D295" i="13" l="1"/>
  <c r="F295" i="13" s="1"/>
  <c r="Y295" i="21"/>
  <c r="E295" i="13"/>
  <c r="W296" i="21"/>
  <c r="X296" i="21" s="1"/>
  <c r="G237" i="13"/>
  <c r="I237" i="13" s="1"/>
  <c r="W297" i="21" l="1"/>
  <c r="X297" i="21" s="1"/>
  <c r="H237" i="13"/>
  <c r="Y296" i="21"/>
  <c r="E296" i="13"/>
  <c r="D296" i="13"/>
  <c r="F296" i="13" s="1"/>
  <c r="W298" i="21" l="1"/>
  <c r="X298" i="21" s="1"/>
  <c r="G238" i="13"/>
  <c r="I238" i="13" s="1"/>
  <c r="D297" i="13"/>
  <c r="F297" i="13" s="1"/>
  <c r="E297" i="13"/>
  <c r="Y297" i="21"/>
  <c r="W299" i="21" l="1"/>
  <c r="H238" i="13"/>
  <c r="Y298" i="21"/>
  <c r="D298" i="13"/>
  <c r="F298" i="13" s="1"/>
  <c r="E298" i="13"/>
  <c r="G239" i="13" l="1"/>
  <c r="I239" i="13" s="1"/>
  <c r="D299" i="13"/>
  <c r="F299" i="13" s="1"/>
  <c r="E299" i="13"/>
  <c r="Y299" i="21"/>
  <c r="X299" i="21"/>
  <c r="W300" i="21" l="1"/>
  <c r="H239" i="13"/>
  <c r="G240" i="13" l="1"/>
  <c r="I240" i="13" s="1"/>
  <c r="E300" i="13"/>
  <c r="D300" i="13"/>
  <c r="F300" i="13" s="1"/>
  <c r="Y300" i="21"/>
  <c r="X300" i="21"/>
  <c r="H240" i="13" l="1"/>
  <c r="G241" i="13" s="1"/>
  <c r="I241" i="13" s="1"/>
  <c r="W301" i="21"/>
  <c r="H241" i="13" l="1"/>
  <c r="G242" i="13" s="1"/>
  <c r="I242" i="13" s="1"/>
  <c r="D301" i="13"/>
  <c r="F301" i="13" s="1"/>
  <c r="E301" i="13"/>
  <c r="Y301" i="21"/>
  <c r="X301" i="21"/>
  <c r="W302" i="21" l="1"/>
  <c r="X302" i="21" s="1"/>
  <c r="H242" i="13"/>
  <c r="G243" i="13" l="1"/>
  <c r="I243" i="13" s="1"/>
  <c r="W303" i="21"/>
  <c r="X303" i="21" s="1"/>
  <c r="D302" i="13"/>
  <c r="F302" i="13" s="1"/>
  <c r="E302" i="13"/>
  <c r="Y302" i="21"/>
  <c r="H243" i="13" l="1"/>
  <c r="G244" i="13" s="1"/>
  <c r="I244" i="13" s="1"/>
  <c r="W304" i="21"/>
  <c r="X304" i="21" s="1"/>
  <c r="D303" i="13"/>
  <c r="F303" i="13" s="1"/>
  <c r="E303" i="13"/>
  <c r="Y303" i="21"/>
  <c r="W305" i="21" l="1"/>
  <c r="X305" i="21" s="1"/>
  <c r="D304" i="13"/>
  <c r="F304" i="13" s="1"/>
  <c r="Y304" i="21"/>
  <c r="E304" i="13"/>
  <c r="H244" i="13"/>
  <c r="W306" i="21" l="1"/>
  <c r="X306" i="21" s="1"/>
  <c r="G245" i="13"/>
  <c r="I245" i="13" s="1"/>
  <c r="D305" i="13"/>
  <c r="F305" i="13" s="1"/>
  <c r="E305" i="13"/>
  <c r="Y305" i="21"/>
  <c r="H245" i="13" l="1"/>
  <c r="W307" i="21"/>
  <c r="X307" i="21" s="1"/>
  <c r="E306" i="13"/>
  <c r="D306" i="13"/>
  <c r="F306" i="13" s="1"/>
  <c r="Y306" i="21"/>
  <c r="W308" i="21" l="1"/>
  <c r="X308" i="21" s="1"/>
  <c r="D307" i="13"/>
  <c r="F307" i="13" s="1"/>
  <c r="Y307" i="21"/>
  <c r="E307" i="13"/>
  <c r="G246" i="13"/>
  <c r="I246" i="13" s="1"/>
  <c r="H246" i="13" l="1"/>
  <c r="W309" i="21"/>
  <c r="D308" i="13"/>
  <c r="F308" i="13" s="1"/>
  <c r="Y308" i="21"/>
  <c r="E308" i="13"/>
  <c r="E309" i="13" l="1"/>
  <c r="D309" i="13"/>
  <c r="F309" i="13" s="1"/>
  <c r="Y309" i="21"/>
  <c r="G247" i="13"/>
  <c r="I247" i="13" s="1"/>
  <c r="X309" i="21"/>
  <c r="H247" i="13" l="1"/>
  <c r="G248" i="13" s="1"/>
  <c r="I248" i="13" s="1"/>
  <c r="W310" i="21"/>
  <c r="X310" i="21" s="1"/>
  <c r="W311" i="21" l="1"/>
  <c r="X311" i="21" s="1"/>
  <c r="D310" i="13"/>
  <c r="F310" i="13" s="1"/>
  <c r="Y310" i="21"/>
  <c r="E310" i="13"/>
  <c r="H248" i="13"/>
  <c r="W312" i="21" l="1"/>
  <c r="G249" i="13"/>
  <c r="I249" i="13" s="1"/>
  <c r="Y311" i="21"/>
  <c r="D311" i="13"/>
  <c r="F311" i="13" s="1"/>
  <c r="E311" i="13"/>
  <c r="E312" i="13" l="1"/>
  <c r="D312" i="13"/>
  <c r="F312" i="13" s="1"/>
  <c r="Y312" i="21"/>
  <c r="H249" i="13"/>
  <c r="X312" i="21"/>
  <c r="W313" i="21" l="1"/>
  <c r="G250" i="13"/>
  <c r="I250" i="13" s="1"/>
  <c r="D313" i="13" l="1"/>
  <c r="F313" i="13" s="1"/>
  <c r="E313" i="13"/>
  <c r="Y313" i="21"/>
  <c r="H250" i="13"/>
  <c r="X313" i="21"/>
  <c r="G251" i="13" l="1"/>
  <c r="I251" i="13" s="1"/>
  <c r="W314" i="21"/>
  <c r="X314" i="21" s="1"/>
  <c r="H251" i="13" l="1"/>
  <c r="W315" i="21"/>
  <c r="D314" i="13"/>
  <c r="F314" i="13" s="1"/>
  <c r="E314" i="13"/>
  <c r="Y314" i="21"/>
  <c r="D315" i="13" l="1"/>
  <c r="F315" i="13" s="1"/>
  <c r="E315" i="13"/>
  <c r="Y315" i="21"/>
  <c r="G252" i="13"/>
  <c r="I252" i="13" s="1"/>
  <c r="X315" i="21"/>
  <c r="W316" i="21" l="1"/>
  <c r="H252" i="13"/>
  <c r="E316" i="13" l="1"/>
  <c r="D316" i="13"/>
  <c r="F316" i="13" s="1"/>
  <c r="Y316" i="21"/>
  <c r="G253" i="13"/>
  <c r="I253" i="13" s="1"/>
  <c r="X316" i="21"/>
  <c r="W317" i="21" l="1"/>
  <c r="H253" i="13"/>
  <c r="D317" i="13" l="1"/>
  <c r="F317" i="13" s="1"/>
  <c r="Y317" i="21"/>
  <c r="E317" i="13"/>
  <c r="X317" i="21"/>
  <c r="G254" i="13"/>
  <c r="I254" i="13" s="1"/>
  <c r="W318" i="21" l="1"/>
  <c r="X318" i="21" s="1"/>
  <c r="H254" i="13"/>
  <c r="W319" i="21" l="1"/>
  <c r="X319" i="21" s="1"/>
  <c r="G255" i="13"/>
  <c r="I255" i="13" s="1"/>
  <c r="E318" i="13"/>
  <c r="D318" i="13"/>
  <c r="F318" i="13" s="1"/>
  <c r="Y318" i="21"/>
  <c r="H255" i="13" l="1"/>
  <c r="W320" i="21"/>
  <c r="X320" i="21" s="1"/>
  <c r="E319" i="13"/>
  <c r="D319" i="13"/>
  <c r="F319" i="13" s="1"/>
  <c r="Y319" i="21"/>
  <c r="W321" i="21" l="1"/>
  <c r="D320" i="13"/>
  <c r="F320" i="13" s="1"/>
  <c r="Y320" i="21"/>
  <c r="E320" i="13"/>
  <c r="G256" i="13"/>
  <c r="I256" i="13" s="1"/>
  <c r="E321" i="13" l="1"/>
  <c r="D321" i="13"/>
  <c r="F321" i="13" s="1"/>
  <c r="Y321" i="21"/>
  <c r="H256" i="13"/>
  <c r="X321" i="21"/>
  <c r="W322" i="21" l="1"/>
  <c r="X322" i="21" s="1"/>
  <c r="G257" i="13"/>
  <c r="I257" i="13" s="1"/>
  <c r="W323" i="21" l="1"/>
  <c r="X323" i="21" s="1"/>
  <c r="H257" i="13"/>
  <c r="D322" i="13"/>
  <c r="F322" i="13" s="1"/>
  <c r="E322" i="13"/>
  <c r="Y322" i="21"/>
  <c r="G258" i="13" l="1"/>
  <c r="I258" i="13" s="1"/>
  <c r="W324" i="21"/>
  <c r="X324" i="21" s="1"/>
  <c r="D323" i="13"/>
  <c r="F323" i="13" s="1"/>
  <c r="Y323" i="21"/>
  <c r="E323" i="13"/>
  <c r="H258" i="13" l="1"/>
  <c r="W325" i="21"/>
  <c r="E324" i="13"/>
  <c r="Y324" i="21"/>
  <c r="X325" i="21" l="1"/>
  <c r="W326" i="21" s="1"/>
  <c r="D326" i="13" s="1"/>
  <c r="F326" i="13" s="1"/>
  <c r="D325" i="13"/>
  <c r="F325" i="13" s="1"/>
  <c r="G259" i="13"/>
  <c r="I259" i="13" s="1"/>
  <c r="Y325" i="21"/>
  <c r="E325" i="13"/>
  <c r="H259" i="13" l="1"/>
  <c r="G260" i="13" s="1"/>
  <c r="I260" i="13" s="1"/>
  <c r="E326" i="13"/>
  <c r="Y326" i="21"/>
  <c r="X326" i="21"/>
  <c r="H260" i="13" l="1"/>
  <c r="G261" i="13" s="1"/>
  <c r="I261" i="13" s="1"/>
  <c r="W327" i="21"/>
  <c r="X327" i="21" l="1"/>
  <c r="W328" i="21" s="1"/>
  <c r="D327" i="13"/>
  <c r="F327" i="13" s="1"/>
  <c r="H261" i="13"/>
  <c r="E327" i="13"/>
  <c r="Y327" i="21"/>
  <c r="X328" i="21" l="1"/>
  <c r="W329" i="21" s="1"/>
  <c r="D328" i="13"/>
  <c r="F328" i="13" s="1"/>
  <c r="E328" i="13"/>
  <c r="Y328" i="21"/>
  <c r="G262" i="13"/>
  <c r="I262" i="13" s="1"/>
  <c r="X329" i="21" l="1"/>
  <c r="W330" i="21" s="1"/>
  <c r="D329" i="13"/>
  <c r="F329" i="13" s="1"/>
  <c r="E329" i="13"/>
  <c r="Y329" i="21"/>
  <c r="H262" i="13"/>
  <c r="X330" i="21" l="1"/>
  <c r="W331" i="21" s="1"/>
  <c r="D331" i="13" s="1"/>
  <c r="F331" i="13" s="1"/>
  <c r="D330" i="13"/>
  <c r="F330" i="13" s="1"/>
  <c r="G263" i="13"/>
  <c r="I263" i="13" s="1"/>
  <c r="E330" i="13"/>
  <c r="Y330" i="21"/>
  <c r="H263" i="13" l="1"/>
  <c r="G264" i="13" s="1"/>
  <c r="I264" i="13" s="1"/>
  <c r="E331" i="13"/>
  <c r="Y331" i="21"/>
  <c r="X331" i="21"/>
  <c r="H264" i="13" l="1"/>
  <c r="W332" i="21"/>
  <c r="D332" i="13" s="1"/>
  <c r="F332" i="13" s="1"/>
  <c r="Y332" i="21" l="1"/>
  <c r="E332" i="13"/>
  <c r="X332" i="21"/>
  <c r="G265" i="13"/>
  <c r="I265" i="13" s="1"/>
  <c r="H265" i="13" l="1"/>
  <c r="W333" i="21"/>
  <c r="X333" i="21" s="1"/>
  <c r="G266" i="13" l="1"/>
  <c r="I266" i="13" s="1"/>
  <c r="W334" i="21"/>
  <c r="Y333" i="21"/>
  <c r="E333" i="13"/>
  <c r="H266" i="13" l="1"/>
  <c r="E334" i="13"/>
  <c r="Y334" i="21"/>
  <c r="D334" i="13"/>
  <c r="F334" i="13" s="1"/>
  <c r="X334" i="21"/>
  <c r="W335" i="21" l="1"/>
  <c r="X335" i="21" s="1"/>
  <c r="G267" i="13"/>
  <c r="I267" i="13" s="1"/>
  <c r="H267" i="13" l="1"/>
  <c r="W336" i="21"/>
  <c r="E335" i="13"/>
  <c r="D335" i="13"/>
  <c r="F335" i="13" s="1"/>
  <c r="Y335" i="21"/>
  <c r="D336" i="13" l="1"/>
  <c r="F336" i="13" s="1"/>
  <c r="Y336" i="21"/>
  <c r="E336" i="13"/>
  <c r="X336" i="21"/>
  <c r="G268" i="13"/>
  <c r="I268" i="13" s="1"/>
  <c r="H268" i="13" l="1"/>
  <c r="W337" i="21"/>
  <c r="X337" i="21" s="1"/>
  <c r="G269" i="13" l="1"/>
  <c r="I269" i="13" s="1"/>
  <c r="D337" i="13"/>
  <c r="F337" i="13" s="1"/>
  <c r="Y337" i="21"/>
  <c r="E337" i="13"/>
  <c r="W338" i="21"/>
  <c r="X338" i="21" s="1"/>
  <c r="W339" i="21" l="1"/>
  <c r="X339" i="21" s="1"/>
  <c r="D338" i="13"/>
  <c r="F338" i="13" s="1"/>
  <c r="Y338" i="21"/>
  <c r="E338" i="13"/>
  <c r="H269" i="13"/>
  <c r="G270" i="13" l="1"/>
  <c r="I270" i="13" s="1"/>
  <c r="W340" i="21"/>
  <c r="X340" i="21" s="1"/>
  <c r="D339" i="13"/>
  <c r="F339" i="13" s="1"/>
  <c r="E339" i="13"/>
  <c r="Y339" i="21"/>
  <c r="W341" i="21" l="1"/>
  <c r="X341" i="21" s="1"/>
  <c r="D340" i="13"/>
  <c r="F340" i="13" s="1"/>
  <c r="Y340" i="21"/>
  <c r="E340" i="13"/>
  <c r="H270" i="13"/>
  <c r="G271" i="13" l="1"/>
  <c r="I271" i="13" s="1"/>
  <c r="D341" i="13"/>
  <c r="F341" i="13" s="1"/>
  <c r="E341" i="13"/>
  <c r="Y341" i="21"/>
  <c r="W342" i="21"/>
  <c r="D342" i="13" l="1"/>
  <c r="F342" i="13" s="1"/>
  <c r="E342" i="13"/>
  <c r="Y342" i="21"/>
  <c r="X342" i="21"/>
  <c r="H271" i="13"/>
  <c r="G272" i="13" l="1"/>
  <c r="I272" i="13" s="1"/>
  <c r="W343" i="21"/>
  <c r="X343" i="21" l="1"/>
  <c r="W344" i="21" s="1"/>
  <c r="D343" i="13"/>
  <c r="F343" i="13" s="1"/>
  <c r="E343" i="13"/>
  <c r="Y343" i="21"/>
  <c r="H272" i="13"/>
  <c r="X344" i="21" l="1"/>
  <c r="W345" i="21" s="1"/>
  <c r="D344" i="13"/>
  <c r="F344" i="13" s="1"/>
  <c r="G273" i="13"/>
  <c r="I273" i="13" s="1"/>
  <c r="Y344" i="21"/>
  <c r="E344" i="13"/>
  <c r="X345" i="21" l="1"/>
  <c r="W346" i="21" s="1"/>
  <c r="D345" i="13"/>
  <c r="F345" i="13" s="1"/>
  <c r="Y345" i="21"/>
  <c r="E345" i="13"/>
  <c r="H273" i="13"/>
  <c r="X346" i="21" l="1"/>
  <c r="W347" i="21" s="1"/>
  <c r="D346" i="13"/>
  <c r="F346" i="13" s="1"/>
  <c r="G274" i="13"/>
  <c r="I274" i="13" s="1"/>
  <c r="E346" i="13"/>
  <c r="Y346" i="21"/>
  <c r="X347" i="21" l="1"/>
  <c r="W348" i="21" s="1"/>
  <c r="D348" i="13" s="1"/>
  <c r="F348" i="13" s="1"/>
  <c r="D347" i="13"/>
  <c r="F347" i="13" s="1"/>
  <c r="H274" i="13"/>
  <c r="E347" i="13"/>
  <c r="Y347" i="21"/>
  <c r="X348" i="21" l="1"/>
  <c r="W349" i="21" s="1"/>
  <c r="G275" i="13"/>
  <c r="I275" i="13" s="1"/>
  <c r="Y348" i="21"/>
  <c r="E348" i="13"/>
  <c r="D349" i="13" l="1"/>
  <c r="F349" i="13" s="1"/>
  <c r="Y349" i="21"/>
  <c r="E349" i="13"/>
  <c r="X349" i="21"/>
  <c r="H275" i="13"/>
  <c r="G276" i="13" l="1"/>
  <c r="I276" i="13" s="1"/>
  <c r="W350" i="21"/>
  <c r="X350" i="21" s="1"/>
  <c r="W351" i="21" l="1"/>
  <c r="X351" i="21" s="1"/>
  <c r="D350" i="13"/>
  <c r="F350" i="13" s="1"/>
  <c r="Y350" i="21"/>
  <c r="E350" i="13"/>
  <c r="H276" i="13"/>
  <c r="G277" i="13" l="1"/>
  <c r="I277" i="13" s="1"/>
  <c r="W352" i="21"/>
  <c r="X352" i="21" s="1"/>
  <c r="E351" i="13"/>
  <c r="Y351" i="21"/>
  <c r="D351" i="13"/>
  <c r="F351" i="13" s="1"/>
  <c r="W353" i="21" l="1"/>
  <c r="D352" i="13"/>
  <c r="F352" i="13" s="1"/>
  <c r="Y352" i="21"/>
  <c r="E352" i="13"/>
  <c r="H277" i="13"/>
  <c r="D353" i="13" l="1"/>
  <c r="F353" i="13" s="1"/>
  <c r="Y353" i="21"/>
  <c r="E353" i="13"/>
  <c r="G278" i="13"/>
  <c r="I278" i="13" s="1"/>
  <c r="X353" i="21"/>
  <c r="H278" i="13" l="1"/>
  <c r="G279" i="13" s="1"/>
  <c r="I279" i="13" s="1"/>
  <c r="W354" i="21"/>
  <c r="D354" i="13" l="1"/>
  <c r="F354" i="13" s="1"/>
  <c r="E354" i="13"/>
  <c r="Y354" i="21"/>
  <c r="X354" i="21"/>
  <c r="H279" i="13"/>
  <c r="G280" i="13" l="1"/>
  <c r="I280" i="13" s="1"/>
  <c r="W355" i="21"/>
  <c r="X355" i="21" s="1"/>
  <c r="W356" i="21" l="1"/>
  <c r="D355" i="13"/>
  <c r="F355" i="13" s="1"/>
  <c r="E355" i="13"/>
  <c r="Y355" i="21"/>
  <c r="H280" i="13"/>
  <c r="Y356" i="21" l="1"/>
  <c r="E356" i="13"/>
  <c r="D356" i="13"/>
  <c r="F356" i="13" s="1"/>
  <c r="G281" i="13"/>
  <c r="I281" i="13" s="1"/>
  <c r="X356" i="21"/>
  <c r="W357" i="21" l="1"/>
  <c r="X357" i="21" s="1"/>
  <c r="H281" i="13"/>
  <c r="W358" i="21" l="1"/>
  <c r="G282" i="13"/>
  <c r="I282" i="13" s="1"/>
  <c r="D357" i="13"/>
  <c r="F357" i="13" s="1"/>
  <c r="E357" i="13"/>
  <c r="Y357" i="21"/>
  <c r="H282" i="13" l="1"/>
  <c r="D358" i="13"/>
  <c r="F358" i="13" s="1"/>
  <c r="E358" i="13"/>
  <c r="Y358" i="21"/>
  <c r="X358" i="21"/>
  <c r="G283" i="13" l="1"/>
  <c r="I283" i="13" s="1"/>
  <c r="W359" i="21"/>
  <c r="X359" i="21" l="1"/>
  <c r="W360" i="21" s="1"/>
  <c r="X360" i="21" s="1"/>
  <c r="D359" i="13"/>
  <c r="F359" i="13" s="1"/>
  <c r="H283" i="13"/>
  <c r="G284" i="13" s="1"/>
  <c r="I284" i="13" s="1"/>
  <c r="E359" i="13"/>
  <c r="Y359" i="21"/>
  <c r="H284" i="13" l="1"/>
  <c r="G285" i="13" s="1"/>
  <c r="I285" i="13" s="1"/>
  <c r="W361" i="21"/>
  <c r="X361" i="21" s="1"/>
  <c r="D360" i="13"/>
  <c r="F360" i="13" s="1"/>
  <c r="Y360" i="21"/>
  <c r="E360" i="13"/>
  <c r="W362" i="21" l="1"/>
  <c r="X362" i="21" s="1"/>
  <c r="H285" i="13"/>
  <c r="D361" i="13"/>
  <c r="F361" i="13" s="1"/>
  <c r="Y361" i="21"/>
  <c r="E361" i="13"/>
  <c r="G286" i="13" l="1"/>
  <c r="I286" i="13" s="1"/>
  <c r="W363" i="21"/>
  <c r="X363" i="21" s="1"/>
  <c r="D362" i="13"/>
  <c r="F362" i="13" s="1"/>
  <c r="Y362" i="21"/>
  <c r="E362" i="13"/>
  <c r="H286" i="13" l="1"/>
  <c r="G287" i="13" s="1"/>
  <c r="I287" i="13" s="1"/>
  <c r="W364" i="21"/>
  <c r="Y363" i="21"/>
  <c r="E363" i="13"/>
  <c r="D363" i="13"/>
  <c r="F363" i="13" s="1"/>
  <c r="X364" i="21" l="1"/>
  <c r="D364" i="13"/>
  <c r="F364" i="13" s="1"/>
  <c r="Y364" i="21"/>
  <c r="E364" i="13"/>
  <c r="H287" i="13"/>
  <c r="W365" i="21" l="1"/>
  <c r="D365" i="13" s="1"/>
  <c r="F365" i="13" s="1"/>
  <c r="G288" i="13"/>
  <c r="I288" i="13" s="1"/>
  <c r="X365" i="21" l="1"/>
  <c r="W366" i="21" s="1"/>
  <c r="X366" i="21" s="1"/>
  <c r="W367" i="21" s="1"/>
  <c r="E365" i="13"/>
  <c r="Y365" i="21"/>
  <c r="H288" i="13"/>
  <c r="E366" i="13" l="1"/>
  <c r="Y366" i="21"/>
  <c r="D366" i="13"/>
  <c r="F366" i="13" s="1"/>
  <c r="D367" i="13"/>
  <c r="F367" i="13" s="1"/>
  <c r="E367" i="13"/>
  <c r="Y367" i="21"/>
  <c r="X367" i="21"/>
  <c r="G289" i="13"/>
  <c r="I289" i="13" s="1"/>
  <c r="W368" i="21" l="1"/>
  <c r="H289" i="13"/>
  <c r="Y368" i="21" l="1"/>
  <c r="E368" i="13"/>
  <c r="D368" i="13"/>
  <c r="F368" i="13" s="1"/>
  <c r="G290" i="13"/>
  <c r="I290" i="13" s="1"/>
  <c r="X368" i="21"/>
  <c r="W369" i="21" l="1"/>
  <c r="X369" i="21" s="1"/>
  <c r="H290" i="13"/>
  <c r="G291" i="13" l="1"/>
  <c r="I291" i="13" s="1"/>
  <c r="W370" i="21"/>
  <c r="D369" i="13"/>
  <c r="F369" i="13" s="1"/>
  <c r="Y369" i="21"/>
  <c r="E369" i="13"/>
  <c r="D370" i="13" l="1"/>
  <c r="F370" i="13" s="1"/>
  <c r="E370" i="13"/>
  <c r="Y370" i="21"/>
  <c r="X370" i="21"/>
  <c r="H291" i="13"/>
  <c r="G292" i="13" l="1"/>
  <c r="I292" i="13" s="1"/>
  <c r="W371" i="21"/>
  <c r="H292" i="13" l="1"/>
  <c r="D371" i="13"/>
  <c r="F371" i="13" s="1"/>
  <c r="E371" i="13"/>
  <c r="Y371" i="21"/>
  <c r="X371" i="21"/>
  <c r="W372" i="21" l="1"/>
  <c r="X372" i="21" s="1"/>
  <c r="G293" i="13"/>
  <c r="I293" i="13" s="1"/>
  <c r="H293" i="13" l="1"/>
  <c r="W373" i="21"/>
  <c r="D372" i="13"/>
  <c r="E372" i="13"/>
  <c r="Y372" i="21"/>
  <c r="X373" i="21" l="1"/>
  <c r="W374" i="21" s="1"/>
  <c r="D373" i="13"/>
  <c r="F373" i="13" s="1"/>
  <c r="F372" i="13"/>
  <c r="E373" i="13"/>
  <c r="Y373" i="21"/>
  <c r="G294" i="13"/>
  <c r="I294" i="13" s="1"/>
  <c r="X374" i="21" l="1"/>
  <c r="W375" i="21" s="1"/>
  <c r="D375" i="13" s="1"/>
  <c r="F375" i="13" s="1"/>
  <c r="D374" i="13"/>
  <c r="H294" i="13"/>
  <c r="Y374" i="21"/>
  <c r="E374" i="13"/>
  <c r="F374" i="13" l="1"/>
  <c r="Y375" i="21"/>
  <c r="E375" i="13"/>
  <c r="X375" i="21"/>
  <c r="G295" i="13"/>
  <c r="I295" i="13" s="1"/>
  <c r="W376" i="21" l="1"/>
  <c r="H295" i="13"/>
  <c r="X376" i="21" l="1"/>
  <c r="D376" i="13"/>
  <c r="G296" i="13"/>
  <c r="I296" i="13" s="1"/>
  <c r="Y376" i="21"/>
  <c r="Y377" i="21" s="1"/>
  <c r="E376" i="13"/>
  <c r="W377" i="21"/>
  <c r="F376" i="13" l="1"/>
  <c r="F6" i="13" s="1"/>
  <c r="F4" i="13"/>
  <c r="H296" i="13"/>
  <c r="E15" i="20" l="1"/>
  <c r="F15" i="20" s="1"/>
  <c r="B8" i="24"/>
  <c r="G297" i="13"/>
  <c r="I297" i="13" s="1"/>
  <c r="H297" i="13" l="1"/>
  <c r="G298" i="13" l="1"/>
  <c r="I298" i="13" s="1"/>
  <c r="H298" i="13" l="1"/>
  <c r="G299" i="13" l="1"/>
  <c r="I299" i="13" s="1"/>
  <c r="H299" i="13" l="1"/>
  <c r="G300" i="13" l="1"/>
  <c r="I300" i="13" s="1"/>
  <c r="H300" i="13" l="1"/>
  <c r="G301" i="13" l="1"/>
  <c r="I301" i="13" s="1"/>
  <c r="H301" i="13" l="1"/>
  <c r="G302" i="13" s="1"/>
  <c r="I302" i="13" s="1"/>
  <c r="H302" i="13" l="1"/>
  <c r="G303" i="13" l="1"/>
  <c r="I303" i="13" s="1"/>
  <c r="H303" i="13" l="1"/>
  <c r="G304" i="13" l="1"/>
  <c r="I304" i="13" s="1"/>
  <c r="H304" i="13" l="1"/>
  <c r="G305" i="13" l="1"/>
  <c r="I305" i="13" s="1"/>
  <c r="H305" i="13" l="1"/>
  <c r="G306" i="13" l="1"/>
  <c r="I306" i="13" s="1"/>
  <c r="H306" i="13" l="1"/>
  <c r="G307" i="13" l="1"/>
  <c r="I307" i="13" s="1"/>
  <c r="H307" i="13" l="1"/>
  <c r="G308" i="13" l="1"/>
  <c r="I308" i="13" s="1"/>
  <c r="H308" i="13" l="1"/>
  <c r="G309" i="13" l="1"/>
  <c r="I309" i="13" s="1"/>
  <c r="H309" i="13" l="1"/>
  <c r="G310" i="13" s="1"/>
  <c r="I310" i="13" s="1"/>
  <c r="H310" i="13" l="1"/>
  <c r="G311" i="13" l="1"/>
  <c r="I311" i="13" s="1"/>
  <c r="H311" i="13" l="1"/>
  <c r="G312" i="13" s="1"/>
  <c r="I312" i="13" s="1"/>
  <c r="H312" i="13" l="1"/>
  <c r="G313" i="13" l="1"/>
  <c r="I313" i="13" s="1"/>
  <c r="H313" i="13" l="1"/>
  <c r="G314" i="13" l="1"/>
  <c r="I314" i="13" s="1"/>
  <c r="H314" i="13" l="1"/>
  <c r="G315" i="13" s="1"/>
  <c r="I315" i="13" s="1"/>
  <c r="H315" i="13" l="1"/>
  <c r="G316" i="13" l="1"/>
  <c r="I316" i="13" s="1"/>
  <c r="H316" i="13" l="1"/>
  <c r="G317" i="13" l="1"/>
  <c r="I317" i="13" s="1"/>
  <c r="H317" i="13" l="1"/>
  <c r="G318" i="13" s="1"/>
  <c r="I318" i="13" s="1"/>
  <c r="H318" i="13" l="1"/>
  <c r="G319" i="13" l="1"/>
  <c r="I319" i="13" s="1"/>
  <c r="H319" i="13" l="1"/>
  <c r="G320" i="13" s="1"/>
  <c r="I320" i="13" s="1"/>
  <c r="H320" i="13" l="1"/>
  <c r="G321" i="13" l="1"/>
  <c r="I321" i="13" s="1"/>
  <c r="H321" i="13" l="1"/>
  <c r="G322" i="13" l="1"/>
  <c r="I322" i="13" s="1"/>
  <c r="H322" i="13" l="1"/>
  <c r="G323" i="13" l="1"/>
  <c r="I323" i="13" s="1"/>
  <c r="H323" i="13" l="1"/>
  <c r="G324" i="13" l="1"/>
  <c r="I324" i="13" s="1"/>
  <c r="H324" i="13" l="1"/>
  <c r="G325" i="13" l="1"/>
  <c r="I325" i="13" s="1"/>
  <c r="H325" i="13" l="1"/>
  <c r="G326" i="13" l="1"/>
  <c r="I326" i="13" s="1"/>
  <c r="H326" i="13" l="1"/>
  <c r="G327" i="13" l="1"/>
  <c r="I327" i="13" s="1"/>
  <c r="H327" i="13" l="1"/>
  <c r="G328" i="13" l="1"/>
  <c r="I328" i="13" s="1"/>
  <c r="H328" i="13" l="1"/>
  <c r="G329" i="13" l="1"/>
  <c r="I329" i="13" s="1"/>
  <c r="H329" i="13" l="1"/>
  <c r="G330" i="13" l="1"/>
  <c r="I330" i="13" s="1"/>
  <c r="H330" i="13" l="1"/>
  <c r="G331" i="13" l="1"/>
  <c r="I331" i="13" s="1"/>
  <c r="H331" i="13" l="1"/>
  <c r="G332" i="13" l="1"/>
  <c r="I332" i="13" s="1"/>
  <c r="H332" i="13" l="1"/>
  <c r="G333" i="13" l="1"/>
  <c r="I333" i="13" s="1"/>
  <c r="H333" i="13" l="1"/>
  <c r="G334" i="13" l="1"/>
  <c r="I334" i="13" s="1"/>
  <c r="H334" i="13" l="1"/>
  <c r="G335" i="13" l="1"/>
  <c r="I335" i="13" s="1"/>
  <c r="H335" i="13" l="1"/>
  <c r="G336" i="13" l="1"/>
  <c r="I336" i="13" s="1"/>
  <c r="H336" i="13" l="1"/>
  <c r="G337" i="13" l="1"/>
  <c r="I337" i="13" s="1"/>
  <c r="H337" i="13" l="1"/>
  <c r="G338" i="13" l="1"/>
  <c r="I338" i="13" s="1"/>
  <c r="H338" i="13" l="1"/>
  <c r="G339" i="13" l="1"/>
  <c r="I339" i="13" s="1"/>
  <c r="H339" i="13" l="1"/>
  <c r="G340" i="13" l="1"/>
  <c r="I340" i="13" s="1"/>
  <c r="H340" i="13" l="1"/>
  <c r="G341" i="13" l="1"/>
  <c r="I341" i="13" s="1"/>
  <c r="H341" i="13" l="1"/>
  <c r="G342" i="13" l="1"/>
  <c r="I342" i="13" s="1"/>
  <c r="H342" i="13" l="1"/>
  <c r="G343" i="13" l="1"/>
  <c r="I343" i="13" s="1"/>
  <c r="H343" i="13" l="1"/>
  <c r="G344" i="13" l="1"/>
  <c r="I344" i="13" s="1"/>
  <c r="H344" i="13" l="1"/>
  <c r="G345" i="13" l="1"/>
  <c r="I345" i="13" s="1"/>
  <c r="H345" i="13" l="1"/>
  <c r="G346" i="13" l="1"/>
  <c r="I346" i="13" s="1"/>
  <c r="H346" i="13" l="1"/>
  <c r="G347" i="13" l="1"/>
  <c r="I347" i="13" s="1"/>
  <c r="H347" i="13" l="1"/>
  <c r="G348" i="13" l="1"/>
  <c r="I348" i="13" s="1"/>
  <c r="H348" i="13" l="1"/>
  <c r="G349" i="13" l="1"/>
  <c r="I349" i="13" s="1"/>
  <c r="H349" i="13" l="1"/>
  <c r="G350" i="13" l="1"/>
  <c r="I350" i="13" s="1"/>
  <c r="H350" i="13" l="1"/>
  <c r="G351" i="13" l="1"/>
  <c r="I351" i="13" s="1"/>
  <c r="H351" i="13" l="1"/>
  <c r="G352" i="13" l="1"/>
  <c r="I352" i="13" s="1"/>
  <c r="H352" i="13" l="1"/>
  <c r="G353" i="13" l="1"/>
  <c r="I353" i="13" s="1"/>
  <c r="H353" i="13" l="1"/>
  <c r="G354" i="13" l="1"/>
  <c r="I354" i="13" s="1"/>
  <c r="H354" i="13" l="1"/>
  <c r="G355" i="13" l="1"/>
  <c r="I355" i="13" s="1"/>
  <c r="H355" i="13" l="1"/>
  <c r="G356" i="13" l="1"/>
  <c r="I356" i="13" s="1"/>
  <c r="H356" i="13" l="1"/>
  <c r="G357" i="13" l="1"/>
  <c r="I357" i="13" s="1"/>
  <c r="H357" i="13" l="1"/>
  <c r="G358" i="13" l="1"/>
  <c r="I358" i="13" s="1"/>
  <c r="H358" i="13" l="1"/>
  <c r="G359" i="13" l="1"/>
  <c r="I359" i="13" s="1"/>
  <c r="H359" i="13" l="1"/>
  <c r="G360" i="13" l="1"/>
  <c r="I360" i="13" s="1"/>
  <c r="H360" i="13" l="1"/>
  <c r="G361" i="13" l="1"/>
  <c r="I361" i="13" s="1"/>
  <c r="H361" i="13" l="1"/>
  <c r="G362" i="13" l="1"/>
  <c r="I362" i="13" s="1"/>
  <c r="H362" i="13" l="1"/>
  <c r="G363" i="13" s="1"/>
  <c r="I363" i="13" s="1"/>
  <c r="H363" i="13" l="1"/>
  <c r="G364" i="13" l="1"/>
  <c r="I364" i="13" s="1"/>
  <c r="H364" i="13" l="1"/>
  <c r="G365" i="13" l="1"/>
  <c r="I365" i="13" s="1"/>
  <c r="H365" i="13" l="1"/>
  <c r="G366" i="13" l="1"/>
  <c r="I366" i="13" s="1"/>
  <c r="H366" i="13" l="1"/>
  <c r="G367" i="13" l="1"/>
  <c r="I367" i="13" s="1"/>
  <c r="H367" i="13" l="1"/>
  <c r="G368" i="13" l="1"/>
  <c r="I368" i="13" s="1"/>
  <c r="H368" i="13" l="1"/>
  <c r="G369" i="13" l="1"/>
  <c r="I369" i="13" s="1"/>
  <c r="H369" i="13" l="1"/>
  <c r="G370" i="13" l="1"/>
  <c r="I370" i="13" s="1"/>
  <c r="H370" i="13" l="1"/>
  <c r="G371" i="13" l="1"/>
  <c r="I371" i="13" s="1"/>
  <c r="H371" i="13" l="1"/>
  <c r="G372" i="13" l="1"/>
  <c r="I372" i="13" s="1"/>
  <c r="H372" i="13" l="1"/>
  <c r="G373" i="13" l="1"/>
  <c r="I373" i="13" s="1"/>
  <c r="H373" i="13" l="1"/>
  <c r="G374" i="13" s="1"/>
  <c r="I374" i="13" s="1"/>
  <c r="H374" i="13" l="1"/>
  <c r="G375" i="13" l="1"/>
  <c r="I375" i="13" s="1"/>
  <c r="H375" i="13" l="1"/>
  <c r="G376" i="13" l="1"/>
  <c r="I376" i="13" l="1"/>
  <c r="F3" i="13" s="1"/>
  <c r="F5" i="13"/>
  <c r="H376" i="13"/>
  <c r="B2" i="24" l="1"/>
  <c r="B3" i="24"/>
  <c r="E10" i="20" s="1"/>
  <c r="F10" i="20" s="1"/>
  <c r="B4" i="24"/>
  <c r="E9" i="20" s="1"/>
  <c r="F9" i="20" s="1"/>
  <c r="F8" i="15"/>
  <c r="B2" i="20"/>
  <c r="F2" i="20" s="1"/>
  <c r="I8" i="15" l="1"/>
  <c r="K8" i="15" s="1"/>
  <c r="E11" i="20"/>
  <c r="F11" i="20" s="1"/>
  <c r="B12" i="24"/>
  <c r="F6" i="15" s="1"/>
  <c r="F21" i="20" l="1"/>
  <c r="G5" i="20" s="1"/>
  <c r="F3" i="15" s="1"/>
  <c r="I3" i="15" s="1"/>
  <c r="K3" i="15" s="1"/>
  <c r="I6" i="15"/>
  <c r="K6" i="15" s="1"/>
  <c r="K10" i="1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<sst xmlns="http://schemas.openxmlformats.org/spreadsheetml/2006/main" count="502" uniqueCount="292">
  <si>
    <t>Design Specifications</t>
  </si>
  <si>
    <t>Unit Output</t>
  </si>
  <si>
    <t>Constants</t>
  </si>
  <si>
    <t>Input Value</t>
  </si>
  <si>
    <t>S(C)</t>
  </si>
  <si>
    <t>Weight</t>
  </si>
  <si>
    <t>WDM Value</t>
  </si>
  <si>
    <t>Daily Consumption</t>
  </si>
  <si>
    <t>[L/day]</t>
  </si>
  <si>
    <t>Consumption (C)</t>
  </si>
  <si>
    <t>Catchment Area</t>
  </si>
  <si>
    <t>[m^2]</t>
  </si>
  <si>
    <t>Relative Cost (c_r)</t>
  </si>
  <si>
    <t>Roof Catchment</t>
  </si>
  <si>
    <t>[N/H/F]</t>
  </si>
  <si>
    <t>F</t>
  </si>
  <si>
    <t>H&amp;E Risk Exposure (E)</t>
  </si>
  <si>
    <t>Additional Catchment</t>
  </si>
  <si>
    <t>Power system GHGs (G)</t>
  </si>
  <si>
    <t>Collection Tank</t>
  </si>
  <si>
    <t>[0.4/1.5/2.5/10 m^3]</t>
  </si>
  <si>
    <t>Maintenance occurences (M)</t>
  </si>
  <si>
    <t>Storage Tank Volume</t>
  </si>
  <si>
    <t>[m^3]</t>
  </si>
  <si>
    <t>On-demand flow rate (Q_D)</t>
  </si>
  <si>
    <t>Storage Tank Location Height</t>
  </si>
  <si>
    <t>[m]</t>
  </si>
  <si>
    <t>Reliability (R)</t>
  </si>
  <si>
    <t>Storage Tank Location Distance X</t>
  </si>
  <si>
    <t>Land Use (U)</t>
  </si>
  <si>
    <t>Storage Tank Location Distance Y</t>
  </si>
  <si>
    <t>Total</t>
  </si>
  <si>
    <t>Storage Total XY Distance</t>
  </si>
  <si>
    <t>Total Pipe Length</t>
  </si>
  <si>
    <t>Storage Tank Tower Height</t>
  </si>
  <si>
    <t>Pump</t>
  </si>
  <si>
    <t>[A/B/C]</t>
  </si>
  <si>
    <t>B</t>
  </si>
  <si>
    <t>Pump Diameter</t>
  </si>
  <si>
    <t>[mm]</t>
  </si>
  <si>
    <t>Friction Factor</t>
  </si>
  <si>
    <t>[]</t>
  </si>
  <si>
    <t>Loss Coefficient</t>
  </si>
  <si>
    <t>Filter Coefficient</t>
  </si>
  <si>
    <t>[Pa/(m/s)]</t>
  </si>
  <si>
    <t>Filtration Location</t>
  </si>
  <si>
    <t>[TO/FROM Storage Tank]</t>
  </si>
  <si>
    <t>1μm Cartridge</t>
  </si>
  <si>
    <t>[TRUE/FALSE]</t>
  </si>
  <si>
    <t>5μm Cartridge</t>
  </si>
  <si>
    <t>200μm Bag Filter</t>
  </si>
  <si>
    <t>UV Disinfection</t>
  </si>
  <si>
    <t>[W]</t>
  </si>
  <si>
    <t>Chemial Disinfection</t>
  </si>
  <si>
    <t>[Cl/Oz]</t>
  </si>
  <si>
    <t>Power Strategy</t>
  </si>
  <si>
    <t>[Solar/Diesel Generator]</t>
  </si>
  <si>
    <t>Solar</t>
  </si>
  <si>
    <t>Number of Batteries</t>
  </si>
  <si>
    <t>[Qty]</t>
  </si>
  <si>
    <t>Option A:</t>
  </si>
  <si>
    <t xml:space="preserve">Solar Panel Model </t>
  </si>
  <si>
    <t>[HES-260/SW-80/HES-350P]</t>
  </si>
  <si>
    <t>Quantity of Selected Panel</t>
  </si>
  <si>
    <t>Inverter</t>
  </si>
  <si>
    <t>[kW]</t>
  </si>
  <si>
    <t>Option B:</t>
  </si>
  <si>
    <t>Diesel Generator</t>
  </si>
  <si>
    <t>Weather Data</t>
  </si>
  <si>
    <t>Station 1 2014</t>
  </si>
  <si>
    <t>Parameters</t>
  </si>
  <si>
    <t>Area Catchment</t>
  </si>
  <si>
    <t>m^2</t>
  </si>
  <si>
    <t>Days Consumption Not Met</t>
  </si>
  <si>
    <t>m^3</t>
  </si>
  <si>
    <t>Total Volume Through Pump [L]</t>
  </si>
  <si>
    <t>Volume Initial</t>
  </si>
  <si>
    <t>Total Volume Out of Storage Tank [L]</t>
  </si>
  <si>
    <t>Consumption</t>
  </si>
  <si>
    <t>L/day</t>
  </si>
  <si>
    <t>Date Consumption Start</t>
  </si>
  <si>
    <t>Pump Flow</t>
  </si>
  <si>
    <t>m^3/s</t>
  </si>
  <si>
    <t>System Flow</t>
  </si>
  <si>
    <t>Date</t>
  </si>
  <si>
    <t>Daily Rainfall (mm)</t>
  </si>
  <si>
    <t>Qin (m^3/day)</t>
  </si>
  <si>
    <t>Pump Hours</t>
  </si>
  <si>
    <t>Meets Consumption</t>
  </si>
  <si>
    <t>Station 1 2015</t>
  </si>
  <si>
    <t>Station 2 2015</t>
  </si>
  <si>
    <t>Station 3 2013</t>
  </si>
  <si>
    <t>Maintenance</t>
  </si>
  <si>
    <t>Operations Per Year</t>
  </si>
  <si>
    <t>200 um Filter</t>
  </si>
  <si>
    <t>5 um Filter</t>
  </si>
  <si>
    <t>1 um Filter</t>
  </si>
  <si>
    <t>UV Bulb</t>
  </si>
  <si>
    <t>Chlorine</t>
  </si>
  <si>
    <t>Ozone</t>
  </si>
  <si>
    <t>Diesel Shipments</t>
  </si>
  <si>
    <t>Total Health Risk</t>
  </si>
  <si>
    <t>Chlorine Values</t>
  </si>
  <si>
    <t>Diesel Value</t>
  </si>
  <si>
    <t>Total Environmental Risk</t>
  </si>
  <si>
    <t>Days to Refill</t>
  </si>
  <si>
    <t>[Days]</t>
  </si>
  <si>
    <t>Total Risk</t>
  </si>
  <si>
    <t>Severity Health Damage</t>
  </si>
  <si>
    <t>Severity Environmental Damage</t>
  </si>
  <si>
    <t>Component</t>
  </si>
  <si>
    <t>Parameter Value (corresponding units)</t>
  </si>
  <si>
    <t>Installation Cost</t>
  </si>
  <si>
    <t>Replacement Cost (per one time)</t>
  </si>
  <si>
    <t>Replacements Per Year</t>
  </si>
  <si>
    <t>Total Cost (5 years)</t>
  </si>
  <si>
    <t>Reference Cost</t>
  </si>
  <si>
    <t>Shipped Water</t>
  </si>
  <si>
    <t>N/A</t>
  </si>
  <si>
    <t>Satisfaction</t>
  </si>
  <si>
    <t>Storage Tank Tower</t>
  </si>
  <si>
    <t>Piping</t>
  </si>
  <si>
    <t>UV System</t>
  </si>
  <si>
    <t>Solar Panel</t>
  </si>
  <si>
    <t>Battery</t>
  </si>
  <si>
    <t>DC-AC Power</t>
  </si>
  <si>
    <t>Diesel Fuel</t>
  </si>
  <si>
    <t>TOTAL</t>
  </si>
  <si>
    <t>Reference System</t>
  </si>
  <si>
    <t>Quantity Water over 5 Years</t>
  </si>
  <si>
    <t>System 2</t>
  </si>
  <si>
    <t>Manufacturing and Delivery</t>
  </si>
  <si>
    <t>[kgCo2]</t>
  </si>
  <si>
    <t>[L]</t>
  </si>
  <si>
    <t>Centralized Treatment</t>
  </si>
  <si>
    <t>Diesel or Solar?</t>
  </si>
  <si>
    <t>Land + Sea Delivery</t>
  </si>
  <si>
    <t>Solar Type</t>
  </si>
  <si>
    <t>Total System</t>
  </si>
  <si>
    <t>Solar Emissions Production</t>
  </si>
  <si>
    <t>Batteries</t>
  </si>
  <si>
    <t>Relative Score</t>
  </si>
  <si>
    <t>Diesel Generator Installation</t>
  </si>
  <si>
    <t>Diesel Generator Operation</t>
  </si>
  <si>
    <t>Pump Specifications</t>
  </si>
  <si>
    <t>Pipe Constants</t>
  </si>
  <si>
    <t>Pump Constants</t>
  </si>
  <si>
    <t>Operating Pressure</t>
  </si>
  <si>
    <t>Flow Rate</t>
  </si>
  <si>
    <t>Efficiency at Operating Pressure</t>
  </si>
  <si>
    <t>Maximum Possible Efficiency</t>
  </si>
  <si>
    <t>Distance to Storage Tank</t>
  </si>
  <si>
    <t>Diameter</t>
  </si>
  <si>
    <t>a</t>
  </si>
  <si>
    <t>[kPA]</t>
  </si>
  <si>
    <t>[LPM]</t>
  </si>
  <si>
    <t>A --&gt;</t>
  </si>
  <si>
    <t>58.79 LPM @ 69% efficiency</t>
  </si>
  <si>
    <t>Height Total</t>
  </si>
  <si>
    <t>b</t>
  </si>
  <si>
    <t>$J$2*N3^2+$J$3*N3+$J$4</t>
  </si>
  <si>
    <t>B --&gt;</t>
  </si>
  <si>
    <t>136.65 LPM @ 72% efficiency</t>
  </si>
  <si>
    <t>Density of Water</t>
  </si>
  <si>
    <t>[kg/m^3]</t>
  </si>
  <si>
    <t>c</t>
  </si>
  <si>
    <t>^^^ updated formulas to derive operating pressure and flow rate (now you can plug in any values and the system updates automatically)</t>
  </si>
  <si>
    <t>C --&gt;</t>
  </si>
  <si>
    <t>119.49 LPM @ 52% efficiency</t>
  </si>
  <si>
    <t>Gravity Constant</t>
  </si>
  <si>
    <t>[m/s^2]</t>
  </si>
  <si>
    <t>A</t>
  </si>
  <si>
    <t>^^^ B seems to be the best pump by a large margin... it offers the highest flowrate at the highest efficiency</t>
  </si>
  <si>
    <t>Q_max</t>
  </si>
  <si>
    <t>working area</t>
  </si>
  <si>
    <t>VLOOKUP(O10,C11:F41,5,TRUE)</t>
  </si>
  <si>
    <t>min deltap</t>
  </si>
  <si>
    <t>p pressure</t>
  </si>
  <si>
    <t>system pressure</t>
  </si>
  <si>
    <t>Flow Velocity</t>
  </si>
  <si>
    <t>Pump Pressure</t>
  </si>
  <si>
    <t>System Pressure</t>
  </si>
  <si>
    <t>Delta p</t>
  </si>
  <si>
    <t>Efficiency</t>
  </si>
  <si>
    <t>[kPa]</t>
  </si>
  <si>
    <t>deltap</t>
  </si>
  <si>
    <t>[m/s]</t>
  </si>
  <si>
    <t>This function is iterative... it basically finds where the system and pump pressure are the closest, zooms in on that point, then does it again and again until you get a really accurate value</t>
  </si>
  <si>
    <t>Max efficiency stuff</t>
  </si>
  <si>
    <t>System Function</t>
  </si>
  <si>
    <t>Height of Storage Tank</t>
  </si>
  <si>
    <t>UV Filter Max Flow</t>
  </si>
  <si>
    <t>Storage Curve</t>
  </si>
  <si>
    <t>Height Pressure</t>
  </si>
  <si>
    <t>Energy Calculations for a system using Ozone Disinfection</t>
  </si>
  <si>
    <t>Pump Efficiency</t>
  </si>
  <si>
    <t>[  ]</t>
  </si>
  <si>
    <t>Contact Time</t>
  </si>
  <si>
    <t>[min]</t>
  </si>
  <si>
    <t>UV Lamp Size</t>
  </si>
  <si>
    <t>Using Diesel?</t>
  </si>
  <si>
    <t>Efficiency of Solar Panel</t>
  </si>
  <si>
    <t>[ ]</t>
  </si>
  <si>
    <t>Catch. Area</t>
  </si>
  <si>
    <r>
      <t>[m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]</t>
    </r>
  </si>
  <si>
    <t>Ct_Ozone</t>
  </si>
  <si>
    <t>[mg min/L]</t>
  </si>
  <si>
    <t>Hours of Operation</t>
  </si>
  <si>
    <t>[hr]</t>
  </si>
  <si>
    <t>Heating Value Diesel</t>
  </si>
  <si>
    <t>[MJ/L]</t>
  </si>
  <si>
    <t>Efficiency of Invertor</t>
  </si>
  <si>
    <r>
      <t>[m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]</t>
    </r>
  </si>
  <si>
    <t>Energy for O3</t>
  </si>
  <si>
    <t>[MJ / g]</t>
  </si>
  <si>
    <t>Efficiency of Generator</t>
  </si>
  <si>
    <t>Solar Intensity</t>
  </si>
  <si>
    <t>[W/m^2]</t>
  </si>
  <si>
    <t>Using Ozone?</t>
  </si>
  <si>
    <t>Efficiency Battery</t>
  </si>
  <si>
    <t>Using Solar?</t>
  </si>
  <si>
    <t>[Wh]</t>
  </si>
  <si>
    <t>Solar Panel Area</t>
  </si>
  <si>
    <t>Totals</t>
  </si>
  <si>
    <t>Day</t>
  </si>
  <si>
    <t>Rain</t>
  </si>
  <si>
    <t>Stored Water</t>
  </si>
  <si>
    <t>Output Energy</t>
  </si>
  <si>
    <t>Input Energy</t>
  </si>
  <si>
    <t>Pump Energy</t>
  </si>
  <si>
    <t>Mass O3</t>
  </si>
  <si>
    <t>Energy for UV</t>
  </si>
  <si>
    <t>Average Sunlight</t>
  </si>
  <si>
    <t xml:space="preserve">[ date ] </t>
  </si>
  <si>
    <t>[J]</t>
  </si>
  <si>
    <t>[Pa]</t>
  </si>
  <si>
    <t>[MJ]</t>
  </si>
  <si>
    <t>[mg]</t>
  </si>
  <si>
    <t>[g]</t>
  </si>
  <si>
    <t>[Hr]</t>
  </si>
  <si>
    <t>[Yes/No]</t>
  </si>
  <si>
    <t>[kg]</t>
  </si>
  <si>
    <t>Filter Modules</t>
  </si>
  <si>
    <t>Present ?</t>
  </si>
  <si>
    <t>Cf</t>
  </si>
  <si>
    <t>Actual Filter Life</t>
  </si>
  <si>
    <t>Filter Life Data [L]</t>
  </si>
  <si>
    <t>Cf Exp</t>
  </si>
  <si>
    <t>Filter Size</t>
  </si>
  <si>
    <t>[T/F]</t>
  </si>
  <si>
    <t>No pre-filter</t>
  </si>
  <si>
    <t>5 um pre</t>
  </si>
  <si>
    <t>200 um pre</t>
  </si>
  <si>
    <t>[kPa/(m/s)]</t>
  </si>
  <si>
    <t>Enough Energy?</t>
  </si>
  <si>
    <t>Minimum</t>
  </si>
  <si>
    <t>Maximum</t>
  </si>
  <si>
    <t>Total Energy Needed for the Day</t>
  </si>
  <si>
    <t>Number of Solar Panels</t>
  </si>
  <si>
    <t>Solar Panel Energy</t>
  </si>
  <si>
    <t>Chlorine Dosing</t>
  </si>
  <si>
    <t>[mg*min/L]</t>
  </si>
  <si>
    <t>Chlorine Solution Mass</t>
  </si>
  <si>
    <t>Percent Concentration</t>
  </si>
  <si>
    <t>Energy Storage per Battery</t>
  </si>
  <si>
    <t>Energy into Battery</t>
  </si>
  <si>
    <t>Energy out of Battery</t>
  </si>
  <si>
    <t>AC Energy Output</t>
  </si>
  <si>
    <t>Initial Energy Stored</t>
  </si>
  <si>
    <t>Energy Stored in Battery (End of Day)</t>
  </si>
  <si>
    <t>[ TRUE/FALSE]</t>
  </si>
  <si>
    <t>Using Chlorine?</t>
  </si>
  <si>
    <t>[m3]</t>
  </si>
  <si>
    <t>Qin * 1 day</t>
  </si>
  <si>
    <t>Oz</t>
  </si>
  <si>
    <t>Total Pump Hours [hr]</t>
  </si>
  <si>
    <t>System Out (m^3)</t>
  </si>
  <si>
    <t>Water in Tank (m^3)</t>
  </si>
  <si>
    <t>Q through Pump (m^3/day)</t>
  </si>
  <si>
    <t>FROM</t>
  </si>
  <si>
    <t>HES-260</t>
  </si>
  <si>
    <t>Diesel Energy</t>
  </si>
  <si>
    <t>This takes into account the efficiency of the generator</t>
  </si>
  <si>
    <t>Diesel always meets the energy requirements</t>
  </si>
  <si>
    <t>Enough Energy for UV?</t>
  </si>
  <si>
    <t xml:space="preserve">Consumption   </t>
  </si>
  <si>
    <t>Storage Tank Vol</t>
  </si>
  <si>
    <t>#Batt</t>
  </si>
  <si>
    <t>#Solar</t>
  </si>
  <si>
    <t>Final Solution</t>
  </si>
  <si>
    <t>Flow rate (Q)</t>
  </si>
  <si>
    <t>Flow Rate (Q)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</si>
</sst>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&quot;$&quot;#,##0_);[Red]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0.000"/>
    <numFmt numFmtId="168" formatCode="&quot;$&quot;#,##0"/>
    <numFmt numFmtId="169" formatCode="0.00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scheme val="minor"/>
    </font>
    <font>
      <sz val="11"/>
      <name val="Calibri"/>
      <scheme val="minor"/>
    </font>
    <font>
      <b/>
      <sz val="11"/>
      <color theme="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i/>
      <sz val="11"/>
      <color theme="1"/>
      <name val="Calibri"/>
      <scheme val="minor"/>
    </font>
    <font>
      <i/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0000"/>
      <name val="Aptos Narrow"/>
      <charset val="1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BD1D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B81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B6292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A979D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5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rgb="FF50505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367">
    <xf numFmtId="0" fontId="0" fillId="0" borderId="0" xfId="0"/>
    <xf numFmtId="0" fontId="2" fillId="0" borderId="0" xfId="0" applyFont="1"/>
    <xf numFmtId="0" fontId="0" fillId="2" borderId="3" xfId="0" applyFill="1" applyBorder="1"/>
    <xf numFmtId="0" fontId="2" fillId="2" borderId="5" xfId="0" applyFont="1" applyFill="1" applyBorder="1"/>
    <xf numFmtId="0" fontId="0" fillId="3" borderId="3" xfId="0" applyFill="1" applyBorder="1"/>
    <xf numFmtId="0" fontId="2" fillId="3" borderId="5" xfId="0" applyFont="1" applyFill="1" applyBorder="1"/>
    <xf numFmtId="2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0" fillId="3" borderId="7" xfId="0" applyFill="1" applyBorder="1"/>
    <xf numFmtId="0" fontId="2" fillId="8" borderId="7" xfId="0" applyFont="1" applyFill="1" applyBorder="1"/>
    <xf numFmtId="0" fontId="0" fillId="8" borderId="7" xfId="0" applyFill="1" applyBorder="1"/>
    <xf numFmtId="0" fontId="3" fillId="8" borderId="7" xfId="0" applyFont="1" applyFill="1" applyBorder="1"/>
    <xf numFmtId="0" fontId="6" fillId="8" borderId="7" xfId="0" applyFont="1" applyFill="1" applyBorder="1"/>
    <xf numFmtId="0" fontId="3" fillId="3" borderId="7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9" fillId="7" borderId="7" xfId="0" applyFont="1" applyFill="1" applyBorder="1" applyAlignment="1">
      <alignment horizontal="center" vertical="center"/>
    </xf>
    <xf numFmtId="0" fontId="9" fillId="7" borderId="8" xfId="0" applyFont="1" applyFill="1" applyBorder="1" applyAlignment="1">
      <alignment horizontal="center" vertical="center"/>
    </xf>
    <xf numFmtId="0" fontId="9" fillId="7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1" fillId="3" borderId="7" xfId="0" applyFont="1" applyFill="1" applyBorder="1"/>
    <xf numFmtId="0" fontId="2" fillId="0" borderId="7" xfId="0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0" fontId="10" fillId="7" borderId="7" xfId="0" applyFont="1" applyFill="1" applyBorder="1" applyAlignment="1">
      <alignment horizontal="center" vertical="center" wrapText="1"/>
    </xf>
    <xf numFmtId="0" fontId="10" fillId="7" borderId="7" xfId="0" applyFont="1" applyFill="1" applyBorder="1" applyAlignment="1">
      <alignment horizontal="center" vertical="center"/>
    </xf>
    <xf numFmtId="0" fontId="12" fillId="7" borderId="7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 wrapText="1"/>
    </xf>
    <xf numFmtId="0" fontId="12" fillId="7" borderId="6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1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9" borderId="8" xfId="0" applyFont="1" applyFill="1" applyBorder="1" applyAlignment="1">
      <alignment horizontal="center" vertical="center"/>
    </xf>
    <xf numFmtId="0" fontId="8" fillId="9" borderId="10" xfId="0" applyFont="1" applyFill="1" applyBorder="1" applyAlignment="1">
      <alignment horizontal="center" vertical="center"/>
    </xf>
    <xf numFmtId="0" fontId="7" fillId="9" borderId="10" xfId="0" applyFont="1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10" fillId="9" borderId="6" xfId="0" applyFont="1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10" fillId="10" borderId="8" xfId="0" applyFont="1" applyFill="1" applyBorder="1" applyAlignment="1">
      <alignment horizontal="center" vertical="center"/>
    </xf>
    <xf numFmtId="0" fontId="12" fillId="10" borderId="6" xfId="0" applyFont="1" applyFill="1" applyBorder="1" applyAlignment="1">
      <alignment horizontal="center" vertical="center"/>
    </xf>
    <xf numFmtId="0" fontId="10" fillId="10" borderId="6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14" fontId="0" fillId="0" borderId="0" xfId="0" applyNumberFormat="1"/>
    <xf numFmtId="2" fontId="2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13" borderId="0" xfId="0" applyFill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2" fontId="0" fillId="16" borderId="0" xfId="0" applyNumberFormat="1" applyFill="1"/>
    <xf numFmtId="0" fontId="0" fillId="16" borderId="0" xfId="0" applyFill="1"/>
    <xf numFmtId="0" fontId="10" fillId="9" borderId="0" xfId="0" applyFont="1" applyFill="1" applyAlignment="1">
      <alignment horizontal="center" vertical="center"/>
    </xf>
    <xf numFmtId="0" fontId="9" fillId="10" borderId="6" xfId="0" applyFont="1" applyFill="1" applyBorder="1" applyAlignment="1">
      <alignment horizontal="center" vertical="center"/>
    </xf>
    <xf numFmtId="0" fontId="10" fillId="17" borderId="6" xfId="0" applyFont="1" applyFill="1" applyBorder="1"/>
    <xf numFmtId="2" fontId="12" fillId="17" borderId="6" xfId="0" applyNumberFormat="1" applyFont="1" applyFill="1" applyBorder="1"/>
    <xf numFmtId="0" fontId="10" fillId="9" borderId="10" xfId="0" applyFont="1" applyFill="1" applyBorder="1" applyAlignment="1">
      <alignment horizontal="center" vertical="center"/>
    </xf>
    <xf numFmtId="0" fontId="2" fillId="10" borderId="6" xfId="0" applyFont="1" applyFill="1" applyBorder="1"/>
    <xf numFmtId="0" fontId="0" fillId="10" borderId="6" xfId="0" applyFill="1" applyBorder="1"/>
    <xf numFmtId="0" fontId="0" fillId="10" borderId="6" xfId="0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10" fillId="11" borderId="6" xfId="0" applyFont="1" applyFill="1" applyBorder="1"/>
    <xf numFmtId="0" fontId="12" fillId="11" borderId="6" xfId="0" applyFont="1" applyFill="1" applyBorder="1"/>
    <xf numFmtId="0" fontId="12" fillId="11" borderId="6" xfId="0" applyFont="1" applyFill="1" applyBorder="1" applyAlignment="1">
      <alignment horizontal="center" vertical="center"/>
    </xf>
    <xf numFmtId="0" fontId="0" fillId="18" borderId="0" xfId="0" applyFill="1"/>
    <xf numFmtId="0" fontId="20" fillId="0" borderId="0" xfId="0" applyFont="1"/>
    <xf numFmtId="0" fontId="0" fillId="19" borderId="0" xfId="0" applyFill="1"/>
    <xf numFmtId="0" fontId="19" fillId="20" borderId="0" xfId="0" applyFont="1" applyFill="1"/>
    <xf numFmtId="2" fontId="19" fillId="20" borderId="0" xfId="0" applyNumberFormat="1" applyFont="1" applyFill="1"/>
    <xf numFmtId="0" fontId="19" fillId="21" borderId="0" xfId="0" applyFont="1" applyFill="1"/>
    <xf numFmtId="0" fontId="17" fillId="0" borderId="0" xfId="0" applyFont="1"/>
    <xf numFmtId="0" fontId="2" fillId="23" borderId="7" xfId="0" applyFont="1" applyFill="1" applyBorder="1"/>
    <xf numFmtId="0" fontId="0" fillId="23" borderId="7" xfId="0" applyFill="1" applyBorder="1" applyAlignment="1">
      <alignment horizontal="center"/>
    </xf>
    <xf numFmtId="2" fontId="0" fillId="23" borderId="7" xfId="0" applyNumberFormat="1" applyFill="1" applyBorder="1" applyAlignment="1">
      <alignment horizontal="center" vertical="center" wrapText="1"/>
    </xf>
    <xf numFmtId="2" fontId="0" fillId="23" borderId="7" xfId="0" applyNumberForma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2" fillId="17" borderId="5" xfId="0" applyFont="1" applyFill="1" applyBorder="1"/>
    <xf numFmtId="164" fontId="9" fillId="17" borderId="5" xfId="0" applyNumberFormat="1" applyFont="1" applyFill="1" applyBorder="1"/>
    <xf numFmtId="164" fontId="9" fillId="0" borderId="6" xfId="0" applyNumberFormat="1" applyFont="1" applyBorder="1" applyAlignment="1">
      <alignment horizontal="center" vertical="center"/>
    </xf>
    <xf numFmtId="168" fontId="0" fillId="0" borderId="6" xfId="0" applyNumberFormat="1" applyBorder="1" applyAlignment="1">
      <alignment horizontal="center" vertical="center"/>
    </xf>
    <xf numFmtId="168" fontId="12" fillId="0" borderId="6" xfId="3" applyNumberFormat="1" applyFont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 wrapText="1"/>
    </xf>
    <xf numFmtId="0" fontId="0" fillId="23" borderId="7" xfId="0" applyFill="1" applyBorder="1"/>
    <xf numFmtId="167" fontId="0" fillId="23" borderId="7" xfId="0" applyNumberFormat="1" applyFill="1" applyBorder="1" applyAlignment="1">
      <alignment horizontal="center"/>
    </xf>
    <xf numFmtId="0" fontId="9" fillId="0" borderId="6" xfId="0" applyFont="1" applyBorder="1" applyAlignment="1">
      <alignment horizontal="center" vertical="center"/>
    </xf>
    <xf numFmtId="2" fontId="0" fillId="7" borderId="7" xfId="0" applyNumberFormat="1" applyFill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164" fontId="12" fillId="0" borderId="6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9" fillId="0" borderId="10" xfId="0" applyNumberFormat="1" applyFont="1" applyBorder="1" applyAlignment="1">
      <alignment horizontal="center" vertical="center"/>
    </xf>
    <xf numFmtId="0" fontId="0" fillId="17" borderId="12" xfId="0" applyFill="1" applyBorder="1" applyAlignment="1">
      <alignment horizontal="center" vertical="center"/>
    </xf>
    <xf numFmtId="0" fontId="0" fillId="17" borderId="13" xfId="0" applyFill="1" applyBorder="1" applyAlignment="1">
      <alignment horizontal="center" vertical="center"/>
    </xf>
    <xf numFmtId="0" fontId="2" fillId="17" borderId="13" xfId="0" applyFont="1" applyFill="1" applyBorder="1" applyAlignment="1">
      <alignment horizontal="center" vertical="center"/>
    </xf>
    <xf numFmtId="0" fontId="0" fillId="14" borderId="6" xfId="0" applyFill="1" applyBorder="1"/>
    <xf numFmtId="10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9" fillId="22" borderId="6" xfId="0" applyFont="1" applyFill="1" applyBorder="1" applyAlignment="1">
      <alignment horizontal="center" vertical="center"/>
    </xf>
    <xf numFmtId="10" fontId="0" fillId="0" borderId="6" xfId="0" applyNumberFormat="1" applyBorder="1" applyAlignment="1">
      <alignment horizontal="center" vertical="center"/>
    </xf>
    <xf numFmtId="167" fontId="0" fillId="0" borderId="6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6" xfId="1" applyNumberFormat="1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10" fontId="2" fillId="6" borderId="6" xfId="0" applyNumberFormat="1" applyFont="1" applyFill="1" applyBorder="1" applyAlignment="1">
      <alignment horizontal="center" vertical="center"/>
    </xf>
    <xf numFmtId="9" fontId="5" fillId="4" borderId="4" xfId="1" applyFont="1" applyFill="1" applyBorder="1"/>
    <xf numFmtId="0" fontId="5" fillId="3" borderId="4" xfId="0" applyFont="1" applyFill="1" applyBorder="1"/>
    <xf numFmtId="9" fontId="6" fillId="2" borderId="4" xfId="1" applyFont="1" applyFill="1" applyBorder="1"/>
    <xf numFmtId="0" fontId="6" fillId="16" borderId="4" xfId="0" applyFont="1" applyFill="1" applyBorder="1"/>
    <xf numFmtId="0" fontId="0" fillId="16" borderId="22" xfId="0" applyFill="1" applyBorder="1"/>
    <xf numFmtId="0" fontId="2" fillId="16" borderId="23" xfId="0" applyFont="1" applyFill="1" applyBorder="1"/>
    <xf numFmtId="0" fontId="0" fillId="16" borderId="20" xfId="0" applyFill="1" applyBorder="1"/>
    <xf numFmtId="0" fontId="6" fillId="16" borderId="2" xfId="0" applyFont="1" applyFill="1" applyBorder="1"/>
    <xf numFmtId="0" fontId="2" fillId="16" borderId="21" xfId="0" applyFont="1" applyFill="1" applyBorder="1"/>
    <xf numFmtId="0" fontId="23" fillId="0" borderId="0" xfId="0" applyFont="1"/>
    <xf numFmtId="0" fontId="15" fillId="0" borderId="0" xfId="0" applyFont="1"/>
    <xf numFmtId="2" fontId="0" fillId="14" borderId="6" xfId="0" applyNumberFormat="1" applyFill="1" applyBorder="1"/>
    <xf numFmtId="0" fontId="2" fillId="0" borderId="27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0" fillId="0" borderId="6" xfId="0" applyBorder="1"/>
    <xf numFmtId="0" fontId="2" fillId="0" borderId="6" xfId="0" applyFont="1" applyBorder="1"/>
    <xf numFmtId="0" fontId="1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3" borderId="28" xfId="0" applyFont="1" applyFill="1" applyBorder="1"/>
    <xf numFmtId="0" fontId="3" fillId="8" borderId="8" xfId="0" applyFont="1" applyFill="1" applyBorder="1"/>
    <xf numFmtId="0" fontId="6" fillId="8" borderId="8" xfId="0" applyFont="1" applyFill="1" applyBorder="1"/>
    <xf numFmtId="0" fontId="2" fillId="8" borderId="8" xfId="0" applyFont="1" applyFill="1" applyBorder="1"/>
    <xf numFmtId="0" fontId="0" fillId="8" borderId="6" xfId="0" applyFill="1" applyBorder="1"/>
    <xf numFmtId="0" fontId="2" fillId="8" borderId="6" xfId="0" applyFont="1" applyFill="1" applyBorder="1"/>
    <xf numFmtId="167" fontId="0" fillId="0" borderId="0" xfId="0" applyNumberFormat="1" applyAlignment="1">
      <alignment horizontal="center"/>
    </xf>
    <xf numFmtId="0" fontId="10" fillId="24" borderId="7" xfId="0" applyFont="1" applyFill="1" applyBorder="1" applyAlignment="1">
      <alignment horizontal="center" vertical="center" wrapText="1"/>
    </xf>
    <xf numFmtId="0" fontId="10" fillId="24" borderId="7" xfId="0" applyFont="1" applyFill="1" applyBorder="1" applyAlignment="1">
      <alignment horizontal="center" vertical="center"/>
    </xf>
    <xf numFmtId="0" fontId="12" fillId="24" borderId="7" xfId="0" applyFont="1" applyFill="1" applyBorder="1" applyAlignment="1">
      <alignment horizontal="center" vertical="center"/>
    </xf>
    <xf numFmtId="0" fontId="9" fillId="24" borderId="7" xfId="0" applyFont="1" applyFill="1" applyBorder="1" applyAlignment="1">
      <alignment horizontal="center" vertical="center"/>
    </xf>
    <xf numFmtId="0" fontId="12" fillId="24" borderId="8" xfId="0" applyFont="1" applyFill="1" applyBorder="1" applyAlignment="1">
      <alignment horizontal="center" vertical="center"/>
    </xf>
    <xf numFmtId="0" fontId="9" fillId="24" borderId="8" xfId="0" applyFont="1" applyFill="1" applyBorder="1" applyAlignment="1">
      <alignment horizontal="center" vertical="center"/>
    </xf>
    <xf numFmtId="0" fontId="10" fillId="24" borderId="8" xfId="0" applyFont="1" applyFill="1" applyBorder="1" applyAlignment="1">
      <alignment horizontal="center" vertical="center" wrapText="1"/>
    </xf>
    <xf numFmtId="0" fontId="12" fillId="24" borderId="6" xfId="0" applyFont="1" applyFill="1" applyBorder="1" applyAlignment="1">
      <alignment horizontal="center" vertical="center"/>
    </xf>
    <xf numFmtId="0" fontId="9" fillId="24" borderId="6" xfId="0" applyFont="1" applyFill="1" applyBorder="1" applyAlignment="1">
      <alignment horizontal="center" vertical="center"/>
    </xf>
    <xf numFmtId="0" fontId="10" fillId="24" borderId="6" xfId="0" applyFont="1" applyFill="1" applyBorder="1" applyAlignment="1">
      <alignment horizontal="center" vertical="center" wrapText="1"/>
    </xf>
    <xf numFmtId="0" fontId="10" fillId="17" borderId="0" xfId="0" applyFont="1" applyFill="1"/>
    <xf numFmtId="0" fontId="12" fillId="17" borderId="0" xfId="0" applyFont="1" applyFill="1"/>
    <xf numFmtId="2" fontId="12" fillId="0" borderId="6" xfId="0" applyNumberFormat="1" applyFont="1" applyBorder="1" applyAlignment="1">
      <alignment horizontal="center" vertical="center"/>
    </xf>
    <xf numFmtId="0" fontId="11" fillId="17" borderId="6" xfId="0" applyFont="1" applyFill="1" applyBorder="1" applyAlignment="1">
      <alignment horizontal="center"/>
    </xf>
    <xf numFmtId="0" fontId="0" fillId="17" borderId="6" xfId="0" applyFill="1" applyBorder="1" applyAlignment="1">
      <alignment horizontal="center" vertical="center"/>
    </xf>
    <xf numFmtId="2" fontId="0" fillId="17" borderId="6" xfId="0" applyNumberFormat="1" applyFill="1" applyBorder="1" applyAlignment="1">
      <alignment horizontal="center"/>
    </xf>
    <xf numFmtId="0" fontId="0" fillId="17" borderId="6" xfId="0" applyFill="1" applyBorder="1" applyAlignment="1">
      <alignment horizontal="center"/>
    </xf>
    <xf numFmtId="0" fontId="12" fillId="17" borderId="6" xfId="0" applyFont="1" applyFill="1" applyBorder="1" applyAlignment="1">
      <alignment horizontal="center" vertical="center"/>
    </xf>
    <xf numFmtId="0" fontId="9" fillId="17" borderId="6" xfId="0" applyFont="1" applyFill="1" applyBorder="1" applyAlignment="1">
      <alignment horizontal="center" vertical="center"/>
    </xf>
    <xf numFmtId="2" fontId="12" fillId="17" borderId="6" xfId="0" applyNumberFormat="1" applyFont="1" applyFill="1" applyBorder="1" applyAlignment="1">
      <alignment horizontal="center" vertical="center"/>
    </xf>
    <xf numFmtId="14" fontId="9" fillId="17" borderId="6" xfId="0" applyNumberFormat="1" applyFont="1" applyFill="1" applyBorder="1" applyAlignment="1">
      <alignment horizontal="center" vertical="center"/>
    </xf>
    <xf numFmtId="169" fontId="0" fillId="17" borderId="6" xfId="0" applyNumberFormat="1" applyFill="1" applyBorder="1" applyAlignment="1">
      <alignment horizontal="center" vertical="center"/>
    </xf>
    <xf numFmtId="2" fontId="2" fillId="5" borderId="6" xfId="0" applyNumberFormat="1" applyFont="1" applyFill="1" applyBorder="1" applyAlignment="1">
      <alignment horizontal="center"/>
    </xf>
    <xf numFmtId="0" fontId="0" fillId="5" borderId="6" xfId="0" applyFill="1" applyBorder="1" applyAlignment="1">
      <alignment horizontal="center" vertical="center"/>
    </xf>
    <xf numFmtId="2" fontId="0" fillId="22" borderId="6" xfId="0" applyNumberFormat="1" applyFill="1" applyBorder="1" applyAlignment="1">
      <alignment horizontal="center" vertical="center"/>
    </xf>
    <xf numFmtId="2" fontId="12" fillId="11" borderId="6" xfId="0" applyNumberFormat="1" applyFont="1" applyFill="1" applyBorder="1" applyAlignment="1">
      <alignment horizontal="center" vertical="center"/>
    </xf>
    <xf numFmtId="0" fontId="9" fillId="11" borderId="6" xfId="0" applyFont="1" applyFill="1" applyBorder="1" applyAlignment="1">
      <alignment horizontal="center" vertical="center"/>
    </xf>
    <xf numFmtId="0" fontId="2" fillId="13" borderId="11" xfId="0" applyFont="1" applyFill="1" applyBorder="1" applyAlignment="1">
      <alignment horizontal="center" vertical="center"/>
    </xf>
    <xf numFmtId="0" fontId="2" fillId="13" borderId="26" xfId="0" applyFont="1" applyFill="1" applyBorder="1" applyAlignment="1">
      <alignment horizontal="center" vertical="center"/>
    </xf>
    <xf numFmtId="2" fontId="9" fillId="24" borderId="7" xfId="0" applyNumberFormat="1" applyFont="1" applyFill="1" applyBorder="1" applyAlignment="1">
      <alignment horizontal="center" vertical="center"/>
    </xf>
    <xf numFmtId="2" fontId="9" fillId="7" borderId="7" xfId="0" applyNumberFormat="1" applyFont="1" applyFill="1" applyBorder="1" applyAlignment="1">
      <alignment horizontal="center" vertical="center"/>
    </xf>
    <xf numFmtId="0" fontId="22" fillId="4" borderId="2" xfId="0" applyFont="1" applyFill="1" applyBorder="1"/>
    <xf numFmtId="168" fontId="0" fillId="17" borderId="14" xfId="3" applyNumberFormat="1" applyFont="1" applyFill="1" applyBorder="1" applyAlignment="1">
      <alignment horizontal="center" vertical="center"/>
    </xf>
    <xf numFmtId="0" fontId="2" fillId="25" borderId="26" xfId="0" applyFont="1" applyFill="1" applyBorder="1" applyAlignment="1">
      <alignment horizontal="center" vertical="center"/>
    </xf>
    <xf numFmtId="2" fontId="12" fillId="0" borderId="10" xfId="0" applyNumberFormat="1" applyFon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0" fontId="2" fillId="26" borderId="6" xfId="0" applyFont="1" applyFill="1" applyBorder="1"/>
    <xf numFmtId="9" fontId="0" fillId="26" borderId="6" xfId="1" applyFont="1" applyFill="1" applyBorder="1"/>
    <xf numFmtId="0" fontId="2" fillId="24" borderId="27" xfId="0" applyFont="1" applyFill="1" applyBorder="1"/>
    <xf numFmtId="0" fontId="2" fillId="24" borderId="27" xfId="0" applyFont="1" applyFill="1" applyBorder="1" applyAlignment="1">
      <alignment horizontal="center"/>
    </xf>
    <xf numFmtId="0" fontId="2" fillId="24" borderId="30" xfId="0" applyFont="1" applyFill="1" applyBorder="1" applyAlignment="1">
      <alignment horizontal="center"/>
    </xf>
    <xf numFmtId="0" fontId="2" fillId="24" borderId="30" xfId="0" applyFont="1" applyFill="1" applyBorder="1"/>
    <xf numFmtId="0" fontId="2" fillId="24" borderId="18" xfId="0" applyFont="1" applyFill="1" applyBorder="1"/>
    <xf numFmtId="0" fontId="2" fillId="24" borderId="18" xfId="0" applyFont="1" applyFill="1" applyBorder="1" applyAlignment="1">
      <alignment horizontal="center"/>
    </xf>
    <xf numFmtId="0" fontId="2" fillId="24" borderId="19" xfId="0" applyFont="1" applyFill="1" applyBorder="1" applyAlignment="1">
      <alignment horizontal="center"/>
    </xf>
    <xf numFmtId="0" fontId="2" fillId="24" borderId="16" xfId="0" applyFont="1" applyFill="1" applyBorder="1"/>
    <xf numFmtId="0" fontId="2" fillId="24" borderId="19" xfId="0" applyFont="1" applyFill="1" applyBorder="1"/>
    <xf numFmtId="0" fontId="0" fillId="24" borderId="32" xfId="0" applyFill="1" applyBorder="1"/>
    <xf numFmtId="0" fontId="0" fillId="24" borderId="0" xfId="0" applyFill="1"/>
    <xf numFmtId="0" fontId="5" fillId="24" borderId="0" xfId="0" applyFont="1" applyFill="1"/>
    <xf numFmtId="0" fontId="5" fillId="24" borderId="0" xfId="0" applyFont="1" applyFill="1" applyAlignment="1">
      <alignment horizontal="center"/>
    </xf>
    <xf numFmtId="0" fontId="5" fillId="24" borderId="25" xfId="0" applyFont="1" applyFill="1" applyBorder="1" applyAlignment="1">
      <alignment horizontal="center"/>
    </xf>
    <xf numFmtId="0" fontId="0" fillId="24" borderId="31" xfId="0" applyFill="1" applyBorder="1"/>
    <xf numFmtId="0" fontId="5" fillId="24" borderId="16" xfId="0" applyFont="1" applyFill="1" applyBorder="1" applyAlignment="1">
      <alignment horizontal="center"/>
    </xf>
    <xf numFmtId="0" fontId="5" fillId="24" borderId="19" xfId="0" applyFont="1" applyFill="1" applyBorder="1" applyAlignment="1">
      <alignment horizontal="center"/>
    </xf>
    <xf numFmtId="0" fontId="0" fillId="24" borderId="15" xfId="0" applyFill="1" applyBorder="1"/>
    <xf numFmtId="0" fontId="0" fillId="24" borderId="17" xfId="0" applyFill="1" applyBorder="1"/>
    <xf numFmtId="0" fontId="0" fillId="24" borderId="9" xfId="0" applyFill="1" applyBorder="1"/>
    <xf numFmtId="0" fontId="0" fillId="6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9" borderId="33" xfId="0" applyFill="1" applyBorder="1" applyAlignment="1">
      <alignment horizontal="left" vertical="center"/>
    </xf>
    <xf numFmtId="0" fontId="0" fillId="9" borderId="26" xfId="0" applyFill="1" applyBorder="1" applyAlignment="1">
      <alignment horizontal="center" vertical="center"/>
    </xf>
    <xf numFmtId="0" fontId="9" fillId="9" borderId="34" xfId="0" applyFont="1" applyFill="1" applyBorder="1" applyAlignment="1">
      <alignment horizontal="center" vertical="top"/>
    </xf>
    <xf numFmtId="0" fontId="2" fillId="0" borderId="37" xfId="0" applyFont="1" applyBorder="1" applyAlignment="1">
      <alignment vertical="center"/>
    </xf>
    <xf numFmtId="0" fontId="0" fillId="6" borderId="27" xfId="0" applyFill="1" applyBorder="1"/>
    <xf numFmtId="0" fontId="0" fillId="6" borderId="29" xfId="0" applyFill="1" applyBorder="1" applyAlignment="1">
      <alignment horizontal="center"/>
    </xf>
    <xf numFmtId="0" fontId="18" fillId="6" borderId="30" xfId="0" applyFont="1" applyFill="1" applyBorder="1" applyAlignment="1">
      <alignment horizontal="center"/>
    </xf>
    <xf numFmtId="0" fontId="0" fillId="6" borderId="24" xfId="0" applyFill="1" applyBorder="1"/>
    <xf numFmtId="0" fontId="18" fillId="6" borderId="25" xfId="0" applyFont="1" applyFill="1" applyBorder="1" applyAlignment="1">
      <alignment horizontal="center"/>
    </xf>
    <xf numFmtId="0" fontId="3" fillId="6" borderId="25" xfId="0" applyFont="1" applyFill="1" applyBorder="1" applyAlignment="1">
      <alignment horizontal="center"/>
    </xf>
    <xf numFmtId="2" fontId="10" fillId="6" borderId="25" xfId="0" applyNumberFormat="1" applyFont="1" applyFill="1" applyBorder="1" applyAlignment="1">
      <alignment horizontal="center"/>
    </xf>
    <xf numFmtId="0" fontId="0" fillId="9" borderId="27" xfId="0" applyFill="1" applyBorder="1" applyAlignment="1">
      <alignment horizontal="left" vertical="center"/>
    </xf>
    <xf numFmtId="0" fontId="0" fillId="9" borderId="29" xfId="0" applyFill="1" applyBorder="1" applyAlignment="1">
      <alignment horizontal="center" vertical="center"/>
    </xf>
    <xf numFmtId="0" fontId="9" fillId="9" borderId="30" xfId="0" applyFont="1" applyFill="1" applyBorder="1" applyAlignment="1">
      <alignment horizontal="center" vertical="top"/>
    </xf>
    <xf numFmtId="0" fontId="0" fillId="11" borderId="27" xfId="0" applyFill="1" applyBorder="1"/>
    <xf numFmtId="0" fontId="0" fillId="11" borderId="29" xfId="0" applyFill="1" applyBorder="1" applyAlignment="1">
      <alignment horizontal="center"/>
    </xf>
    <xf numFmtId="0" fontId="3" fillId="11" borderId="30" xfId="0" applyFont="1" applyFill="1" applyBorder="1" applyAlignment="1">
      <alignment horizontal="center"/>
    </xf>
    <xf numFmtId="0" fontId="12" fillId="11" borderId="24" xfId="0" applyFont="1" applyFill="1" applyBorder="1"/>
    <xf numFmtId="0" fontId="3" fillId="11" borderId="25" xfId="0" applyFont="1" applyFill="1" applyBorder="1" applyAlignment="1">
      <alignment horizontal="center"/>
    </xf>
    <xf numFmtId="0" fontId="0" fillId="12" borderId="27" xfId="0" applyFill="1" applyBorder="1"/>
    <xf numFmtId="0" fontId="0" fillId="12" borderId="29" xfId="0" applyFill="1" applyBorder="1" applyAlignment="1">
      <alignment horizontal="center"/>
    </xf>
    <xf numFmtId="0" fontId="3" fillId="12" borderId="30" xfId="0" applyFont="1" applyFill="1" applyBorder="1" applyAlignment="1">
      <alignment horizontal="center"/>
    </xf>
    <xf numFmtId="0" fontId="0" fillId="12" borderId="24" xfId="0" applyFill="1" applyBorder="1"/>
    <xf numFmtId="0" fontId="3" fillId="12" borderId="25" xfId="0" applyFont="1" applyFill="1" applyBorder="1" applyAlignment="1">
      <alignment horizontal="center"/>
    </xf>
    <xf numFmtId="0" fontId="0" fillId="13" borderId="27" xfId="0" applyFill="1" applyBorder="1"/>
    <xf numFmtId="0" fontId="0" fillId="13" borderId="29" xfId="0" applyFill="1" applyBorder="1" applyAlignment="1">
      <alignment horizontal="center"/>
    </xf>
    <xf numFmtId="0" fontId="0" fillId="13" borderId="24" xfId="0" applyFill="1" applyBorder="1"/>
    <xf numFmtId="0" fontId="15" fillId="13" borderId="24" xfId="0" applyFont="1" applyFill="1" applyBorder="1"/>
    <xf numFmtId="0" fontId="11" fillId="13" borderId="25" xfId="0" applyFont="1" applyFill="1" applyBorder="1" applyAlignment="1">
      <alignment horizontal="center"/>
    </xf>
    <xf numFmtId="0" fontId="0" fillId="13" borderId="18" xfId="0" applyFill="1" applyBorder="1"/>
    <xf numFmtId="0" fontId="0" fillId="13" borderId="16" xfId="0" applyFill="1" applyBorder="1" applyAlignment="1">
      <alignment horizontal="center"/>
    </xf>
    <xf numFmtId="0" fontId="3" fillId="13" borderId="19" xfId="0" applyFont="1" applyFill="1" applyBorder="1" applyAlignment="1">
      <alignment horizontal="center"/>
    </xf>
    <xf numFmtId="0" fontId="11" fillId="11" borderId="25" xfId="0" applyFont="1" applyFill="1" applyBorder="1" applyAlignment="1">
      <alignment horizontal="center"/>
    </xf>
    <xf numFmtId="0" fontId="24" fillId="0" borderId="0" xfId="0" applyFont="1" applyAlignment="1">
      <alignment wrapText="1"/>
    </xf>
    <xf numFmtId="0" fontId="24" fillId="0" borderId="0" xfId="0" applyFont="1"/>
    <xf numFmtId="0" fontId="12" fillId="5" borderId="28" xfId="0" applyFont="1" applyFill="1" applyBorder="1"/>
    <xf numFmtId="0" fontId="2" fillId="5" borderId="39" xfId="0" applyFont="1" applyFill="1" applyBorder="1"/>
    <xf numFmtId="0" fontId="5" fillId="5" borderId="2" xfId="0" applyFont="1" applyFill="1" applyBorder="1"/>
    <xf numFmtId="0" fontId="2" fillId="5" borderId="41" xfId="0" applyFont="1" applyFill="1" applyBorder="1"/>
    <xf numFmtId="0" fontId="0" fillId="5" borderId="28" xfId="0" applyFill="1" applyBorder="1"/>
    <xf numFmtId="0" fontId="0" fillId="5" borderId="2" xfId="0" applyFill="1" applyBorder="1" applyAlignment="1">
      <alignment wrapText="1"/>
    </xf>
    <xf numFmtId="0" fontId="0" fillId="3" borderId="2" xfId="0" applyFill="1" applyBorder="1"/>
    <xf numFmtId="0" fontId="0" fillId="4" borderId="40" xfId="0" applyFill="1" applyBorder="1"/>
    <xf numFmtId="1" fontId="2" fillId="4" borderId="41" xfId="0" applyNumberFormat="1" applyFont="1" applyFill="1" applyBorder="1"/>
    <xf numFmtId="0" fontId="0" fillId="4" borderId="3" xfId="0" applyFill="1" applyBorder="1"/>
    <xf numFmtId="1" fontId="2" fillId="4" borderId="5" xfId="0" applyNumberFormat="1" applyFont="1" applyFill="1" applyBorder="1"/>
    <xf numFmtId="0" fontId="0" fillId="13" borderId="3" xfId="0" applyFill="1" applyBorder="1"/>
    <xf numFmtId="0" fontId="0" fillId="13" borderId="4" xfId="0" applyFill="1" applyBorder="1"/>
    <xf numFmtId="0" fontId="2" fillId="13" borderId="5" xfId="0" applyFont="1" applyFill="1" applyBorder="1"/>
    <xf numFmtId="0" fontId="21" fillId="13" borderId="4" xfId="0" applyFont="1" applyFill="1" applyBorder="1"/>
    <xf numFmtId="9" fontId="12" fillId="13" borderId="4" xfId="0" applyNumberFormat="1" applyFont="1" applyFill="1" applyBorder="1"/>
    <xf numFmtId="1" fontId="2" fillId="13" borderId="5" xfId="0" applyNumberFormat="1" applyFont="1" applyFill="1" applyBorder="1"/>
    <xf numFmtId="0" fontId="0" fillId="13" borderId="40" xfId="0" applyFill="1" applyBorder="1"/>
    <xf numFmtId="9" fontId="5" fillId="13" borderId="2" xfId="1" applyFont="1" applyFill="1" applyBorder="1"/>
    <xf numFmtId="1" fontId="2" fillId="13" borderId="41" xfId="0" applyNumberFormat="1" applyFont="1" applyFill="1" applyBorder="1"/>
    <xf numFmtId="0" fontId="2" fillId="25" borderId="40" xfId="0" applyFont="1" applyFill="1" applyBorder="1"/>
    <xf numFmtId="0" fontId="5" fillId="25" borderId="2" xfId="0" applyFont="1" applyFill="1" applyBorder="1"/>
    <xf numFmtId="0" fontId="2" fillId="25" borderId="3" xfId="0" applyFont="1" applyFill="1" applyBorder="1"/>
    <xf numFmtId="0" fontId="5" fillId="25" borderId="4" xfId="0" applyFont="1" applyFill="1" applyBorder="1"/>
    <xf numFmtId="0" fontId="2" fillId="25" borderId="5" xfId="0" applyFont="1" applyFill="1" applyBorder="1"/>
    <xf numFmtId="0" fontId="22" fillId="10" borderId="16" xfId="0" applyFont="1" applyFill="1" applyBorder="1"/>
    <xf numFmtId="0" fontId="2" fillId="10" borderId="11" xfId="0" applyFont="1" applyFill="1" applyBorder="1" applyAlignment="1">
      <alignment horizontal="center" vertical="center"/>
    </xf>
    <xf numFmtId="0" fontId="0" fillId="4" borderId="38" xfId="0" applyFill="1" applyBorder="1"/>
    <xf numFmtId="0" fontId="0" fillId="4" borderId="28" xfId="0" applyFill="1" applyBorder="1"/>
    <xf numFmtId="0" fontId="2" fillId="25" borderId="2" xfId="0" applyFont="1" applyFill="1" applyBorder="1"/>
    <xf numFmtId="0" fontId="0" fillId="10" borderId="29" xfId="0" applyFill="1" applyBorder="1"/>
    <xf numFmtId="0" fontId="12" fillId="10" borderId="29" xfId="0" applyFont="1" applyFill="1" applyBorder="1"/>
    <xf numFmtId="1" fontId="2" fillId="10" borderId="29" xfId="0" applyNumberFormat="1" applyFont="1" applyFill="1" applyBorder="1"/>
    <xf numFmtId="0" fontId="0" fillId="10" borderId="38" xfId="0" applyFill="1" applyBorder="1"/>
    <xf numFmtId="0" fontId="22" fillId="10" borderId="28" xfId="0" applyFont="1" applyFill="1" applyBorder="1"/>
    <xf numFmtId="1" fontId="2" fillId="10" borderId="39" xfId="0" applyNumberFormat="1" applyFont="1" applyFill="1" applyBorder="1"/>
    <xf numFmtId="0" fontId="0" fillId="10" borderId="47" xfId="0" applyFill="1" applyBorder="1"/>
    <xf numFmtId="0" fontId="2" fillId="10" borderId="48" xfId="0" applyFont="1" applyFill="1" applyBorder="1"/>
    <xf numFmtId="0" fontId="0" fillId="10" borderId="40" xfId="0" applyFill="1" applyBorder="1"/>
    <xf numFmtId="0" fontId="5" fillId="10" borderId="2" xfId="0" applyFont="1" applyFill="1" applyBorder="1"/>
    <xf numFmtId="0" fontId="2" fillId="10" borderId="41" xfId="0" applyFont="1" applyFill="1" applyBorder="1"/>
    <xf numFmtId="0" fontId="2" fillId="5" borderId="43" xfId="0" applyFont="1" applyFill="1" applyBorder="1" applyAlignment="1">
      <alignment horizontal="center" vertical="center"/>
    </xf>
    <xf numFmtId="0" fontId="2" fillId="6" borderId="43" xfId="0" applyFont="1" applyFill="1" applyBorder="1" applyAlignment="1">
      <alignment horizontal="center" vertical="center" wrapText="1"/>
    </xf>
    <xf numFmtId="0" fontId="2" fillId="4" borderId="43" xfId="0" applyFont="1" applyFill="1" applyBorder="1" applyAlignment="1">
      <alignment horizontal="center" vertical="center"/>
    </xf>
    <xf numFmtId="0" fontId="2" fillId="13" borderId="43" xfId="0" applyFont="1" applyFill="1" applyBorder="1" applyAlignment="1">
      <alignment horizontal="center" vertical="center"/>
    </xf>
    <xf numFmtId="0" fontId="2" fillId="25" borderId="43" xfId="0" applyFont="1" applyFill="1" applyBorder="1" applyAlignment="1">
      <alignment horizontal="center" vertical="center"/>
    </xf>
    <xf numFmtId="0" fontId="2" fillId="10" borderId="43" xfId="0" applyFont="1" applyFill="1" applyBorder="1" applyAlignment="1">
      <alignment horizontal="center" vertical="center"/>
    </xf>
    <xf numFmtId="0" fontId="2" fillId="10" borderId="43" xfId="0" applyFont="1" applyFill="1" applyBorder="1" applyAlignment="1">
      <alignment horizontal="center" vertical="center" wrapText="1"/>
    </xf>
    <xf numFmtId="0" fontId="2" fillId="10" borderId="44" xfId="0" applyFont="1" applyFill="1" applyBorder="1" applyAlignment="1">
      <alignment horizontal="center" vertical="center"/>
    </xf>
    <xf numFmtId="0" fontId="2" fillId="10" borderId="50" xfId="0" applyFont="1" applyFill="1" applyBorder="1" applyAlignment="1">
      <alignment horizontal="center" vertical="center"/>
    </xf>
    <xf numFmtId="0" fontId="5" fillId="0" borderId="0" xfId="0" applyFont="1"/>
    <xf numFmtId="0" fontId="0" fillId="0" borderId="46" xfId="0" applyBorder="1" applyAlignment="1">
      <alignment horizontal="center"/>
    </xf>
    <xf numFmtId="0" fontId="2" fillId="15" borderId="42" xfId="0" applyFont="1" applyFill="1" applyBorder="1" applyAlignment="1">
      <alignment horizontal="center"/>
    </xf>
    <xf numFmtId="0" fontId="2" fillId="15" borderId="43" xfId="0" applyFont="1" applyFill="1" applyBorder="1" applyAlignment="1">
      <alignment horizontal="center"/>
    </xf>
    <xf numFmtId="0" fontId="2" fillId="2" borderId="43" xfId="0" applyFont="1" applyFill="1" applyBorder="1" applyAlignment="1">
      <alignment horizontal="center" vertical="center"/>
    </xf>
    <xf numFmtId="0" fontId="10" fillId="2" borderId="43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center" vertical="center"/>
    </xf>
    <xf numFmtId="0" fontId="2" fillId="15" borderId="49" xfId="0" applyFont="1" applyFill="1" applyBorder="1" applyAlignment="1">
      <alignment horizontal="center"/>
    </xf>
    <xf numFmtId="14" fontId="5" fillId="0" borderId="45" xfId="0" applyNumberFormat="1" applyFont="1" applyBorder="1" applyAlignment="1">
      <alignment horizontal="center"/>
    </xf>
    <xf numFmtId="2" fontId="5" fillId="0" borderId="0" xfId="0" applyNumberFormat="1" applyFont="1" applyAlignment="1">
      <alignment horizontal="center"/>
    </xf>
    <xf numFmtId="2" fontId="0" fillId="0" borderId="0" xfId="2" applyNumberFormat="1" applyFont="1" applyBorder="1"/>
    <xf numFmtId="2" fontId="0" fillId="16" borderId="0" xfId="0" applyNumberFormat="1" applyFill="1" applyAlignment="1">
      <alignment horizontal="center"/>
    </xf>
    <xf numFmtId="2" fontId="2" fillId="0" borderId="2" xfId="0" applyNumberFormat="1" applyFont="1" applyBorder="1"/>
    <xf numFmtId="0" fontId="2" fillId="10" borderId="2" xfId="0" applyFont="1" applyFill="1" applyBorder="1"/>
    <xf numFmtId="2" fontId="2" fillId="10" borderId="41" xfId="0" applyNumberFormat="1" applyFont="1" applyFill="1" applyBorder="1"/>
    <xf numFmtId="2" fontId="10" fillId="13" borderId="2" xfId="0" applyNumberFormat="1" applyFont="1" applyFill="1" applyBorder="1"/>
    <xf numFmtId="2" fontId="2" fillId="13" borderId="2" xfId="0" applyNumberFormat="1" applyFont="1" applyFill="1" applyBorder="1"/>
    <xf numFmtId="2" fontId="2" fillId="4" borderId="2" xfId="0" applyNumberFormat="1" applyFont="1" applyFill="1" applyBorder="1"/>
    <xf numFmtId="2" fontId="2" fillId="6" borderId="2" xfId="0" applyNumberFormat="1" applyFont="1" applyFill="1" applyBorder="1"/>
    <xf numFmtId="2" fontId="2" fillId="9" borderId="2" xfId="0" applyNumberFormat="1" applyFont="1" applyFill="1" applyBorder="1"/>
    <xf numFmtId="2" fontId="2" fillId="3" borderId="2" xfId="0" applyNumberFormat="1" applyFont="1" applyFill="1" applyBorder="1"/>
    <xf numFmtId="0" fontId="2" fillId="3" borderId="2" xfId="0" applyFont="1" applyFill="1" applyBorder="1"/>
    <xf numFmtId="2" fontId="2" fillId="2" borderId="2" xfId="0" applyNumberFormat="1" applyFont="1" applyFill="1" applyBorder="1"/>
    <xf numFmtId="14" fontId="10" fillId="5" borderId="40" xfId="0" applyNumberFormat="1" applyFont="1" applyFill="1" applyBorder="1" applyAlignment="1">
      <alignment horizontal="center"/>
    </xf>
    <xf numFmtId="2" fontId="2" fillId="5" borderId="2" xfId="0" applyNumberFormat="1" applyFont="1" applyFill="1" applyBorder="1"/>
    <xf numFmtId="0" fontId="11" fillId="4" borderId="39" xfId="0" applyFont="1" applyFill="1" applyBorder="1"/>
    <xf numFmtId="0" fontId="12" fillId="25" borderId="2" xfId="0" applyFont="1" applyFill="1" applyBorder="1"/>
    <xf numFmtId="0" fontId="0" fillId="0" borderId="24" xfId="0" applyBorder="1"/>
    <xf numFmtId="0" fontId="24" fillId="0" borderId="24" xfId="0" applyFont="1" applyBorder="1"/>
    <xf numFmtId="0" fontId="3" fillId="8" borderId="51" xfId="0" applyFont="1" applyFill="1" applyBorder="1"/>
    <xf numFmtId="2" fontId="2" fillId="27" borderId="52" xfId="0" applyNumberFormat="1" applyFont="1" applyFill="1" applyBorder="1" applyAlignment="1">
      <alignment horizontal="center"/>
    </xf>
    <xf numFmtId="2" fontId="0" fillId="27" borderId="53" xfId="0" applyNumberFormat="1" applyFill="1" applyBorder="1" applyAlignment="1">
      <alignment horizontal="center"/>
    </xf>
    <xf numFmtId="2" fontId="2" fillId="10" borderId="54" xfId="0" applyNumberFormat="1" applyFont="1" applyFill="1" applyBorder="1" applyAlignment="1">
      <alignment horizontal="center"/>
    </xf>
    <xf numFmtId="2" fontId="0" fillId="10" borderId="55" xfId="0" applyNumberFormat="1" applyFill="1" applyBorder="1" applyAlignment="1">
      <alignment horizontal="center"/>
    </xf>
    <xf numFmtId="0" fontId="10" fillId="6" borderId="6" xfId="0" applyFont="1" applyFill="1" applyBorder="1" applyAlignment="1">
      <alignment horizontal="center" vertical="center"/>
    </xf>
    <xf numFmtId="2" fontId="0" fillId="0" borderId="6" xfId="0" applyNumberFormat="1" applyBorder="1"/>
    <xf numFmtId="2" fontId="6" fillId="0" borderId="6" xfId="0" applyNumberFormat="1" applyFont="1" applyBorder="1"/>
    <xf numFmtId="2" fontId="9" fillId="0" borderId="6" xfId="0" applyNumberFormat="1" applyFont="1" applyBorder="1"/>
    <xf numFmtId="2" fontId="6" fillId="0" borderId="6" xfId="0" applyNumberFormat="1" applyFont="1" applyBorder="1" applyAlignment="1">
      <alignment horizontal="center" vertical="center"/>
    </xf>
    <xf numFmtId="2" fontId="2" fillId="0" borderId="0" xfId="0" applyNumberFormat="1" applyFont="1" applyAlignment="1">
      <alignment horizontal="center"/>
    </xf>
    <xf numFmtId="2" fontId="10" fillId="10" borderId="6" xfId="0" applyNumberFormat="1" applyFont="1" applyFill="1" applyBorder="1" applyAlignment="1">
      <alignment horizontal="center" vertical="center"/>
    </xf>
    <xf numFmtId="0" fontId="10" fillId="12" borderId="25" xfId="0" applyFont="1" applyFill="1" applyBorder="1" applyAlignment="1">
      <alignment horizontal="center"/>
    </xf>
    <xf numFmtId="0" fontId="3" fillId="13" borderId="29" xfId="0" applyFont="1" applyFill="1" applyBorder="1" applyAlignment="1">
      <alignment horizontal="center"/>
    </xf>
    <xf numFmtId="0" fontId="3" fillId="13" borderId="0" xfId="0" applyFont="1" applyFill="1" applyAlignment="1">
      <alignment horizontal="center"/>
    </xf>
    <xf numFmtId="0" fontId="10" fillId="13" borderId="0" xfId="0" applyFont="1" applyFill="1" applyAlignment="1">
      <alignment horizontal="center"/>
    </xf>
    <xf numFmtId="0" fontId="0" fillId="22" borderId="6" xfId="0" applyFill="1" applyBorder="1"/>
    <xf numFmtId="0" fontId="0" fillId="22" borderId="6" xfId="0" applyFill="1" applyBorder="1" applyAlignment="1">
      <alignment horizontal="center" vertical="center"/>
    </xf>
    <xf numFmtId="0" fontId="12" fillId="28" borderId="6" xfId="0" applyFont="1" applyFill="1" applyBorder="1"/>
    <xf numFmtId="0" fontId="10" fillId="28" borderId="6" xfId="0" applyFont="1" applyFill="1" applyBorder="1" applyAlignment="1">
      <alignment horizontal="center" vertical="center"/>
    </xf>
    <xf numFmtId="2" fontId="10" fillId="28" borderId="6" xfId="0" applyNumberFormat="1" applyFont="1" applyFill="1" applyBorder="1" applyAlignment="1">
      <alignment horizontal="center" vertical="center"/>
    </xf>
    <xf numFmtId="168" fontId="0" fillId="0" borderId="0" xfId="0" applyNumberFormat="1"/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6" fillId="13" borderId="24" xfId="0" applyFont="1" applyFill="1" applyBorder="1" applyAlignment="1">
      <alignment horizontal="center"/>
    </xf>
    <xf numFmtId="0" fontId="16" fillId="13" borderId="0" xfId="0" applyFont="1" applyFill="1" applyAlignment="1">
      <alignment horizontal="center"/>
    </xf>
    <xf numFmtId="0" fontId="17" fillId="13" borderId="24" xfId="0" applyFont="1" applyFill="1" applyBorder="1" applyAlignment="1">
      <alignment horizontal="center"/>
    </xf>
    <xf numFmtId="0" fontId="17" fillId="13" borderId="0" xfId="0" applyFont="1" applyFill="1" applyAlignment="1">
      <alignment horizontal="center"/>
    </xf>
    <xf numFmtId="0" fontId="2" fillId="24" borderId="27" xfId="0" applyFont="1" applyFill="1" applyBorder="1" applyAlignment="1">
      <alignment horizontal="center" vertical="center" textRotation="90"/>
    </xf>
    <xf numFmtId="0" fontId="2" fillId="24" borderId="24" xfId="0" applyFont="1" applyFill="1" applyBorder="1" applyAlignment="1">
      <alignment horizontal="center" vertical="center" textRotation="90"/>
    </xf>
    <xf numFmtId="0" fontId="2" fillId="24" borderId="18" xfId="0" applyFont="1" applyFill="1" applyBorder="1" applyAlignment="1">
      <alignment horizontal="center" vertical="center" textRotation="90"/>
    </xf>
    <xf numFmtId="0" fontId="2" fillId="24" borderId="29" xfId="0" applyFont="1" applyFill="1" applyBorder="1" applyAlignment="1">
      <alignment horizontal="center"/>
    </xf>
    <xf numFmtId="0" fontId="2" fillId="24" borderId="30" xfId="0" applyFont="1" applyFill="1" applyBorder="1" applyAlignment="1">
      <alignment horizontal="center"/>
    </xf>
    <xf numFmtId="0" fontId="2" fillId="16" borderId="15" xfId="0" applyFont="1" applyFill="1" applyBorder="1" applyAlignment="1">
      <alignment horizontal="center"/>
    </xf>
    <xf numFmtId="0" fontId="2" fillId="16" borderId="17" xfId="0" applyFont="1" applyFill="1" applyBorder="1" applyAlignment="1">
      <alignment horizontal="center"/>
    </xf>
    <xf numFmtId="0" fontId="2" fillId="16" borderId="9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10" fillId="11" borderId="3" xfId="0" applyFont="1" applyFill="1" applyBorder="1" applyAlignment="1">
      <alignment horizontal="center"/>
    </xf>
    <xf numFmtId="0" fontId="10" fillId="11" borderId="4" xfId="0" applyFont="1" applyFill="1" applyBorder="1" applyAlignment="1">
      <alignment horizontal="center"/>
    </xf>
    <xf numFmtId="0" fontId="10" fillId="11" borderId="5" xfId="0" applyFont="1" applyFill="1" applyBorder="1" applyAlignment="1">
      <alignment horizontal="center"/>
    </xf>
  </cellXfs>
  <cellStyles count="4">
    <cellStyle name="Comma" xfId="2" builtinId="3"/>
    <cellStyle name="Currency" xfId="3" builtinId="4"/>
    <cellStyle name="Normal" xfId="0" builtinId="0"/>
    <cellStyle name="Percent" xfId="1" builtinId="5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AB81FF"/>
      <color rgb="FF9966FF"/>
      <color rgb="FFFBD1D1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Pump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'Pump Main'!$C$9:$C$10</c:f>
              <c:strCache>
                <c:ptCount val="2"/>
                <c:pt idx="0">
                  <c:v>Pump Pressure</c:v>
                </c:pt>
                <c:pt idx="1">
                  <c:v>[kPa]</c:v>
                </c:pt>
              </c:strCache>
            </c:strRef>
          </c:tx>
          <c:spPr>
            <a:ln w="28575" cap="rnd">
              <a:solidFill>
                <a:srgbClr val="548235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'Pump Main'!$B$11:$B$41</c:f>
              <c:numCache>
                <c:formatCode>0.00</c:formatCode>
                <c:ptCount val="31"/>
                <c:pt idx="0">
                  <c:v>0</c:v>
                </c:pt>
                <c:pt idx="1">
                  <c:v>1.8849555921538761</c:v>
                </c:pt>
                <c:pt idx="2">
                  <c:v>3.7699111843077522</c:v>
                </c:pt>
                <c:pt idx="3">
                  <c:v>5.6548667764616285</c:v>
                </c:pt>
                <c:pt idx="4">
                  <c:v>7.5398223686155044</c:v>
                </c:pt>
                <c:pt idx="5">
                  <c:v>9.4247779607693793</c:v>
                </c:pt>
                <c:pt idx="6">
                  <c:v>11.309733552923257</c:v>
                </c:pt>
                <c:pt idx="7">
                  <c:v>13.194689145077131</c:v>
                </c:pt>
                <c:pt idx="8">
                  <c:v>15.079644737231009</c:v>
                </c:pt>
                <c:pt idx="9">
                  <c:v>16.964600329384883</c:v>
                </c:pt>
                <c:pt idx="10">
                  <c:v>18.849555921538759</c:v>
                </c:pt>
                <c:pt idx="11">
                  <c:v>20.734511513692638</c:v>
                </c:pt>
                <c:pt idx="12">
                  <c:v>22.619467105846514</c:v>
                </c:pt>
                <c:pt idx="13">
                  <c:v>24.504422698000386</c:v>
                </c:pt>
                <c:pt idx="14">
                  <c:v>26.389378290154262</c:v>
                </c:pt>
                <c:pt idx="15">
                  <c:v>28.274333882308138</c:v>
                </c:pt>
                <c:pt idx="16">
                  <c:v>30.159289474462017</c:v>
                </c:pt>
                <c:pt idx="17">
                  <c:v>32.044245066615893</c:v>
                </c:pt>
                <c:pt idx="18">
                  <c:v>33.929200658769766</c:v>
                </c:pt>
                <c:pt idx="19">
                  <c:v>35.814156250923645</c:v>
                </c:pt>
                <c:pt idx="20">
                  <c:v>37.699111843077517</c:v>
                </c:pt>
                <c:pt idx="21">
                  <c:v>39.58406743523139</c:v>
                </c:pt>
                <c:pt idx="22">
                  <c:v>41.469023027385276</c:v>
                </c:pt>
                <c:pt idx="23">
                  <c:v>43.353978619539141</c:v>
                </c:pt>
                <c:pt idx="24">
                  <c:v>45.238934211693028</c:v>
                </c:pt>
                <c:pt idx="25">
                  <c:v>47.1238898038469</c:v>
                </c:pt>
                <c:pt idx="26">
                  <c:v>49.008845396000773</c:v>
                </c:pt>
                <c:pt idx="27">
                  <c:v>50.893800988154652</c:v>
                </c:pt>
                <c:pt idx="28">
                  <c:v>52.778756580308524</c:v>
                </c:pt>
                <c:pt idx="29">
                  <c:v>54.663712172462411</c:v>
                </c:pt>
                <c:pt idx="30">
                  <c:v>56.548667764616276</c:v>
                </c:pt>
              </c:numCache>
            </c:numRef>
          </c:cat>
          <c:val>
            <c:numRef>
              <c:f>'Pump Main'!$C$11:$C$41</c:f>
              <c:numCache>
                <c:formatCode>0.00</c:formatCode>
                <c:ptCount val="31"/>
                <c:pt idx="0">
                  <c:v>150.9</c:v>
                </c:pt>
                <c:pt idx="1">
                  <c:v>150.15936091857699</c:v>
                </c:pt>
                <c:pt idx="2">
                  <c:v>149.29649665625087</c:v>
                </c:pt>
                <c:pt idx="3">
                  <c:v>148.31140721302168</c:v>
                </c:pt>
                <c:pt idx="4">
                  <c:v>147.20409258888938</c:v>
                </c:pt>
                <c:pt idx="5">
                  <c:v>145.97455278385402</c:v>
                </c:pt>
                <c:pt idx="6">
                  <c:v>144.62278779791555</c:v>
                </c:pt>
                <c:pt idx="7">
                  <c:v>143.14879763107399</c:v>
                </c:pt>
                <c:pt idx="8">
                  <c:v>141.55258228332931</c:v>
                </c:pt>
                <c:pt idx="9">
                  <c:v>139.83414175468158</c:v>
                </c:pt>
                <c:pt idx="10">
                  <c:v>137.99347604513076</c:v>
                </c:pt>
                <c:pt idx="11">
                  <c:v>136.03058515467683</c:v>
                </c:pt>
                <c:pt idx="12">
                  <c:v>133.94546908331981</c:v>
                </c:pt>
                <c:pt idx="13">
                  <c:v>131.73812783105973</c:v>
                </c:pt>
                <c:pt idx="14">
                  <c:v>129.40856139789651</c:v>
                </c:pt>
                <c:pt idx="15">
                  <c:v>126.95676978383023</c:v>
                </c:pt>
                <c:pt idx="16">
                  <c:v>124.38275298886084</c:v>
                </c:pt>
                <c:pt idx="17">
                  <c:v>121.68651101298838</c:v>
                </c:pt>
                <c:pt idx="18">
                  <c:v>118.86804385621284</c:v>
                </c:pt>
                <c:pt idx="19">
                  <c:v>115.92735151853418</c:v>
                </c:pt>
                <c:pt idx="20">
                  <c:v>112.86443399995244</c:v>
                </c:pt>
                <c:pt idx="21">
                  <c:v>109.67929130046761</c:v>
                </c:pt>
                <c:pt idx="22">
                  <c:v>106.37192342007967</c:v>
                </c:pt>
                <c:pt idx="23">
                  <c:v>102.94233035878868</c:v>
                </c:pt>
                <c:pt idx="24">
                  <c:v>99.390512116594564</c:v>
                </c:pt>
                <c:pt idx="25">
                  <c:v>95.716468693497376</c:v>
                </c:pt>
                <c:pt idx="26">
                  <c:v>91.920200089497115</c:v>
                </c:pt>
                <c:pt idx="27">
                  <c:v>88.001706304593725</c:v>
                </c:pt>
                <c:pt idx="28">
                  <c:v>83.960987338787277</c:v>
                </c:pt>
                <c:pt idx="29">
                  <c:v>79.798043192077685</c:v>
                </c:pt>
                <c:pt idx="30">
                  <c:v>75.512873864465064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04-4E91-93F4-D2C31B03AECC}"/>
            </c:ext>
          </c:extLst>
        </c:ser>
        <c:ser>
          <c:idx val="3"/>
          <c:order val="1"/>
          <c:tx>
            <c:strRef>
              <c:f>'Pump Main'!$D$9:$D$10</c:f>
              <c:strCache>
                <c:ptCount val="2"/>
                <c:pt idx="0">
                  <c:v>System Pressure</c:v>
                </c:pt>
                <c:pt idx="1">
                  <c:v>[kPa]</c:v>
                </c:pt>
              </c:strCache>
            </c:strRef>
          </c:tx>
          <c:spPr>
            <a:ln w="28575" cap="rnd">
              <a:solidFill>
                <a:srgbClr val="BF8F0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'Pump Main'!$B$11:$B$41</c:f>
              <c:numCache>
                <c:formatCode>0.00</c:formatCode>
                <c:ptCount val="31"/>
                <c:pt idx="0">
                  <c:v>0</c:v>
                </c:pt>
                <c:pt idx="1">
                  <c:v>1.8849555921538761</c:v>
                </c:pt>
                <c:pt idx="2">
                  <c:v>3.7699111843077522</c:v>
                </c:pt>
                <c:pt idx="3">
                  <c:v>5.6548667764616285</c:v>
                </c:pt>
                <c:pt idx="4">
                  <c:v>7.5398223686155044</c:v>
                </c:pt>
                <c:pt idx="5">
                  <c:v>9.4247779607693793</c:v>
                </c:pt>
                <c:pt idx="6">
                  <c:v>11.309733552923257</c:v>
                </c:pt>
                <c:pt idx="7">
                  <c:v>13.194689145077131</c:v>
                </c:pt>
                <c:pt idx="8">
                  <c:v>15.079644737231009</c:v>
                </c:pt>
                <c:pt idx="9">
                  <c:v>16.964600329384883</c:v>
                </c:pt>
                <c:pt idx="10">
                  <c:v>18.849555921538759</c:v>
                </c:pt>
                <c:pt idx="11">
                  <c:v>20.734511513692638</c:v>
                </c:pt>
                <c:pt idx="12">
                  <c:v>22.619467105846514</c:v>
                </c:pt>
                <c:pt idx="13">
                  <c:v>24.504422698000386</c:v>
                </c:pt>
                <c:pt idx="14">
                  <c:v>26.389378290154262</c:v>
                </c:pt>
                <c:pt idx="15">
                  <c:v>28.274333882308138</c:v>
                </c:pt>
                <c:pt idx="16">
                  <c:v>30.159289474462017</c:v>
                </c:pt>
                <c:pt idx="17">
                  <c:v>32.044245066615893</c:v>
                </c:pt>
                <c:pt idx="18">
                  <c:v>33.929200658769766</c:v>
                </c:pt>
                <c:pt idx="19">
                  <c:v>35.814156250923645</c:v>
                </c:pt>
                <c:pt idx="20">
                  <c:v>37.699111843077517</c:v>
                </c:pt>
                <c:pt idx="21">
                  <c:v>39.58406743523139</c:v>
                </c:pt>
                <c:pt idx="22">
                  <c:v>41.469023027385276</c:v>
                </c:pt>
                <c:pt idx="23">
                  <c:v>43.353978619539141</c:v>
                </c:pt>
                <c:pt idx="24">
                  <c:v>45.238934211693028</c:v>
                </c:pt>
                <c:pt idx="25">
                  <c:v>47.1238898038469</c:v>
                </c:pt>
                <c:pt idx="26">
                  <c:v>49.008845396000773</c:v>
                </c:pt>
                <c:pt idx="27">
                  <c:v>50.893800988154652</c:v>
                </c:pt>
                <c:pt idx="28">
                  <c:v>52.778756580308524</c:v>
                </c:pt>
                <c:pt idx="29">
                  <c:v>54.663712172462411</c:v>
                </c:pt>
                <c:pt idx="30">
                  <c:v>56.548667764616276</c:v>
                </c:pt>
              </c:numCache>
            </c:numRef>
          </c:cat>
          <c:val>
            <c:numRef>
              <c:f>'Pump Main'!$D$11:$D$41</c:f>
              <c:numCache>
                <c:formatCode>0.00</c:formatCode>
                <c:ptCount val="31"/>
                <c:pt idx="0">
                  <c:v>82.403999999999996</c:v>
                </c:pt>
                <c:pt idx="1">
                  <c:v>82.570726406220189</c:v>
                </c:pt>
                <c:pt idx="2">
                  <c:v>83.07090562488078</c:v>
                </c:pt>
                <c:pt idx="3">
                  <c:v>83.904537655981741</c:v>
                </c:pt>
                <c:pt idx="4">
                  <c:v>85.071622499523102</c:v>
                </c:pt>
                <c:pt idx="5">
                  <c:v>86.572160155504847</c:v>
                </c:pt>
                <c:pt idx="6">
                  <c:v>88.406150623926962</c:v>
                </c:pt>
                <c:pt idx="7">
                  <c:v>90.573593904789476</c:v>
                </c:pt>
                <c:pt idx="8">
                  <c:v>93.074489998092375</c:v>
                </c:pt>
                <c:pt idx="9">
                  <c:v>95.908838903835672</c:v>
                </c:pt>
                <c:pt idx="10">
                  <c:v>99.07664062201934</c:v>
                </c:pt>
                <c:pt idx="11">
                  <c:v>102.57789515264341</c:v>
                </c:pt>
                <c:pt idx="12">
                  <c:v>106.41260249570786</c:v>
                </c:pt>
                <c:pt idx="13">
                  <c:v>110.58076265121271</c:v>
                </c:pt>
                <c:pt idx="14">
                  <c:v>115.08237561915792</c:v>
                </c:pt>
                <c:pt idx="15">
                  <c:v>119.91744139954353</c:v>
                </c:pt>
                <c:pt idx="16">
                  <c:v>125.08595999236955</c:v>
                </c:pt>
                <c:pt idx="17">
                  <c:v>130.58793139763588</c:v>
                </c:pt>
                <c:pt idx="18">
                  <c:v>136.42335561534267</c:v>
                </c:pt>
                <c:pt idx="19">
                  <c:v>142.59223264548984</c:v>
                </c:pt>
                <c:pt idx="20">
                  <c:v>149.09456248807737</c:v>
                </c:pt>
                <c:pt idx="21">
                  <c:v>155.93034514310531</c:v>
                </c:pt>
                <c:pt idx="22">
                  <c:v>163.09958061057364</c:v>
                </c:pt>
                <c:pt idx="23">
                  <c:v>170.60226889048232</c:v>
                </c:pt>
                <c:pt idx="24">
                  <c:v>178.43840998283144</c:v>
                </c:pt>
                <c:pt idx="25">
                  <c:v>186.60800388762092</c:v>
                </c:pt>
                <c:pt idx="26">
                  <c:v>195.11105060485082</c:v>
                </c:pt>
                <c:pt idx="27">
                  <c:v>203.94755013452104</c:v>
                </c:pt>
                <c:pt idx="28">
                  <c:v>213.11750247663167</c:v>
                </c:pt>
                <c:pt idx="29">
                  <c:v>222.62090763118272</c:v>
                </c:pt>
                <c:pt idx="30">
                  <c:v>232.45776559817412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04-4E91-93F4-D2C31B03AE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4404615"/>
        <c:axId val="1414414855"/>
      </c:lineChart>
      <c:catAx>
        <c:axId val="1414404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</a:t>
                </a:r>
                <a:r>
                  <a:rPr lang="en-US" baseline="0"/>
                  <a:t> (LPM)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4414855"/>
        <c:crosses val="autoZero"/>
        <c:auto val="1"/>
        <c:lblAlgn val="ctr"/>
        <c:lblOffset val="100"/>
        <c:noMultiLvlLbl val="0"/>
      </c:catAx>
      <c:valAx>
        <c:axId val="1414414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 (kPA)</a:t>
                </a:r>
              </a:p>
            </c:rich>
          </c:tx>
          <c:layout>
            <c:manualLayout>
              <c:xMode val="edge"/>
              <c:yMode val="edge"/>
              <c:x val="2.8089887640449437E-2"/>
              <c:y val="0.281611057610604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4404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Pump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'Storage System Flow'!$C$9:$C$10</c:f>
              <c:strCache>
                <c:ptCount val="2"/>
                <c:pt idx="0">
                  <c:v>Storage Curve</c:v>
                </c:pt>
                <c:pt idx="1">
                  <c:v>[kPa]</c:v>
                </c:pt>
              </c:strCache>
            </c:strRef>
          </c:tx>
          <c:spPr>
            <a:ln w="28575" cap="rnd">
              <a:solidFill>
                <a:srgbClr val="548235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'Storage System Flow'!$B$11:$B$41</c:f>
              <c:numCache>
                <c:formatCode>0.00</c:formatCode>
                <c:ptCount val="31"/>
                <c:pt idx="0">
                  <c:v>0</c:v>
                </c:pt>
                <c:pt idx="1">
                  <c:v>1.8849555921538761</c:v>
                </c:pt>
                <c:pt idx="2">
                  <c:v>3.7699111843077522</c:v>
                </c:pt>
                <c:pt idx="3">
                  <c:v>5.6548667764616285</c:v>
                </c:pt>
                <c:pt idx="4">
                  <c:v>7.5398223686155044</c:v>
                </c:pt>
                <c:pt idx="5">
                  <c:v>9.4247779607693793</c:v>
                </c:pt>
                <c:pt idx="6">
                  <c:v>11.309733552923257</c:v>
                </c:pt>
                <c:pt idx="7">
                  <c:v>13.194689145077131</c:v>
                </c:pt>
                <c:pt idx="8">
                  <c:v>15.079644737231009</c:v>
                </c:pt>
                <c:pt idx="9">
                  <c:v>16.964600329384883</c:v>
                </c:pt>
                <c:pt idx="10">
                  <c:v>18.849555921538759</c:v>
                </c:pt>
                <c:pt idx="11">
                  <c:v>20.734511513692638</c:v>
                </c:pt>
                <c:pt idx="12">
                  <c:v>22.619467105846514</c:v>
                </c:pt>
                <c:pt idx="13">
                  <c:v>24.504422698000386</c:v>
                </c:pt>
                <c:pt idx="14">
                  <c:v>26.389378290154262</c:v>
                </c:pt>
                <c:pt idx="15">
                  <c:v>28.274333882308138</c:v>
                </c:pt>
                <c:pt idx="16">
                  <c:v>30.159289474462017</c:v>
                </c:pt>
                <c:pt idx="17">
                  <c:v>32.044245066615893</c:v>
                </c:pt>
                <c:pt idx="18">
                  <c:v>33.929200658769766</c:v>
                </c:pt>
                <c:pt idx="19">
                  <c:v>35.814156250923645</c:v>
                </c:pt>
                <c:pt idx="20">
                  <c:v>37.699111843077517</c:v>
                </c:pt>
                <c:pt idx="21">
                  <c:v>39.58406743523139</c:v>
                </c:pt>
                <c:pt idx="22">
                  <c:v>41.469023027385276</c:v>
                </c:pt>
                <c:pt idx="23">
                  <c:v>43.353978619539141</c:v>
                </c:pt>
                <c:pt idx="24">
                  <c:v>45.238934211693028</c:v>
                </c:pt>
                <c:pt idx="25">
                  <c:v>47.1238898038469</c:v>
                </c:pt>
                <c:pt idx="26">
                  <c:v>49.008845396000773</c:v>
                </c:pt>
                <c:pt idx="27">
                  <c:v>50.893800988154652</c:v>
                </c:pt>
                <c:pt idx="28">
                  <c:v>52.778756580308524</c:v>
                </c:pt>
                <c:pt idx="29">
                  <c:v>54.663712172462411</c:v>
                </c:pt>
                <c:pt idx="30">
                  <c:v>56.548667764616276</c:v>
                </c:pt>
              </c:numCache>
            </c:numRef>
          </c:cat>
          <c:val>
            <c:numRef>
              <c:f>'Storage System Flow'!$C$11:$C$41</c:f>
              <c:numCache>
                <c:formatCode>0.00</c:formatCode>
                <c:ptCount val="31"/>
                <c:pt idx="0">
                  <c:v>0</c:v>
                </c:pt>
                <c:pt idx="1">
                  <c:v>0.18440741137019354</c:v>
                </c:pt>
                <c:pt idx="2">
                  <c:v>0.70226763518077406</c:v>
                </c:pt>
                <c:pt idx="3">
                  <c:v>1.5535806714317415</c:v>
                </c:pt>
                <c:pt idx="4">
                  <c:v>2.7383465201230961</c:v>
                </c:pt>
                <c:pt idx="5">
                  <c:v>4.2565651812548371</c:v>
                </c:pt>
                <c:pt idx="6">
                  <c:v>6.1082366548269658</c:v>
                </c:pt>
                <c:pt idx="7">
                  <c:v>8.2933609408394791</c:v>
                </c:pt>
                <c:pt idx="8">
                  <c:v>10.811938039292384</c:v>
                </c:pt>
                <c:pt idx="9">
                  <c:v>13.663967950185672</c:v>
                </c:pt>
                <c:pt idx="10">
                  <c:v>16.849450673519346</c:v>
                </c:pt>
                <c:pt idx="11">
                  <c:v>20.368386209293416</c:v>
                </c:pt>
                <c:pt idx="12">
                  <c:v>24.220774557507859</c:v>
                </c:pt>
                <c:pt idx="13">
                  <c:v>28.406615718162701</c:v>
                </c:pt>
                <c:pt idx="14">
                  <c:v>32.925909691257921</c:v>
                </c:pt>
                <c:pt idx="15">
                  <c:v>37.778656476793536</c:v>
                </c:pt>
                <c:pt idx="16">
                  <c:v>42.964856074769543</c:v>
                </c:pt>
                <c:pt idx="17">
                  <c:v>48.484508485185906</c:v>
                </c:pt>
                <c:pt idx="18">
                  <c:v>54.337613708042696</c:v>
                </c:pt>
                <c:pt idx="19">
                  <c:v>60.524171743339849</c:v>
                </c:pt>
                <c:pt idx="20">
                  <c:v>67.044182591077387</c:v>
                </c:pt>
                <c:pt idx="21">
                  <c:v>73.897646251255324</c:v>
                </c:pt>
                <c:pt idx="22">
                  <c:v>81.084562723873645</c:v>
                </c:pt>
                <c:pt idx="23">
                  <c:v>88.604932008932323</c:v>
                </c:pt>
                <c:pt idx="24">
                  <c:v>96.458754106431442</c:v>
                </c:pt>
                <c:pt idx="25">
                  <c:v>104.64602901637093</c:v>
                </c:pt>
                <c:pt idx="26">
                  <c:v>113.16675673875081</c:v>
                </c:pt>
                <c:pt idx="27">
                  <c:v>122.02093727357106</c:v>
                </c:pt>
                <c:pt idx="28">
                  <c:v>131.20857062083167</c:v>
                </c:pt>
                <c:pt idx="29">
                  <c:v>140.72965678053274</c:v>
                </c:pt>
                <c:pt idx="30">
                  <c:v>150.58419575267411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F5-4FDF-B0B9-F12799BA7BBA}"/>
            </c:ext>
          </c:extLst>
        </c:ser>
        <c:ser>
          <c:idx val="3"/>
          <c:order val="1"/>
          <c:tx>
            <c:strRef>
              <c:f>'Storage System Flow'!$D$9:$D$10</c:f>
              <c:strCache>
                <c:ptCount val="2"/>
                <c:pt idx="0">
                  <c:v>Height Pressure</c:v>
                </c:pt>
                <c:pt idx="1">
                  <c:v>[kPa]</c:v>
                </c:pt>
              </c:strCache>
            </c:strRef>
          </c:tx>
          <c:spPr>
            <a:ln w="28575" cap="rnd">
              <a:solidFill>
                <a:srgbClr val="BF8F0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'Storage System Flow'!$B$11:$B$41</c:f>
              <c:numCache>
                <c:formatCode>0.00</c:formatCode>
                <c:ptCount val="31"/>
                <c:pt idx="0">
                  <c:v>0</c:v>
                </c:pt>
                <c:pt idx="1">
                  <c:v>1.8849555921538761</c:v>
                </c:pt>
                <c:pt idx="2">
                  <c:v>3.7699111843077522</c:v>
                </c:pt>
                <c:pt idx="3">
                  <c:v>5.6548667764616285</c:v>
                </c:pt>
                <c:pt idx="4">
                  <c:v>7.5398223686155044</c:v>
                </c:pt>
                <c:pt idx="5">
                  <c:v>9.4247779607693793</c:v>
                </c:pt>
                <c:pt idx="6">
                  <c:v>11.309733552923257</c:v>
                </c:pt>
                <c:pt idx="7">
                  <c:v>13.194689145077131</c:v>
                </c:pt>
                <c:pt idx="8">
                  <c:v>15.079644737231009</c:v>
                </c:pt>
                <c:pt idx="9">
                  <c:v>16.964600329384883</c:v>
                </c:pt>
                <c:pt idx="10">
                  <c:v>18.849555921538759</c:v>
                </c:pt>
                <c:pt idx="11">
                  <c:v>20.734511513692638</c:v>
                </c:pt>
                <c:pt idx="12">
                  <c:v>22.619467105846514</c:v>
                </c:pt>
                <c:pt idx="13">
                  <c:v>24.504422698000386</c:v>
                </c:pt>
                <c:pt idx="14">
                  <c:v>26.389378290154262</c:v>
                </c:pt>
                <c:pt idx="15">
                  <c:v>28.274333882308138</c:v>
                </c:pt>
                <c:pt idx="16">
                  <c:v>30.159289474462017</c:v>
                </c:pt>
                <c:pt idx="17">
                  <c:v>32.044245066615893</c:v>
                </c:pt>
                <c:pt idx="18">
                  <c:v>33.929200658769766</c:v>
                </c:pt>
                <c:pt idx="19">
                  <c:v>35.814156250923645</c:v>
                </c:pt>
                <c:pt idx="20">
                  <c:v>37.699111843077517</c:v>
                </c:pt>
                <c:pt idx="21">
                  <c:v>39.58406743523139</c:v>
                </c:pt>
                <c:pt idx="22">
                  <c:v>41.469023027385276</c:v>
                </c:pt>
                <c:pt idx="23">
                  <c:v>43.353978619539141</c:v>
                </c:pt>
                <c:pt idx="24">
                  <c:v>45.238934211693028</c:v>
                </c:pt>
                <c:pt idx="25">
                  <c:v>47.1238898038469</c:v>
                </c:pt>
                <c:pt idx="26">
                  <c:v>49.008845396000773</c:v>
                </c:pt>
                <c:pt idx="27">
                  <c:v>50.893800988154652</c:v>
                </c:pt>
                <c:pt idx="28">
                  <c:v>52.778756580308524</c:v>
                </c:pt>
                <c:pt idx="29">
                  <c:v>54.663712172462411</c:v>
                </c:pt>
                <c:pt idx="30">
                  <c:v>56.548667764616276</c:v>
                </c:pt>
              </c:numCache>
            </c:numRef>
          </c:cat>
          <c:val>
            <c:numRef>
              <c:f>'Storage System Flow'!$D$11:$D$41</c:f>
              <c:numCache>
                <c:formatCode>0.00</c:formatCode>
                <c:ptCount val="31"/>
                <c:pt idx="0">
                  <c:v>67.688999999999993</c:v>
                </c:pt>
                <c:pt idx="1">
                  <c:v>67.688999999999993</c:v>
                </c:pt>
                <c:pt idx="2">
                  <c:v>67.688999999999993</c:v>
                </c:pt>
                <c:pt idx="3">
                  <c:v>67.688999999999993</c:v>
                </c:pt>
                <c:pt idx="4">
                  <c:v>67.688999999999993</c:v>
                </c:pt>
                <c:pt idx="5">
                  <c:v>67.688999999999993</c:v>
                </c:pt>
                <c:pt idx="6">
                  <c:v>67.688999999999993</c:v>
                </c:pt>
                <c:pt idx="7">
                  <c:v>67.688999999999993</c:v>
                </c:pt>
                <c:pt idx="8">
                  <c:v>67.688999999999993</c:v>
                </c:pt>
                <c:pt idx="9">
                  <c:v>67.688999999999993</c:v>
                </c:pt>
                <c:pt idx="10">
                  <c:v>67.688999999999993</c:v>
                </c:pt>
                <c:pt idx="11">
                  <c:v>67.688999999999993</c:v>
                </c:pt>
                <c:pt idx="12">
                  <c:v>67.688999999999993</c:v>
                </c:pt>
                <c:pt idx="13">
                  <c:v>67.688999999999993</c:v>
                </c:pt>
                <c:pt idx="14">
                  <c:v>67.688999999999993</c:v>
                </c:pt>
                <c:pt idx="15">
                  <c:v>67.688999999999993</c:v>
                </c:pt>
                <c:pt idx="16">
                  <c:v>67.688999999999993</c:v>
                </c:pt>
                <c:pt idx="17">
                  <c:v>67.688999999999993</c:v>
                </c:pt>
                <c:pt idx="18">
                  <c:v>67.688999999999993</c:v>
                </c:pt>
                <c:pt idx="19">
                  <c:v>67.688999999999993</c:v>
                </c:pt>
                <c:pt idx="20">
                  <c:v>67.688999999999993</c:v>
                </c:pt>
                <c:pt idx="21">
                  <c:v>67.688999999999993</c:v>
                </c:pt>
                <c:pt idx="22">
                  <c:v>67.688999999999993</c:v>
                </c:pt>
                <c:pt idx="23">
                  <c:v>67.688999999999993</c:v>
                </c:pt>
                <c:pt idx="24">
                  <c:v>67.688999999999993</c:v>
                </c:pt>
                <c:pt idx="25">
                  <c:v>67.688999999999993</c:v>
                </c:pt>
                <c:pt idx="26">
                  <c:v>67.688999999999993</c:v>
                </c:pt>
                <c:pt idx="27">
                  <c:v>67.688999999999993</c:v>
                </c:pt>
                <c:pt idx="28">
                  <c:v>67.688999999999993</c:v>
                </c:pt>
                <c:pt idx="29">
                  <c:v>67.688999999999993</c:v>
                </c:pt>
                <c:pt idx="30">
                  <c:v>67.688999999999993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F5-4FDF-B0B9-F12799BA7B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4404615"/>
        <c:axId val="1414414855"/>
      </c:lineChart>
      <c:catAx>
        <c:axId val="1414404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</a:t>
                </a:r>
                <a:r>
                  <a:rPr lang="en-US" baseline="0"/>
                  <a:t> (LPM)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4414855"/>
        <c:crosses val="autoZero"/>
        <c:auto val="1"/>
        <c:lblAlgn val="ctr"/>
        <c:lblOffset val="100"/>
        <c:noMultiLvlLbl val="0"/>
      </c:catAx>
      <c:valAx>
        <c:axId val="1414414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 (kPA)</a:t>
                </a:r>
              </a:p>
            </c:rich>
          </c:tx>
          <c:layout>
            <c:manualLayout>
              <c:xMode val="edge"/>
              <c:yMode val="edge"/>
              <c:x val="2.8089887640449437E-2"/>
              <c:y val="0.281611057610604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4404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400050</xdr:colOff>
      <xdr:row>12</xdr:row>
      <xdr:rowOff>123825</xdr:rowOff>
    </xdr:from>
    <xdr:to>
      <xdr:col>14</xdr:col>
      <xdr:colOff>22225</xdr:colOff>
      <xdr:row>30</xdr:row>
      <xdr:rowOff>133350</xdr:rowOff>
    </xdr:to>
    <xdr:graphicFrame macro="">
      <xdr:nvGraphicFramePr>
        <xdr:cNvPr id="25" name="Chart 4">
          <a:extLst>
            <a:ext uri="{FF2B5EF4-FFF2-40B4-BE49-F238E27FC236}">
              <a16:creationId xmlns:a16="http://schemas.microsoft.com/office/drawing/2014/main" id="{8BE834B3-98D8-4AB9-A8C1-852498F46404}"/>
            </a:ext>
            <a:ext uri="{147F2762-F138-4A5C-976F-8EAC2B608ADB}">
              <a16:predDERef xmlns:a16="http://schemas.microsoft.com/office/drawing/2014/main" pred="{6371187E-A37A-D043-4808-50F1DE9274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200025</xdr:colOff>
      <xdr:row>7</xdr:row>
      <xdr:rowOff>203200</xdr:rowOff>
    </xdr:from>
    <xdr:to>
      <xdr:col>13</xdr:col>
      <xdr:colOff>869950</xdr:colOff>
      <xdr:row>25</xdr:row>
      <xdr:rowOff>31750</xdr:rowOff>
    </xdr:to>
    <xdr:graphicFrame macro="">
      <xdr:nvGraphicFramePr>
        <xdr:cNvPr id="2" name="Chart 4">
          <a:extLst>
            <a:ext uri="{FF2B5EF4-FFF2-40B4-BE49-F238E27FC236}">
              <a16:creationId xmlns:a16="http://schemas.microsoft.com/office/drawing/2014/main" id="{3D075C4A-0CBE-4E57-871C-501CD10746CA}"/>
            </a:ext>
            <a:ext uri="{147F2762-F138-4A5C-976F-8EAC2B608ADB}">
              <a16:predDERef xmlns:a16="http://schemas.microsoft.com/office/drawing/2014/main" pred="{6371187E-A37A-D043-4808-50F1DE9274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68F6-36A6-4F4C-BCE0-5C4104F333BE}">
  <dimension ref="A1:K33"/>
  <sheetViews>
    <sheetView tabSelected="1" zoomScale="62" zoomScaleNormal="70" zoomScaleSheetLayoutView="100" workbookViewId="0">
      <selection activeCell="C24" sqref="C24"/>
    </sheetView>
  </sheetViews>
  <sheetFormatPr defaultRowHeight="14.75" x14ac:dyDescent="0.75"/>
  <cols>
    <col min="1" max="1" width="28.453125" customWidth="1"/>
    <col min="2" max="2" width="25.1796875" style="62" customWidth="1"/>
    <col min="3" max="3" width="16.453125" style="1" customWidth="1"/>
    <col min="4" max="4" width="21.1796875" customWidth="1"/>
    <col min="5" max="5" width="28.81640625" style="19" customWidth="1"/>
    <col min="6" max="6" width="16.453125" style="19" customWidth="1"/>
    <col min="7" max="7" width="9" style="19" customWidth="1"/>
    <col min="8" max="8" width="9.54296875" style="19" customWidth="1"/>
    <col min="9" max="9" width="14.1796875" style="19" customWidth="1"/>
    <col min="10" max="10" width="8.7265625" style="19"/>
    <col min="11" max="11" width="14.81640625" style="19" customWidth="1"/>
  </cols>
  <sheetData>
    <row r="1" spans="1:11" x14ac:dyDescent="0.75">
      <c r="A1" s="347" t="s">
        <v>0</v>
      </c>
      <c r="B1" s="348"/>
      <c r="C1" s="214" t="s">
        <v>1</v>
      </c>
      <c r="E1" s="92" t="s">
        <v>2</v>
      </c>
      <c r="F1" s="92" t="s">
        <v>3</v>
      </c>
      <c r="G1" s="92" t="s">
        <v>255</v>
      </c>
      <c r="H1" s="92" t="s">
        <v>256</v>
      </c>
      <c r="I1" s="92" t="s">
        <v>4</v>
      </c>
      <c r="J1" s="92" t="s">
        <v>5</v>
      </c>
      <c r="K1" s="92" t="s">
        <v>6</v>
      </c>
    </row>
    <row r="2" spans="1:11" x14ac:dyDescent="0.75">
      <c r="A2" s="222" t="s">
        <v>7</v>
      </c>
      <c r="B2" s="223" t="s">
        <v>8</v>
      </c>
      <c r="C2" s="224">
        <v>219</v>
      </c>
      <c r="E2" s="93" t="s">
        <v>9</v>
      </c>
      <c r="F2" s="93">
        <f>C2</f>
        <v>219</v>
      </c>
      <c r="G2" s="116">
        <v>155</v>
      </c>
      <c r="H2" s="116">
        <v>600</v>
      </c>
      <c r="I2" s="117">
        <f>(1/2)*(1-COS(((F2-G2)/(H2-G2)*PI())))</f>
        <v>5.0174008671104608E-2</v>
      </c>
      <c r="J2" s="104">
        <v>0.1</v>
      </c>
      <c r="K2" s="118">
        <f xml:space="preserve"> IF(AND((G2&lt;F2),(F2&lt;H2)),(I2*J2),IF(F2&lt;=G2, 0, 1*J2))</f>
        <v>5.0174008671104615E-3</v>
      </c>
    </row>
    <row r="3" spans="1:11" x14ac:dyDescent="0.75">
      <c r="A3" s="215" t="s">
        <v>10</v>
      </c>
      <c r="B3" s="216" t="s">
        <v>11</v>
      </c>
      <c r="C3" s="217">
        <v>100</v>
      </c>
      <c r="E3" s="93" t="s">
        <v>12</v>
      </c>
      <c r="F3" s="119">
        <f ca="1">Cost!G5</f>
        <v>0.23248908444306185</v>
      </c>
      <c r="G3" s="116">
        <v>0.2</v>
      </c>
      <c r="H3" s="116">
        <v>1</v>
      </c>
      <c r="I3" s="117">
        <f ca="1">(1/2)*(1+COS(((F3-G3)/(H3-G3)*PI())))</f>
        <v>0.99593607640686876</v>
      </c>
      <c r="J3" s="104">
        <v>0.23</v>
      </c>
      <c r="K3" s="118">
        <f ca="1" xml:space="preserve"> IF(AND((G3&lt;F3),(F3&lt;H3)),(I3*J3),IF(F3&lt;=G3, J3*1, 0))</f>
        <v>0.22906529757357982</v>
      </c>
    </row>
    <row r="4" spans="1:11" x14ac:dyDescent="0.75">
      <c r="A4" s="218" t="s">
        <v>13</v>
      </c>
      <c r="B4" s="207" t="s">
        <v>14</v>
      </c>
      <c r="C4" s="219" t="s">
        <v>15</v>
      </c>
      <c r="E4" s="93" t="s">
        <v>16</v>
      </c>
      <c r="F4" s="119">
        <f ca="1">Risk!B3</f>
        <v>0</v>
      </c>
      <c r="G4" s="116">
        <v>0</v>
      </c>
      <c r="H4" s="116">
        <v>32</v>
      </c>
      <c r="I4" s="117">
        <f ca="1">(1/2)*(1+COS(((F4-G4)/(H4-G4)*PI())))</f>
        <v>1</v>
      </c>
      <c r="J4" s="104">
        <v>0.12</v>
      </c>
      <c r="K4" s="118">
        <f ca="1">IF(AND((G4&lt;F4),(F4&lt;H4)),(I4*J4),IF(F4&lt;=G4,1*J4,0))</f>
        <v>0.12</v>
      </c>
    </row>
    <row r="5" spans="1:11" x14ac:dyDescent="0.75">
      <c r="A5" s="218" t="s">
        <v>17</v>
      </c>
      <c r="B5" s="207" t="s">
        <v>11</v>
      </c>
      <c r="C5" s="219">
        <v>0</v>
      </c>
      <c r="E5" s="93" t="s">
        <v>18</v>
      </c>
      <c r="F5" s="120">
        <f>GHG!B8</f>
        <v>0.94528692464622888</v>
      </c>
      <c r="G5" s="116">
        <v>0.1</v>
      </c>
      <c r="H5" s="116">
        <v>1</v>
      </c>
      <c r="I5" s="117">
        <f>(1/2)*(1+COS(((F5-G5)/(H5-G5)*PI())))</f>
        <v>9.0911015202735923E-3</v>
      </c>
      <c r="J5" s="104">
        <v>0.05</v>
      </c>
      <c r="K5" s="118">
        <f>IF(AND((G5&lt;F5),(F5&lt;H5)),(I5*J5),IF(F5&lt;=G5,1*J5,0))</f>
        <v>4.5455507601367966E-4</v>
      </c>
    </row>
    <row r="6" spans="1:11" x14ac:dyDescent="0.75">
      <c r="A6" s="218" t="s">
        <v>19</v>
      </c>
      <c r="B6" s="207" t="s">
        <v>20</v>
      </c>
      <c r="C6" s="219">
        <v>2.5</v>
      </c>
      <c r="E6" s="93" t="s">
        <v>21</v>
      </c>
      <c r="F6" s="119">
        <f ca="1">Maintenance!B12</f>
        <v>14.583240028431355</v>
      </c>
      <c r="G6" s="116">
        <v>6</v>
      </c>
      <c r="H6" s="116">
        <v>72</v>
      </c>
      <c r="I6" s="117">
        <f ca="1">(1/2)*(1+COS(((F6-G6)/(H6-G6)*PI())))</f>
        <v>0.95884668231956915</v>
      </c>
      <c r="J6" s="104">
        <v>0.15</v>
      </c>
      <c r="K6" s="118">
        <f ca="1" xml:space="preserve"> IF(AND((G6&lt;F6),(F6&lt;H6)),(I6*J6),IF(F6&lt;=G6, 1*J6, 0))</f>
        <v>0.14382700234793536</v>
      </c>
    </row>
    <row r="7" spans="1:11" x14ac:dyDescent="0.75">
      <c r="A7" s="218" t="s">
        <v>22</v>
      </c>
      <c r="B7" s="207" t="s">
        <v>23</v>
      </c>
      <c r="C7" s="220">
        <v>17</v>
      </c>
      <c r="E7" s="93" t="s">
        <v>24</v>
      </c>
      <c r="F7" s="173">
        <f ca="1">'Storage System Flow'!N3</f>
        <v>37.88006757992428</v>
      </c>
      <c r="G7" s="116">
        <v>15</v>
      </c>
      <c r="H7" s="104">
        <v>40</v>
      </c>
      <c r="I7" s="117">
        <f ca="1">(1/2)*(1-COS(((F7-G7)/(H7-G7)*PI())))</f>
        <v>0.98236263004828972</v>
      </c>
      <c r="J7" s="104">
        <v>0.1</v>
      </c>
      <c r="K7" s="118">
        <f ca="1" xml:space="preserve"> IF(AND((G7&lt;F7),(F7&lt;H7)),(I7*J7),IF(F7&lt;=G7, 0, 1*J7))</f>
        <v>9.8236263004828975E-2</v>
      </c>
    </row>
    <row r="8" spans="1:11" x14ac:dyDescent="0.75">
      <c r="A8" s="218" t="s">
        <v>25</v>
      </c>
      <c r="B8" s="207" t="s">
        <v>26</v>
      </c>
      <c r="C8" s="219">
        <v>2.5</v>
      </c>
      <c r="D8" s="324"/>
      <c r="E8" s="140" t="s">
        <v>27</v>
      </c>
      <c r="F8" s="119">
        <f ca="1">365-Consumption!F3</f>
        <v>365</v>
      </c>
      <c r="G8" s="116">
        <v>250</v>
      </c>
      <c r="H8" s="116">
        <v>365</v>
      </c>
      <c r="I8" s="117">
        <f ca="1">(1/2)*(1-COS(((F8-G8)/(H8-G8)*PI())))</f>
        <v>1</v>
      </c>
      <c r="J8" s="104">
        <v>0.15</v>
      </c>
      <c r="K8" s="118">
        <f ca="1" xml:space="preserve"> IF(AND((G8&lt;F8),(F8&lt;H8)),(I8*J8),IF(F8&lt;=G8, 0, 1*J8))</f>
        <v>0.15</v>
      </c>
    </row>
    <row r="9" spans="1:11" x14ac:dyDescent="0.75">
      <c r="A9" s="218" t="s">
        <v>28</v>
      </c>
      <c r="B9" s="207" t="s">
        <v>26</v>
      </c>
      <c r="C9" s="219">
        <v>-10</v>
      </c>
      <c r="D9" s="323"/>
      <c r="E9" s="93" t="s">
        <v>29</v>
      </c>
      <c r="F9" s="119">
        <f>I9</f>
        <v>0.86827186653454447</v>
      </c>
      <c r="G9" s="116">
        <v>0</v>
      </c>
      <c r="H9" s="116">
        <v>1</v>
      </c>
      <c r="I9" s="117">
        <f>1-MIN(C7^(2/3)/(25*(C11)^0.5)+Main!C13/(25*(C11)^0.5)+Main!C5/(25*(C11)^0.5), 1)</f>
        <v>0.86827186653454447</v>
      </c>
      <c r="J9" s="121">
        <v>0.1</v>
      </c>
      <c r="K9" s="122">
        <f>IF(AND((G9&lt;F9),(F9&lt;H9)),(I9*J9),IF(F9&lt;=G9,0,1*J9))</f>
        <v>8.6827186653454458E-2</v>
      </c>
    </row>
    <row r="10" spans="1:11" x14ac:dyDescent="0.75">
      <c r="A10" s="218" t="s">
        <v>30</v>
      </c>
      <c r="B10" s="207" t="s">
        <v>26</v>
      </c>
      <c r="C10" s="219">
        <v>-5</v>
      </c>
      <c r="D10" s="323"/>
      <c r="I10" s="114"/>
      <c r="J10" s="330" t="s">
        <v>31</v>
      </c>
      <c r="K10" s="123">
        <f ca="1">IF(K3=0, FALSE, IF(K4=0, FALSE, IF(K5=0, FALSE, IF(K6=0, FALSE, SUM(K2:K9)))))</f>
        <v>0.83342770552292278</v>
      </c>
    </row>
    <row r="11" spans="1:11" x14ac:dyDescent="0.75">
      <c r="A11" s="218" t="s">
        <v>32</v>
      </c>
      <c r="B11" s="207" t="s">
        <v>26</v>
      </c>
      <c r="C11" s="221">
        <f>SQRT(C9^2+C10^2)</f>
        <v>11.180339887498949</v>
      </c>
      <c r="I11"/>
      <c r="J11"/>
      <c r="K11" s="115"/>
    </row>
    <row r="12" spans="1:11" x14ac:dyDescent="0.75">
      <c r="A12" s="218" t="s">
        <v>33</v>
      </c>
      <c r="B12" s="207" t="s">
        <v>26</v>
      </c>
      <c r="C12" s="221">
        <f>SQRT((C8+C13)^2+C9^2+C10^2)</f>
        <v>13.138112497615477</v>
      </c>
      <c r="I12" s="114"/>
      <c r="K12" s="115"/>
    </row>
    <row r="13" spans="1:11" x14ac:dyDescent="0.75">
      <c r="A13" s="218" t="s">
        <v>34</v>
      </c>
      <c r="B13" s="207" t="s">
        <v>26</v>
      </c>
      <c r="C13" s="219">
        <v>4.4000000000000004</v>
      </c>
      <c r="J13"/>
      <c r="K13"/>
    </row>
    <row r="14" spans="1:11" x14ac:dyDescent="0.75">
      <c r="A14" s="225" t="s">
        <v>35</v>
      </c>
      <c r="B14" s="226" t="s">
        <v>36</v>
      </c>
      <c r="C14" s="227" t="s">
        <v>171</v>
      </c>
      <c r="K14" s="114"/>
    </row>
    <row r="15" spans="1:11" x14ac:dyDescent="0.75">
      <c r="A15" s="228" t="s">
        <v>38</v>
      </c>
      <c r="B15" s="208" t="s">
        <v>39</v>
      </c>
      <c r="C15" s="229">
        <v>20</v>
      </c>
    </row>
    <row r="16" spans="1:11" x14ac:dyDescent="0.75">
      <c r="A16" s="228" t="s">
        <v>40</v>
      </c>
      <c r="B16" s="208" t="s">
        <v>41</v>
      </c>
      <c r="C16" s="229">
        <v>0.05</v>
      </c>
    </row>
    <row r="17" spans="1:9" x14ac:dyDescent="0.75">
      <c r="A17" s="228" t="s">
        <v>42</v>
      </c>
      <c r="B17" s="208" t="s">
        <v>41</v>
      </c>
      <c r="C17" s="229">
        <v>10</v>
      </c>
    </row>
    <row r="18" spans="1:9" x14ac:dyDescent="0.75">
      <c r="A18" s="228" t="s">
        <v>43</v>
      </c>
      <c r="B18" s="208" t="s">
        <v>44</v>
      </c>
      <c r="C18" s="243">
        <f>'Filter Life Span'!$D$6</f>
        <v>3536.2010300000002</v>
      </c>
    </row>
    <row r="19" spans="1:9" ht="14.25" customHeight="1" x14ac:dyDescent="0.75">
      <c r="A19" s="230" t="s">
        <v>45</v>
      </c>
      <c r="B19" s="231" t="s">
        <v>46</v>
      </c>
      <c r="C19" s="232" t="s">
        <v>279</v>
      </c>
    </row>
    <row r="20" spans="1:9" ht="14.25" customHeight="1" x14ac:dyDescent="0.75">
      <c r="A20" s="233" t="s">
        <v>47</v>
      </c>
      <c r="B20" s="209" t="s">
        <v>48</v>
      </c>
      <c r="C20" s="337" t="b">
        <v>1</v>
      </c>
    </row>
    <row r="21" spans="1:9" ht="14.25" customHeight="1" x14ac:dyDescent="0.75">
      <c r="A21" s="233" t="s">
        <v>49</v>
      </c>
      <c r="B21" s="209" t="s">
        <v>48</v>
      </c>
      <c r="C21" s="234" t="b">
        <v>0</v>
      </c>
    </row>
    <row r="22" spans="1:9" x14ac:dyDescent="0.75">
      <c r="A22" s="233" t="s">
        <v>50</v>
      </c>
      <c r="B22" s="209" t="s">
        <v>48</v>
      </c>
      <c r="C22" s="234" t="b">
        <v>1</v>
      </c>
    </row>
    <row r="23" spans="1:9" x14ac:dyDescent="0.75">
      <c r="A23" s="233" t="s">
        <v>51</v>
      </c>
      <c r="B23" s="209" t="s">
        <v>52</v>
      </c>
      <c r="C23" s="234">
        <v>50</v>
      </c>
      <c r="D23" s="1"/>
    </row>
    <row r="24" spans="1:9" x14ac:dyDescent="0.75">
      <c r="A24" s="233" t="s">
        <v>53</v>
      </c>
      <c r="B24" s="209" t="s">
        <v>54</v>
      </c>
      <c r="C24" s="234" t="s">
        <v>274</v>
      </c>
      <c r="E24"/>
      <c r="F24"/>
      <c r="G24"/>
      <c r="H24"/>
    </row>
    <row r="25" spans="1:9" x14ac:dyDescent="0.75">
      <c r="A25" s="235" t="s">
        <v>55</v>
      </c>
      <c r="B25" s="236" t="s">
        <v>56</v>
      </c>
      <c r="C25" s="338" t="s">
        <v>57</v>
      </c>
      <c r="D25" s="138"/>
      <c r="E25" s="93" t="s">
        <v>285</v>
      </c>
      <c r="F25" s="93" t="s">
        <v>286</v>
      </c>
      <c r="G25" s="93" t="s">
        <v>287</v>
      </c>
      <c r="H25" s="93" t="s">
        <v>288</v>
      </c>
      <c r="I25" s="342"/>
    </row>
    <row r="26" spans="1:9" x14ac:dyDescent="0.75">
      <c r="A26" s="237" t="s">
        <v>58</v>
      </c>
      <c r="B26" s="210" t="s">
        <v>59</v>
      </c>
      <c r="C26" s="339">
        <v>1</v>
      </c>
      <c r="D26" s="341" t="s">
        <v>89</v>
      </c>
      <c r="E26" s="342">
        <v>301</v>
      </c>
      <c r="F26" s="342">
        <v>25</v>
      </c>
      <c r="G26" s="342">
        <v>1</v>
      </c>
      <c r="H26" s="342">
        <v>5</v>
      </c>
      <c r="I26" s="173">
        <v>84.06</v>
      </c>
    </row>
    <row r="27" spans="1:9" x14ac:dyDescent="0.75">
      <c r="A27" s="349" t="s">
        <v>60</v>
      </c>
      <c r="B27" s="350"/>
      <c r="C27" s="340" t="b">
        <f>IF(C25="Solar", TRUE, FALSE)</f>
        <v>1</v>
      </c>
      <c r="D27" s="341" t="s">
        <v>91</v>
      </c>
      <c r="E27" s="342">
        <v>239</v>
      </c>
      <c r="F27" s="342">
        <v>16</v>
      </c>
      <c r="G27" s="342">
        <v>1</v>
      </c>
      <c r="H27" s="342">
        <v>5</v>
      </c>
      <c r="I27" s="342">
        <v>65.08</v>
      </c>
    </row>
    <row r="28" spans="1:9" x14ac:dyDescent="0.75">
      <c r="A28" s="237" t="s">
        <v>61</v>
      </c>
      <c r="B28" s="210" t="s">
        <v>62</v>
      </c>
      <c r="C28" s="339" t="s">
        <v>280</v>
      </c>
      <c r="D28" s="341" t="s">
        <v>90</v>
      </c>
      <c r="E28" s="342">
        <v>250</v>
      </c>
      <c r="F28" s="342">
        <v>19</v>
      </c>
      <c r="G28" s="342">
        <v>1</v>
      </c>
      <c r="H28" s="342">
        <v>5</v>
      </c>
      <c r="I28" s="342">
        <v>74.88</v>
      </c>
    </row>
    <row r="29" spans="1:9" x14ac:dyDescent="0.75">
      <c r="A29" s="238" t="s">
        <v>63</v>
      </c>
      <c r="B29" s="210" t="s">
        <v>59</v>
      </c>
      <c r="C29" s="339">
        <v>4</v>
      </c>
      <c r="D29" s="341" t="s">
        <v>69</v>
      </c>
      <c r="E29" s="342">
        <v>398</v>
      </c>
      <c r="F29" s="342">
        <v>40</v>
      </c>
      <c r="G29" s="342">
        <v>1</v>
      </c>
      <c r="H29" s="342">
        <v>5</v>
      </c>
      <c r="I29" s="342">
        <v>84.05</v>
      </c>
    </row>
    <row r="30" spans="1:9" x14ac:dyDescent="0.75">
      <c r="A30" s="237" t="s">
        <v>64</v>
      </c>
      <c r="B30" s="210" t="s">
        <v>65</v>
      </c>
      <c r="C30" s="339">
        <v>2.8</v>
      </c>
      <c r="D30" s="343" t="s">
        <v>289</v>
      </c>
      <c r="E30" s="344">
        <f>ROUND(AVERAGE(E26:E29), 0)</f>
        <v>297</v>
      </c>
      <c r="F30" s="344">
        <f>ROUND(AVERAGE(F26:F29), 0)</f>
        <v>25</v>
      </c>
      <c r="G30" s="344">
        <f>ROUND(AVERAGE(G26:G29), 0)</f>
        <v>1</v>
      </c>
      <c r="H30" s="344">
        <f>ROUND(AVERAGE(H26:H29), 0)</f>
        <v>5</v>
      </c>
      <c r="I30" s="345">
        <f>AVERAGE(I26:I29)</f>
        <v>77.017499999999998</v>
      </c>
    </row>
    <row r="31" spans="1:9" x14ac:dyDescent="0.75">
      <c r="A31" s="351" t="s">
        <v>66</v>
      </c>
      <c r="B31" s="352"/>
      <c r="C31" s="239" t="b">
        <f>IF($C$27, FALSE, TRUE)</f>
        <v>0</v>
      </c>
    </row>
    <row r="32" spans="1:9" x14ac:dyDescent="0.75">
      <c r="A32" s="240" t="s">
        <v>67</v>
      </c>
      <c r="B32" s="241" t="s">
        <v>52</v>
      </c>
      <c r="C32" s="242">
        <v>4000</v>
      </c>
    </row>
    <row r="33" spans="1:3" x14ac:dyDescent="0.75">
      <c r="A33" s="211" t="s">
        <v>68</v>
      </c>
      <c r="B33" s="212" t="s">
        <v>41</v>
      </c>
      <c r="C33" s="213" t="s">
        <v>91</v>
      </c>
    </row>
  </sheetData>
  <mergeCells count="3">
    <mergeCell ref="A1:B1"/>
    <mergeCell ref="A27:B27"/>
    <mergeCell ref="A31:B31"/>
  </mergeCells>
  <dataValidations count="10">
    <dataValidation type="list" allowBlank="1" showInputMessage="1" showErrorMessage="1" sqref="C14" xr:uid="{BCFD68DF-D8E1-4547-ACC8-EB719E7AB752}">
      <formula1>"A,B,C"</formula1>
    </dataValidation>
    <dataValidation type="list" allowBlank="1" showInputMessage="1" showErrorMessage="1" sqref="C21:C22" xr:uid="{85D7900B-2579-4777-8042-7AD580739B47}">
      <formula1>"TRUE, FALSE"</formula1>
    </dataValidation>
    <dataValidation type="list" allowBlank="1" showInputMessage="1" showErrorMessage="1" sqref="C23" xr:uid="{F899F776-D29D-4271-8556-95E38AF2FA89}">
      <formula1>"36,50"</formula1>
    </dataValidation>
    <dataValidation type="list" allowBlank="1" showInputMessage="1" showErrorMessage="1" sqref="C24" xr:uid="{149B3873-5DBB-4E7B-B0D2-6CE574C03A56}">
      <formula1>"Cl,Oz"</formula1>
    </dataValidation>
    <dataValidation type="list" allowBlank="1" showInputMessage="1" showErrorMessage="1" sqref="C25" xr:uid="{AA180968-AD6C-48E2-B2FF-51E0719DCC91}">
      <formula1>"Solar, Diesel Generator"</formula1>
    </dataValidation>
    <dataValidation type="list" allowBlank="1" showInputMessage="1" showErrorMessage="1" sqref="C28" xr:uid="{C4E0E640-82E5-44FA-A119-F52EEEA6ADD4}">
      <formula1>"HES-260, SW-80, HES-305P"</formula1>
    </dataValidation>
    <dataValidation allowBlank="1" showInputMessage="1" showErrorMessage="1" sqref="C32 C20" xr:uid="{C53DF240-A86F-426F-B1D4-7EC278F3B427}"/>
    <dataValidation type="list" allowBlank="1" showInputMessage="1" showErrorMessage="1" sqref="C19" xr:uid="{8309001A-C51D-447E-A942-EC97665E1B8F}">
      <formula1>"TO,FROM"</formula1>
    </dataValidation>
    <dataValidation type="list" allowBlank="1" showInputMessage="1" showErrorMessage="1" sqref="C4" xr:uid="{DC046CAB-9D87-4F57-AD83-91C9F040F6FE}">
      <formula1>"N,H,F"</formula1>
    </dataValidation>
    <dataValidation type="list" allowBlank="1" showInputMessage="1" showErrorMessage="1" sqref="C33" xr:uid="{B89E4A0E-E5FD-49C2-8E86-C5CE30861804}">
      <formula1>"Station 1 2014, Station 1 2015, Station 2 2015, Station 3 2013"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F7FE0-FC5B-4A71-9322-D0B428F4EC64}">
  <dimension ref="A1:AQ92"/>
  <sheetViews>
    <sheetView topLeftCell="D1" zoomScaleNormal="150" zoomScaleSheetLayoutView="100" workbookViewId="0">
      <selection activeCell="M11" sqref="M11"/>
    </sheetView>
  </sheetViews>
  <sheetFormatPr defaultRowHeight="14.75" x14ac:dyDescent="0.75"/>
  <cols>
    <col min="1" max="1" width="24.7265625" style="19" customWidth="1"/>
    <col min="2" max="2" width="11.54296875" style="19" customWidth="1"/>
    <col min="3" max="3" width="13.81640625" style="28" customWidth="1"/>
    <col min="4" max="4" width="16.54296875" style="19" customWidth="1"/>
    <col min="5" max="5" width="17.81640625" customWidth="1"/>
    <col min="6" max="6" width="7.54296875" customWidth="1"/>
    <col min="7" max="7" width="12.54296875" bestFit="1" customWidth="1"/>
    <col min="8" max="8" width="17" customWidth="1"/>
    <col min="9" max="9" width="8.54296875" bestFit="1" customWidth="1"/>
    <col min="10" max="10" width="15.54296875" bestFit="1" customWidth="1"/>
    <col min="13" max="13" width="18.81640625" customWidth="1"/>
    <col min="14" max="14" width="15.453125" customWidth="1"/>
    <col min="15" max="15" width="27.81640625" customWidth="1"/>
    <col min="16" max="16" width="27.7265625" customWidth="1"/>
    <col min="17" max="17" width="12.26953125" customWidth="1"/>
    <col min="39" max="39" width="13.81640625" customWidth="1"/>
    <col min="40" max="40" width="11.453125" customWidth="1"/>
    <col min="42" max="42" width="14.7265625" customWidth="1"/>
    <col min="43" max="43" width="10.453125" customWidth="1"/>
  </cols>
  <sheetData>
    <row r="1" spans="1:43" x14ac:dyDescent="0.75">
      <c r="A1" s="34" t="s">
        <v>144</v>
      </c>
      <c r="B1" s="35"/>
      <c r="C1" s="34"/>
      <c r="E1" s="14" t="s">
        <v>145</v>
      </c>
      <c r="F1" s="15"/>
      <c r="G1" s="15"/>
      <c r="I1" s="30" t="s">
        <v>146</v>
      </c>
      <c r="J1" s="13"/>
      <c r="K1" s="13"/>
      <c r="M1" s="88" t="s">
        <v>147</v>
      </c>
      <c r="N1" s="88" t="s">
        <v>148</v>
      </c>
      <c r="O1" s="88" t="s">
        <v>149</v>
      </c>
      <c r="P1" s="88" t="s">
        <v>150</v>
      </c>
      <c r="Q1" s="102"/>
      <c r="R1" s="102"/>
    </row>
    <row r="2" spans="1:43" x14ac:dyDescent="0.75">
      <c r="A2" s="36" t="s">
        <v>151</v>
      </c>
      <c r="B2" s="179">
        <f>Main!C12</f>
        <v>13.138112497615477</v>
      </c>
      <c r="C2" s="34" t="s">
        <v>26</v>
      </c>
      <c r="E2" s="15" t="s">
        <v>152</v>
      </c>
      <c r="F2" s="16">
        <f>Main!C15</f>
        <v>20</v>
      </c>
      <c r="G2" s="14" t="s">
        <v>39</v>
      </c>
      <c r="I2" s="13" t="s">
        <v>153</v>
      </c>
      <c r="J2" s="18">
        <f>IF(Main!C14="A", -0.0172, IF(Main!C14="B", -0.0039, -0.0151))</f>
        <v>-1.72E-2</v>
      </c>
      <c r="K2" s="12" t="s">
        <v>41</v>
      </c>
      <c r="M2" s="89" t="s">
        <v>154</v>
      </c>
      <c r="N2" s="89" t="s">
        <v>155</v>
      </c>
      <c r="O2" s="89" t="s">
        <v>41</v>
      </c>
      <c r="P2" s="89" t="s">
        <v>41</v>
      </c>
      <c r="Q2" s="102"/>
      <c r="R2" s="102"/>
      <c r="U2" t="s">
        <v>156</v>
      </c>
      <c r="V2" t="s">
        <v>157</v>
      </c>
    </row>
    <row r="3" spans="1:43" x14ac:dyDescent="0.75">
      <c r="A3" s="36" t="s">
        <v>158</v>
      </c>
      <c r="B3" s="25">
        <f>Main!C8+Main!C13+1.5</f>
        <v>8.4</v>
      </c>
      <c r="C3" s="34" t="s">
        <v>26</v>
      </c>
      <c r="E3" s="15" t="s">
        <v>40</v>
      </c>
      <c r="F3" s="16">
        <f>Main!C16</f>
        <v>0.05</v>
      </c>
      <c r="G3" s="14" t="s">
        <v>41</v>
      </c>
      <c r="I3" s="13" t="s">
        <v>159</v>
      </c>
      <c r="J3" s="18">
        <f>IF(Main!C14="A", -0.3605, IF(Main!C14="B", -0.096, -0.5516))</f>
        <v>-0.36049999999999999</v>
      </c>
      <c r="K3" s="12" t="s">
        <v>41</v>
      </c>
      <c r="L3" s="82" t="s">
        <v>160</v>
      </c>
      <c r="M3" s="90">
        <f ca="1">AO10</f>
        <v>124.61417111887744</v>
      </c>
      <c r="N3" s="91">
        <f ca="1">AN10</f>
        <v>29.993413382352472</v>
      </c>
      <c r="O3" s="103">
        <f ca="1">AQ10</f>
        <v>0.58889419643639229</v>
      </c>
      <c r="P3" s="103">
        <f ca="1">V60</f>
        <v>0.69207962072016338</v>
      </c>
      <c r="Q3" s="102"/>
      <c r="R3" s="102"/>
      <c r="U3" t="s">
        <v>161</v>
      </c>
      <c r="V3" t="s">
        <v>162</v>
      </c>
    </row>
    <row r="4" spans="1:43" x14ac:dyDescent="0.75">
      <c r="A4" s="37" t="s">
        <v>163</v>
      </c>
      <c r="B4" s="26">
        <v>1000</v>
      </c>
      <c r="C4" s="38" t="s">
        <v>164</v>
      </c>
      <c r="E4" s="15" t="s">
        <v>42</v>
      </c>
      <c r="F4" s="16">
        <f>Main!C17</f>
        <v>10</v>
      </c>
      <c r="G4" s="14" t="s">
        <v>41</v>
      </c>
      <c r="I4" s="13" t="s">
        <v>165</v>
      </c>
      <c r="J4" s="18">
        <f>IF(Main!C14="A", 150.9, IF(Main!C14="B", 237.86, 356.8))</f>
        <v>150.9</v>
      </c>
      <c r="K4" s="12" t="s">
        <v>41</v>
      </c>
      <c r="M4" s="87" t="s">
        <v>166</v>
      </c>
      <c r="U4" t="s">
        <v>167</v>
      </c>
      <c r="V4" t="s">
        <v>168</v>
      </c>
    </row>
    <row r="5" spans="1:43" x14ac:dyDescent="0.75">
      <c r="A5" s="39" t="s">
        <v>169</v>
      </c>
      <c r="B5" s="27">
        <v>9.81</v>
      </c>
      <c r="C5" s="40" t="s">
        <v>170</v>
      </c>
      <c r="E5" s="17" t="s">
        <v>43</v>
      </c>
      <c r="F5" s="16">
        <f>Main!C18 * IF(Main!C19 = "TO", 1, 0)</f>
        <v>0</v>
      </c>
      <c r="G5" s="14" t="str">
        <f>'Filter Life Span'!D2</f>
        <v>[kPa/(m/s)]</v>
      </c>
      <c r="H5" t="str">
        <f>Main!C19</f>
        <v>FROM</v>
      </c>
      <c r="I5" s="13" t="s">
        <v>171</v>
      </c>
      <c r="J5" s="18">
        <f>IF(Main!C14="A", 0.7, IF(Main!C14="B", 0.94, 0.72))</f>
        <v>0.7</v>
      </c>
      <c r="K5" s="12" t="s">
        <v>41</v>
      </c>
      <c r="U5" s="87" t="s">
        <v>172</v>
      </c>
    </row>
    <row r="6" spans="1:43" x14ac:dyDescent="0.75">
      <c r="A6" s="100" t="s">
        <v>173</v>
      </c>
      <c r="B6" s="105">
        <f>IF(B7 &gt;= 0, B7, C7)</f>
        <v>83.770435852804525</v>
      </c>
      <c r="C6" s="101" t="s">
        <v>155</v>
      </c>
      <c r="I6" s="13" t="s">
        <v>37</v>
      </c>
      <c r="J6" s="18">
        <f>IF(Main!C14="A", 0.39, IF(Main!C14="B", 0.85, 0.55))</f>
        <v>0.39</v>
      </c>
      <c r="K6" s="12" t="s">
        <v>41</v>
      </c>
      <c r="O6">
        <f>COLUMN(O6)</f>
        <v>15</v>
      </c>
      <c r="W6">
        <f>COLUMN(W6)</f>
        <v>23</v>
      </c>
    </row>
    <row r="7" spans="1:43" x14ac:dyDescent="0.75">
      <c r="B7" s="106">
        <f>(-$J$3 + SQRT(($J$3^2) - 4*$J$2*$J$4))/(2*$J$2)</f>
        <v>-104.72973817838592</v>
      </c>
      <c r="C7" s="106">
        <f>(-$J$3 - SQRT(($J$3^2) - 4*$J$2*$J$4))/(2*$J$2)</f>
        <v>83.770435852804525</v>
      </c>
      <c r="N7" t="s">
        <v>174</v>
      </c>
      <c r="Q7" s="82" t="s">
        <v>175</v>
      </c>
    </row>
    <row r="8" spans="1:43" ht="29.5" x14ac:dyDescent="0.75">
      <c r="N8" t="s">
        <v>176</v>
      </c>
      <c r="Q8" t="s">
        <v>177</v>
      </c>
      <c r="R8" t="s">
        <v>178</v>
      </c>
      <c r="V8" t="s">
        <v>176</v>
      </c>
      <c r="AM8" s="20" t="s">
        <v>179</v>
      </c>
      <c r="AN8" s="20" t="s">
        <v>148</v>
      </c>
      <c r="AO8" s="21" t="s">
        <v>180</v>
      </c>
      <c r="AP8" s="20" t="s">
        <v>181</v>
      </c>
    </row>
    <row r="9" spans="1:43" x14ac:dyDescent="0.75">
      <c r="A9" s="20" t="s">
        <v>179</v>
      </c>
      <c r="B9" s="20" t="s">
        <v>148</v>
      </c>
      <c r="C9" s="136" t="s">
        <v>180</v>
      </c>
      <c r="D9" s="92" t="s">
        <v>181</v>
      </c>
      <c r="E9" s="92" t="s">
        <v>182</v>
      </c>
      <c r="F9" s="138"/>
      <c r="G9" s="139" t="s">
        <v>183</v>
      </c>
      <c r="N9" s="66" t="s">
        <v>184</v>
      </c>
      <c r="O9" s="66">
        <v>0.01</v>
      </c>
      <c r="P9" s="66"/>
      <c r="Q9" s="66"/>
      <c r="R9" s="66"/>
      <c r="S9" t="s">
        <v>185</v>
      </c>
      <c r="V9" s="83"/>
      <c r="W9" s="83">
        <v>1E-3</v>
      </c>
      <c r="X9" s="83"/>
      <c r="Y9" s="83"/>
      <c r="Z9" s="83"/>
      <c r="AD9" s="84"/>
      <c r="AE9" s="84">
        <v>1E-4</v>
      </c>
      <c r="AF9" s="84"/>
      <c r="AG9" s="84"/>
      <c r="AH9" s="84"/>
      <c r="AM9" s="22" t="s">
        <v>186</v>
      </c>
      <c r="AN9" s="23" t="s">
        <v>155</v>
      </c>
      <c r="AO9" s="24" t="s">
        <v>184</v>
      </c>
      <c r="AP9" s="31" t="s">
        <v>184</v>
      </c>
    </row>
    <row r="10" spans="1:43" x14ac:dyDescent="0.75">
      <c r="A10" s="22" t="s">
        <v>186</v>
      </c>
      <c r="B10" s="23" t="s">
        <v>155</v>
      </c>
      <c r="C10" s="137" t="s">
        <v>184</v>
      </c>
      <c r="D10" s="92" t="s">
        <v>184</v>
      </c>
      <c r="E10" s="92" t="s">
        <v>184</v>
      </c>
      <c r="F10" s="138"/>
      <c r="G10" s="138"/>
      <c r="H10" s="82"/>
      <c r="N10" s="65">
        <f>VLOOKUP(MIN(E11:E41),E11:F41,1,FALSE)</f>
        <v>0.70320700350870879</v>
      </c>
      <c r="O10" s="66" cm="1">
        <f t="array" aca="1" ref="O10" ca="1">INDIRECT(ADDRESS(MATCH(N10,E11:E41,0) + 10,1,4))</f>
        <v>1.6</v>
      </c>
      <c r="P10" s="66" cm="1">
        <f t="array" aca="1" ref="P10" ca="1">INDIRECT(ADDRESS(MATCH(N10,E11:E41,0) + 10,2,4))</f>
        <v>30.159289474462017</v>
      </c>
      <c r="Q10" s="66" cm="1">
        <f t="array" aca="1" ref="Q10" ca="1">INDIRECT(ADDRESS(MATCH(N10,E11:E41,0) + 10,3,4))</f>
        <v>124.38275298886084</v>
      </c>
      <c r="R10" s="66" cm="1">
        <f t="array" aca="1" ref="R10" ca="1">INDIRECT(ADDRESS(MATCH(N10,E11:E41,0) + 10,4,4))</f>
        <v>125.08595999236955</v>
      </c>
      <c r="V10" s="65">
        <f ca="1">VLOOKUP(MIN(S11:S45),S11:S45,1,FALSE)</f>
        <v>9.1552044971322744E-2</v>
      </c>
      <c r="W10" s="83" cm="1">
        <f t="array" aca="1" ref="W10" ca="1">INDIRECT(ADDRESS(MATCH(V10,S11:S45,0) + 10,15,4))</f>
        <v>1.59</v>
      </c>
      <c r="X10" s="83" cm="1">
        <f t="array" aca="1" ref="X10" ca="1">INDIRECT(ADDRESS(MATCH(V10,S11:S45,0) + 10,16,4))</f>
        <v>29.970793915246627</v>
      </c>
      <c r="Y10" s="83" cm="1">
        <f t="array" aca="1" ref="Y10" ca="1">INDIRECT(ADDRESS(MATCH(V10,S11:S45,0) + 10,17,4))</f>
        <v>124.64565480149844</v>
      </c>
      <c r="Z10" s="83" cm="1">
        <f t="array" aca="1" ref="Z10" ca="1">INDIRECT(ADDRESS(MATCH(V10,S11:S45,0) + 10,18,4))</f>
        <v>124.55410275652712</v>
      </c>
      <c r="AD10" s="85">
        <f ca="1">VLOOKUP(MIN(AA11:AA45),AA11:AA45,1,FALSE)</f>
        <v>1.2281195220310792E-2</v>
      </c>
      <c r="AE10" s="83" cm="1">
        <f t="array" aca="1" ref="AE10" ca="1">INDIRECT(ADDRESS(MATCH(AD10,AA11:AA45,0) + 10,COLUMN(W10),4))</f>
        <v>1.591</v>
      </c>
      <c r="AF10" s="84"/>
      <c r="AG10" s="84"/>
      <c r="AH10" s="84"/>
      <c r="AL10" s="85">
        <f ca="1">VLOOKUP(MIN(AI11:AI45),AI11:AI45,1,FALSE)</f>
        <v>3.5784428657876788E-3</v>
      </c>
      <c r="AM10" s="86" cm="1">
        <f t="array" aca="1" ref="AM10" ca="1">INDIRECT(ADDRESS(MATCH(AL10,AI11:AI45,0) + 10,COLUMN(AE10),4))</f>
        <v>1.5911999999999999</v>
      </c>
      <c r="AN10" s="86" cm="1">
        <f t="array" aca="1" ref="AN10" ca="1">INDIRECT(ADDRESS(MATCH(AL10,AI11:AI45,0) + 10,COLUMN(AF10),4))</f>
        <v>29.993413382352472</v>
      </c>
      <c r="AO10" s="86" cm="1">
        <f t="array" aca="1" ref="AO10" ca="1">INDIRECT(ADDRESS(MATCH(AL10,AI11:AI45,0) + 10,COLUMN(AG10),4))</f>
        <v>124.61417111887744</v>
      </c>
      <c r="AP10" s="86" cm="1">
        <f t="array" aca="1" ref="AP10" ca="1">INDIRECT(ADDRESS(MATCH(AL10,AI11:AI45,0) + 10,COLUMN(AH10),4))</f>
        <v>124.61774956174322</v>
      </c>
      <c r="AQ10" cm="1">
        <f t="array" aca="1" ref="AQ10" ca="1">INDIRECT(ADDRESS(MATCH(AL10,AI11:AI45,0) + 10,COLUMN(AJ10),4))</f>
        <v>0.58889419643639229</v>
      </c>
    </row>
    <row r="11" spans="1:43" x14ac:dyDescent="0.75">
      <c r="A11" s="19">
        <v>0</v>
      </c>
      <c r="B11" s="32">
        <f>A11*PI()*($F$2/2000)^2*60*1000</f>
        <v>0</v>
      </c>
      <c r="C11" s="33">
        <f>$J$2*B11^2+$J$3*B11+$J$4</f>
        <v>150.9</v>
      </c>
      <c r="D11" s="32">
        <f>($B$4*$B$5*$B$3+$F$3*($B$2/($F$2/1000)*($B$4*A11^2/2)+$F$4*$B$4*A11^2/2+$F$5*A11))/1000</f>
        <v>82.403999999999996</v>
      </c>
      <c r="E11" s="6">
        <f t="shared" ref="E11:E42" si="0">ABS(C11-D11)</f>
        <v>68.496000000000009</v>
      </c>
      <c r="F11">
        <f t="shared" ref="F11:F42" si="1">ROW(F11) - 10</f>
        <v>1</v>
      </c>
      <c r="G11">
        <f t="shared" ref="G11:G42" si="2">IF(B11 &gt; $B$6, 0, 1.2*$J$5*((EXP(B11/$B$6) - 1 - 1.72*((B11/$B$6)^4))^($J$6)))</f>
        <v>0</v>
      </c>
      <c r="O11">
        <f ca="1">O12 - $O$9</f>
        <v>1.46</v>
      </c>
      <c r="P11" s="32">
        <f t="shared" ref="P11:P45" ca="1" si="3">O11*PI()*($F$2/2000)^2*60*1000</f>
        <v>27.520351645446588</v>
      </c>
      <c r="Q11" s="33">
        <f t="shared" ref="Q11:Q45" ca="1" si="4">$J$2*P11^2+$J$3*P11+$J$4</f>
        <v>127.95215345116512</v>
      </c>
      <c r="R11" s="32">
        <f t="shared" ref="R11:R45" ca="1" si="5">($B$4*$B$5*$B$3+$F$3*($B$2/($F$2/1000)*($B$4*O11^2/2)+$F$4*$B$4*O11^2/2+$F$5*O11))/1000</f>
        <v>117.94340074989645</v>
      </c>
      <c r="S11" s="6">
        <f t="shared" ref="S11:S45" ca="1" si="6">ABS(Q11 - R11)</f>
        <v>10.008752701268662</v>
      </c>
      <c r="T11">
        <f t="shared" ref="T11:T45" ca="1" si="7">1.2*$J$5*((EXP(P11/$B$6) - 1 - 1.72*((P11/$B$6)^4))^($J$6))</f>
        <v>0.56932924374126082</v>
      </c>
      <c r="W11">
        <f t="shared" ref="W11:W24" ca="1" si="8">W12 - W$9</f>
        <v>1.5760000000000016</v>
      </c>
      <c r="X11" s="32">
        <f t="shared" ref="X11:X45" ca="1" si="9">W11*PI()*($F$2/2000)^2*60*1000</f>
        <v>29.706900132345115</v>
      </c>
      <c r="Y11" s="33">
        <f t="shared" ref="Y11:Y45" ca="1" si="10">$J$2*X11^2+$J$3*X11+$J$4</f>
        <v>125.01166395615182</v>
      </c>
      <c r="Z11" s="32">
        <f t="shared" ref="Z11:Z45" ca="1" si="11">($B$4*$B$5*$B$3+$F$3*($B$2/($F$2/1000)*($B$4*W11^2/2)+$F$4*$B$4*W11^2/2+$F$5*W11))/1000</f>
        <v>123.81510463359682</v>
      </c>
      <c r="AA11" s="6">
        <f t="shared" ref="AA11:AA45" ca="1" si="12">ABS(Y11 - Z11)</f>
        <v>1.1965593225550037</v>
      </c>
      <c r="AB11">
        <f t="shared" ref="AB11:AB45" ca="1" si="13">1.2*$J$5*((EXP(X11/$B$6) - 1 - 1.72*((X11/$B$6)^4))^($J$6))</f>
        <v>0.58670702315840706</v>
      </c>
      <c r="AE11">
        <f t="shared" ref="AE11:AE24" ca="1" si="14">AE12 - AE$9</f>
        <v>1.5896000000000001</v>
      </c>
      <c r="AF11" s="32">
        <f t="shared" ref="AF11:AF45" ca="1" si="15">AE11*PI()*($F$2/2000)^2*60*1000</f>
        <v>29.963254092878021</v>
      </c>
      <c r="AG11" s="33">
        <f t="shared" ref="AG11:AG45" ca="1" si="16">$J$2*AF11^2+$J$3*AF11+$J$4</f>
        <v>124.65614545116628</v>
      </c>
      <c r="AH11" s="32">
        <f t="shared" ref="AH11:AH45" ca="1" si="17">($B$4*$B$5*$B$3+$F$3*($B$2/($F$2/1000)*($B$4*AE11^2/2)+$F$4*$B$4*AE11^2/2+$F$5*AE11))/1000</f>
        <v>124.53289782527841</v>
      </c>
      <c r="AI11" s="6">
        <f t="shared" ref="AI11:AI45" ca="1" si="18">ABS(AG11 - AH11)</f>
        <v>0.12324762588787053</v>
      </c>
      <c r="AJ11">
        <f t="shared" ref="AJ11:AJ45" ca="1" si="19">1.2*$J$5*((EXP(AF11/$B$6) - 1 - 1.72*((AF11/$B$6)^4))^($J$6))</f>
        <v>0.58866494311756101</v>
      </c>
      <c r="AL11" s="87" t="s">
        <v>187</v>
      </c>
    </row>
    <row r="12" spans="1:43" x14ac:dyDescent="0.75">
      <c r="A12" s="19">
        <v>0.1</v>
      </c>
      <c r="B12" s="32">
        <f>A12*PI()*($F$2/2000)^2*60*1000</f>
        <v>1.8849555921538761</v>
      </c>
      <c r="C12" s="33">
        <f>$J$2*B12^2+$J$3*B12+$J$4</f>
        <v>150.15936091857699</v>
      </c>
      <c r="D12" s="32">
        <f>($B$4*$B$5*$B$3+$F$3*($B$2/($F$2/1000)*($B$4*A12^2/2)+$F$4*$B$4*A12^2/2+$F$5*A12))/1000</f>
        <v>82.570726406220189</v>
      </c>
      <c r="E12" s="6">
        <f>ABS(C12-D12)</f>
        <v>67.588634512356805</v>
      </c>
      <c r="F12">
        <f t="shared" si="1"/>
        <v>2</v>
      </c>
      <c r="G12">
        <f>IF(B12 &gt; $B$6, 0, 1.2*$J$5*((EXP(B12/$B$6) - 1 - 1.72*((B12/$B$6)^4))^($J$6)))</f>
        <v>0.19210877482290106</v>
      </c>
      <c r="O12">
        <f t="shared" ref="O12:O23" ca="1" si="20">O13 - $O$9</f>
        <v>1.47</v>
      </c>
      <c r="P12" s="32">
        <f t="shared" ca="1" si="3"/>
        <v>27.708847204661975</v>
      </c>
      <c r="Q12" s="33">
        <f t="shared" ca="1" si="4"/>
        <v>127.70514091204494</v>
      </c>
      <c r="R12" s="32">
        <f t="shared" ca="1" si="5"/>
        <v>118.43190912012159</v>
      </c>
      <c r="S12" s="6">
        <f t="shared" ca="1" si="6"/>
        <v>9.2732317919233509</v>
      </c>
      <c r="T12">
        <f t="shared" ca="1" si="7"/>
        <v>0.57087545244844806</v>
      </c>
      <c r="W12">
        <f t="shared" ca="1" si="8"/>
        <v>1.5770000000000015</v>
      </c>
      <c r="X12" s="32">
        <f t="shared" ca="1" si="9"/>
        <v>29.725749688266649</v>
      </c>
      <c r="Y12" s="33">
        <f t="shared" ca="1" si="10"/>
        <v>124.98559989147273</v>
      </c>
      <c r="Z12" s="32">
        <f t="shared" ca="1" si="11"/>
        <v>123.86767346947804</v>
      </c>
      <c r="AA12" s="6">
        <f t="shared" ca="1" si="12"/>
        <v>1.1179264219946958</v>
      </c>
      <c r="AB12">
        <f t="shared" ca="1" si="13"/>
        <v>0.58685155294981328</v>
      </c>
      <c r="AE12">
        <f t="shared" ca="1" si="14"/>
        <v>1.5897000000000001</v>
      </c>
      <c r="AF12" s="32">
        <f t="shared" ca="1" si="15"/>
        <v>29.965139048470167</v>
      </c>
      <c r="AG12" s="33">
        <f t="shared" ca="1" si="16"/>
        <v>124.6535229720871</v>
      </c>
      <c r="AH12" s="32">
        <f t="shared" ca="1" si="17"/>
        <v>124.53819855791139</v>
      </c>
      <c r="AI12" s="6">
        <f t="shared" ca="1" si="18"/>
        <v>0.11532441417571704</v>
      </c>
      <c r="AJ12">
        <f t="shared" ca="1" si="19"/>
        <v>0.58867927817123111</v>
      </c>
    </row>
    <row r="13" spans="1:43" x14ac:dyDescent="0.75">
      <c r="A13" s="19">
        <v>0.2</v>
      </c>
      <c r="B13" s="32">
        <f t="shared" ref="B13:B41" si="21">A13*PI()*($F$2/2000)^2*60*1000</f>
        <v>3.7699111843077522</v>
      </c>
      <c r="C13" s="33">
        <f t="shared" ref="C13:C41" si="22">$J$2*B13^2+$J$3*B13+$J$4</f>
        <v>149.29649665625087</v>
      </c>
      <c r="D13" s="32">
        <f t="shared" ref="D13:D41" si="23">($B$4*$B$5*$B$3+$F$3*($B$2/($F$2/1000)*($B$4*A13^2/2)+$F$4*$B$4*A13^2/2+$F$5*A13))/1000</f>
        <v>83.07090562488078</v>
      </c>
      <c r="E13" s="6">
        <f t="shared" si="0"/>
        <v>66.225591031370087</v>
      </c>
      <c r="F13">
        <f t="shared" si="1"/>
        <v>3</v>
      </c>
      <c r="G13">
        <f t="shared" si="2"/>
        <v>0.25283810688426761</v>
      </c>
      <c r="O13">
        <f t="shared" ca="1" si="20"/>
        <v>1.48</v>
      </c>
      <c r="P13" s="32">
        <f t="shared" ca="1" si="3"/>
        <v>27.897342763877365</v>
      </c>
      <c r="Q13" s="33">
        <f t="shared" ca="1" si="4"/>
        <v>127.45690612111574</v>
      </c>
      <c r="R13" s="32">
        <f t="shared" ca="1" si="5"/>
        <v>118.92375201847119</v>
      </c>
      <c r="S13" s="6">
        <f t="shared" ca="1" si="6"/>
        <v>8.533154102644545</v>
      </c>
      <c r="T13">
        <f t="shared" ca="1" si="7"/>
        <v>0.57241252083565408</v>
      </c>
      <c r="W13">
        <f t="shared" ca="1" si="8"/>
        <v>1.5780000000000014</v>
      </c>
      <c r="X13" s="32">
        <f t="shared" ca="1" si="9"/>
        <v>29.744599244188187</v>
      </c>
      <c r="Y13" s="33">
        <f t="shared" ca="1" si="10"/>
        <v>124.95952360427557</v>
      </c>
      <c r="Z13" s="32">
        <f t="shared" ca="1" si="11"/>
        <v>123.92027565064051</v>
      </c>
      <c r="AA13" s="6">
        <f t="shared" ca="1" si="12"/>
        <v>1.0392479536350692</v>
      </c>
      <c r="AB13">
        <f t="shared" ca="1" si="13"/>
        <v>0.58699599300935112</v>
      </c>
      <c r="AE13">
        <f t="shared" ca="1" si="14"/>
        <v>1.5898000000000001</v>
      </c>
      <c r="AF13" s="32">
        <f t="shared" ca="1" si="15"/>
        <v>29.967024004062321</v>
      </c>
      <c r="AG13" s="33">
        <f t="shared" ca="1" si="16"/>
        <v>124.65090037078272</v>
      </c>
      <c r="AH13" s="32">
        <f t="shared" ca="1" si="17"/>
        <v>124.54349962399714</v>
      </c>
      <c r="AI13" s="6">
        <f t="shared" ca="1" si="18"/>
        <v>0.10740074678558642</v>
      </c>
      <c r="AJ13">
        <f t="shared" ca="1" si="19"/>
        <v>0.58869361232869788</v>
      </c>
    </row>
    <row r="14" spans="1:43" x14ac:dyDescent="0.75">
      <c r="A14" s="19">
        <v>0.3</v>
      </c>
      <c r="B14" s="32">
        <f t="shared" si="21"/>
        <v>5.6548667764616285</v>
      </c>
      <c r="C14" s="33">
        <f t="shared" si="22"/>
        <v>148.31140721302168</v>
      </c>
      <c r="D14" s="32">
        <f t="shared" si="23"/>
        <v>83.904537655981741</v>
      </c>
      <c r="E14" s="6">
        <f t="shared" si="0"/>
        <v>64.40686955703994</v>
      </c>
      <c r="F14">
        <f t="shared" si="1"/>
        <v>4</v>
      </c>
      <c r="G14">
        <f t="shared" si="2"/>
        <v>0.29742734299685003</v>
      </c>
      <c r="O14">
        <f t="shared" ca="1" si="20"/>
        <v>1.49</v>
      </c>
      <c r="P14" s="32">
        <f t="shared" ca="1" si="3"/>
        <v>28.085838323092752</v>
      </c>
      <c r="Q14" s="33">
        <f t="shared" ca="1" si="4"/>
        <v>127.20744907837749</v>
      </c>
      <c r="R14" s="32">
        <f t="shared" ca="1" si="5"/>
        <v>119.41892944494515</v>
      </c>
      <c r="S14" s="6">
        <f t="shared" ca="1" si="6"/>
        <v>7.7885196334323439</v>
      </c>
      <c r="T14">
        <f t="shared" ca="1" si="7"/>
        <v>0.57394047042080165</v>
      </c>
      <c r="W14">
        <f t="shared" ca="1" si="8"/>
        <v>1.5790000000000013</v>
      </c>
      <c r="X14" s="32">
        <f t="shared" ca="1" si="9"/>
        <v>29.763448800109728</v>
      </c>
      <c r="Y14" s="33">
        <f t="shared" ca="1" si="10"/>
        <v>124.93343509456029</v>
      </c>
      <c r="Z14" s="32">
        <f t="shared" ca="1" si="11"/>
        <v>123.97291117708421</v>
      </c>
      <c r="AA14" s="6">
        <f t="shared" ca="1" si="12"/>
        <v>0.96052391747608112</v>
      </c>
      <c r="AB14">
        <f t="shared" ca="1" si="13"/>
        <v>0.58714034334642884</v>
      </c>
      <c r="AE14">
        <f t="shared" ca="1" si="14"/>
        <v>1.5899000000000001</v>
      </c>
      <c r="AF14" s="32">
        <f t="shared" ca="1" si="15"/>
        <v>29.968908959654481</v>
      </c>
      <c r="AG14" s="33">
        <f t="shared" ca="1" si="16"/>
        <v>124.64827764725315</v>
      </c>
      <c r="AH14" s="32">
        <f t="shared" ca="1" si="17"/>
        <v>124.54880102353572</v>
      </c>
      <c r="AI14" s="6">
        <f t="shared" ca="1" si="18"/>
        <v>9.9476623717436041E-2</v>
      </c>
      <c r="AJ14">
        <f t="shared" ca="1" si="19"/>
        <v>0.58870794558996942</v>
      </c>
    </row>
    <row r="15" spans="1:43" x14ac:dyDescent="0.75">
      <c r="A15" s="19">
        <v>0.4</v>
      </c>
      <c r="B15" s="32">
        <f t="shared" si="21"/>
        <v>7.5398223686155044</v>
      </c>
      <c r="C15" s="33">
        <f t="shared" si="22"/>
        <v>147.20409258888938</v>
      </c>
      <c r="D15" s="32">
        <f t="shared" si="23"/>
        <v>85.071622499523102</v>
      </c>
      <c r="E15" s="6">
        <f t="shared" si="0"/>
        <v>62.132470089366279</v>
      </c>
      <c r="F15">
        <f t="shared" si="1"/>
        <v>5</v>
      </c>
      <c r="G15">
        <f t="shared" si="2"/>
        <v>0.33413434649695811</v>
      </c>
      <c r="O15">
        <f t="shared" ca="1" si="20"/>
        <v>1.5</v>
      </c>
      <c r="P15" s="32">
        <f t="shared" ca="1" si="3"/>
        <v>28.274333882308138</v>
      </c>
      <c r="Q15" s="33">
        <f t="shared" ca="1" si="4"/>
        <v>126.95676978383023</v>
      </c>
      <c r="R15" s="32">
        <f t="shared" ca="1" si="5"/>
        <v>119.91744139954353</v>
      </c>
      <c r="S15" s="6">
        <f t="shared" ca="1" si="6"/>
        <v>7.0393283842866907</v>
      </c>
      <c r="T15">
        <f t="shared" ca="1" si="7"/>
        <v>0.57545932143752487</v>
      </c>
      <c r="W15">
        <f t="shared" ca="1" si="8"/>
        <v>1.5800000000000012</v>
      </c>
      <c r="X15" s="32">
        <f t="shared" ca="1" si="9"/>
        <v>29.782298356031262</v>
      </c>
      <c r="Y15" s="33">
        <f t="shared" ca="1" si="10"/>
        <v>124.90733436232694</v>
      </c>
      <c r="Z15" s="32">
        <f t="shared" ca="1" si="11"/>
        <v>124.02558004880916</v>
      </c>
      <c r="AA15" s="6">
        <f t="shared" ca="1" si="12"/>
        <v>0.88175431351777434</v>
      </c>
      <c r="AB15">
        <f t="shared" ca="1" si="13"/>
        <v>0.58728460397034632</v>
      </c>
      <c r="AE15">
        <f t="shared" ca="1" si="14"/>
        <v>1.59</v>
      </c>
      <c r="AF15" s="32">
        <f t="shared" ca="1" si="15"/>
        <v>29.970793915246627</v>
      </c>
      <c r="AG15" s="33">
        <f t="shared" ca="1" si="16"/>
        <v>124.64565480149844</v>
      </c>
      <c r="AH15" s="32">
        <f t="shared" ca="1" si="17"/>
        <v>124.55410275652712</v>
      </c>
      <c r="AI15" s="6">
        <f t="shared" ca="1" si="18"/>
        <v>9.1552044971322744E-2</v>
      </c>
      <c r="AJ15">
        <f t="shared" ca="1" si="19"/>
        <v>0.58872227795505383</v>
      </c>
    </row>
    <row r="16" spans="1:43" x14ac:dyDescent="0.75">
      <c r="A16" s="19">
        <v>0.5</v>
      </c>
      <c r="B16" s="32">
        <f t="shared" si="21"/>
        <v>9.4247779607693793</v>
      </c>
      <c r="C16" s="33">
        <f t="shared" si="22"/>
        <v>145.97455278385402</v>
      </c>
      <c r="D16" s="32">
        <f t="shared" si="23"/>
        <v>86.572160155504847</v>
      </c>
      <c r="E16" s="6">
        <f t="shared" si="0"/>
        <v>59.402392628349176</v>
      </c>
      <c r="F16">
        <f t="shared" si="1"/>
        <v>6</v>
      </c>
      <c r="G16">
        <f t="shared" si="2"/>
        <v>0.36598598960814832</v>
      </c>
      <c r="O16">
        <f t="shared" ca="1" si="20"/>
        <v>1.51</v>
      </c>
      <c r="P16" s="32">
        <f t="shared" ca="1" si="3"/>
        <v>28.462829441523525</v>
      </c>
      <c r="Q16" s="33">
        <f t="shared" ca="1" si="4"/>
        <v>126.70486823747393</v>
      </c>
      <c r="R16" s="32">
        <f t="shared" ca="1" si="5"/>
        <v>120.4192878822663</v>
      </c>
      <c r="S16" s="6">
        <f t="shared" ca="1" si="6"/>
        <v>6.2855803552076281</v>
      </c>
      <c r="T16">
        <f t="shared" ca="1" si="7"/>
        <v>0.57696909285968512</v>
      </c>
      <c r="W16">
        <f t="shared" ca="1" si="8"/>
        <v>1.5810000000000011</v>
      </c>
      <c r="X16" s="32">
        <f t="shared" ca="1" si="9"/>
        <v>29.8011479119528</v>
      </c>
      <c r="Y16" s="33">
        <f t="shared" ca="1" si="10"/>
        <v>124.8812214075755</v>
      </c>
      <c r="Z16" s="32">
        <f t="shared" ca="1" si="11"/>
        <v>124.07828226581536</v>
      </c>
      <c r="AA16" s="6">
        <f t="shared" ca="1" si="12"/>
        <v>0.80293914176013459</v>
      </c>
      <c r="AB16">
        <f t="shared" ca="1" si="13"/>
        <v>0.58742877489029666</v>
      </c>
      <c r="AE16">
        <f t="shared" ca="1" si="14"/>
        <v>1.5901000000000001</v>
      </c>
      <c r="AF16" s="32">
        <f t="shared" ca="1" si="15"/>
        <v>29.972678870838777</v>
      </c>
      <c r="AG16" s="33">
        <f t="shared" ca="1" si="16"/>
        <v>124.64303183351851</v>
      </c>
      <c r="AH16" s="32">
        <f t="shared" ca="1" si="17"/>
        <v>124.55940482297132</v>
      </c>
      <c r="AI16" s="6">
        <f t="shared" ca="1" si="18"/>
        <v>8.3627010547189684E-2</v>
      </c>
      <c r="AJ16">
        <f t="shared" ca="1" si="19"/>
        <v>0.58873660942395889</v>
      </c>
    </row>
    <row r="17" spans="1:36" x14ac:dyDescent="0.75">
      <c r="A17" s="19">
        <v>0.6</v>
      </c>
      <c r="B17" s="32">
        <f t="shared" si="21"/>
        <v>11.309733552923257</v>
      </c>
      <c r="C17" s="33">
        <f t="shared" si="22"/>
        <v>144.62278779791555</v>
      </c>
      <c r="D17" s="32">
        <f t="shared" si="23"/>
        <v>88.406150623926962</v>
      </c>
      <c r="E17" s="6">
        <f t="shared" si="0"/>
        <v>56.216637173988588</v>
      </c>
      <c r="F17">
        <f t="shared" si="1"/>
        <v>7</v>
      </c>
      <c r="G17">
        <f t="shared" si="2"/>
        <v>0.39446777725812654</v>
      </c>
      <c r="O17">
        <f t="shared" ca="1" si="20"/>
        <v>1.52</v>
      </c>
      <c r="P17" s="32">
        <f t="shared" ca="1" si="3"/>
        <v>28.651325000738915</v>
      </c>
      <c r="Q17" s="33">
        <f t="shared" ca="1" si="4"/>
        <v>126.4517444393086</v>
      </c>
      <c r="R17" s="32">
        <f t="shared" ca="1" si="5"/>
        <v>120.9244688931135</v>
      </c>
      <c r="S17" s="6">
        <f t="shared" ca="1" si="6"/>
        <v>5.5272755461950993</v>
      </c>
      <c r="T17">
        <f t="shared" ca="1" si="7"/>
        <v>0.57846980242502244</v>
      </c>
      <c r="W17">
        <f t="shared" ca="1" si="8"/>
        <v>1.582000000000001</v>
      </c>
      <c r="X17" s="32">
        <f t="shared" ca="1" si="9"/>
        <v>29.819997467874334</v>
      </c>
      <c r="Y17" s="33">
        <f t="shared" ca="1" si="10"/>
        <v>124.85509623030596</v>
      </c>
      <c r="Z17" s="32">
        <f t="shared" ca="1" si="11"/>
        <v>124.1310178281028</v>
      </c>
      <c r="AA17" s="6">
        <f t="shared" ca="1" si="12"/>
        <v>0.72407840220316189</v>
      </c>
      <c r="AB17">
        <f t="shared" ca="1" si="13"/>
        <v>0.58757285611536481</v>
      </c>
      <c r="AE17">
        <f t="shared" ca="1" si="14"/>
        <v>1.5902000000000001</v>
      </c>
      <c r="AF17" s="32">
        <f t="shared" ca="1" si="15"/>
        <v>29.974563826430941</v>
      </c>
      <c r="AG17" s="33">
        <f t="shared" ca="1" si="16"/>
        <v>124.6404087433134</v>
      </c>
      <c r="AH17" s="32">
        <f t="shared" ca="1" si="17"/>
        <v>124.56470722286834</v>
      </c>
      <c r="AI17" s="6">
        <f t="shared" ca="1" si="18"/>
        <v>7.5701520445065285E-2</v>
      </c>
      <c r="AJ17">
        <f t="shared" ca="1" si="19"/>
        <v>0.58875093999669292</v>
      </c>
    </row>
    <row r="18" spans="1:36" x14ac:dyDescent="0.75">
      <c r="A18" s="19">
        <v>0.7</v>
      </c>
      <c r="B18" s="32">
        <f t="shared" si="21"/>
        <v>13.194689145077131</v>
      </c>
      <c r="C18" s="33">
        <f t="shared" si="22"/>
        <v>143.14879763107399</v>
      </c>
      <c r="D18" s="32">
        <f t="shared" si="23"/>
        <v>90.573593904789476</v>
      </c>
      <c r="E18" s="6">
        <f t="shared" si="0"/>
        <v>52.575203726284514</v>
      </c>
      <c r="F18">
        <f t="shared" si="1"/>
        <v>8</v>
      </c>
      <c r="G18">
        <f t="shared" si="2"/>
        <v>0.42042578233711048</v>
      </c>
      <c r="O18">
        <f t="shared" ca="1" si="20"/>
        <v>1.53</v>
      </c>
      <c r="P18" s="32">
        <f t="shared" ca="1" si="3"/>
        <v>28.839820559954305</v>
      </c>
      <c r="Q18" s="33">
        <f t="shared" ca="1" si="4"/>
        <v>126.19739838933424</v>
      </c>
      <c r="R18" s="32">
        <f t="shared" ca="1" si="5"/>
        <v>121.43298443208509</v>
      </c>
      <c r="S18" s="6">
        <f t="shared" ca="1" si="6"/>
        <v>4.7644139572491468</v>
      </c>
      <c r="T18">
        <f t="shared" ca="1" si="7"/>
        <v>0.57996146665797377</v>
      </c>
      <c r="W18">
        <f t="shared" ca="1" si="8"/>
        <v>1.5830000000000009</v>
      </c>
      <c r="X18" s="32">
        <f t="shared" ca="1" si="9"/>
        <v>29.838847023795871</v>
      </c>
      <c r="Y18" s="33">
        <f t="shared" ca="1" si="10"/>
        <v>124.82895883051833</v>
      </c>
      <c r="Z18" s="32">
        <f t="shared" ca="1" si="11"/>
        <v>124.18378673567149</v>
      </c>
      <c r="AA18" s="6">
        <f t="shared" ca="1" si="12"/>
        <v>0.64517209484684201</v>
      </c>
      <c r="AB18">
        <f t="shared" ca="1" si="13"/>
        <v>0.58771684765452881</v>
      </c>
      <c r="AE18">
        <f t="shared" ca="1" si="14"/>
        <v>1.5903</v>
      </c>
      <c r="AF18" s="32">
        <f t="shared" ca="1" si="15"/>
        <v>29.976448782023088</v>
      </c>
      <c r="AG18" s="33">
        <f t="shared" ca="1" si="16"/>
        <v>124.63778553088312</v>
      </c>
      <c r="AH18" s="32">
        <f t="shared" ca="1" si="17"/>
        <v>124.57000995621819</v>
      </c>
      <c r="AI18" s="6">
        <f t="shared" ca="1" si="18"/>
        <v>6.7775574664935334E-2</v>
      </c>
      <c r="AJ18">
        <f t="shared" ca="1" si="19"/>
        <v>0.58876526967326404</v>
      </c>
    </row>
    <row r="19" spans="1:36" x14ac:dyDescent="0.75">
      <c r="A19" s="19">
        <v>0.8</v>
      </c>
      <c r="B19" s="32">
        <f t="shared" si="21"/>
        <v>15.079644737231009</v>
      </c>
      <c r="C19" s="33">
        <f t="shared" si="22"/>
        <v>141.55258228332931</v>
      </c>
      <c r="D19" s="32">
        <f t="shared" si="23"/>
        <v>93.074489998092375</v>
      </c>
      <c r="E19" s="6">
        <f t="shared" si="0"/>
        <v>48.47809228523694</v>
      </c>
      <c r="F19">
        <f t="shared" si="1"/>
        <v>9</v>
      </c>
      <c r="G19">
        <f t="shared" si="2"/>
        <v>0.44438730076789268</v>
      </c>
      <c r="O19">
        <f t="shared" ca="1" si="20"/>
        <v>1.54</v>
      </c>
      <c r="P19" s="32">
        <f t="shared" ca="1" si="3"/>
        <v>29.028316119169695</v>
      </c>
      <c r="Q19" s="33">
        <f t="shared" ca="1" si="4"/>
        <v>125.94183008755084</v>
      </c>
      <c r="R19" s="32">
        <f t="shared" ca="1" si="5"/>
        <v>121.94483449918107</v>
      </c>
      <c r="S19" s="6">
        <f t="shared" ca="1" si="6"/>
        <v>3.9969955883697708</v>
      </c>
      <c r="T19">
        <f t="shared" ca="1" si="7"/>
        <v>0.58144410089168674</v>
      </c>
      <c r="W19">
        <f t="shared" ca="1" si="8"/>
        <v>1.5840000000000007</v>
      </c>
      <c r="X19" s="32">
        <f t="shared" ca="1" si="9"/>
        <v>29.857696579717409</v>
      </c>
      <c r="Y19" s="33">
        <f t="shared" ca="1" si="10"/>
        <v>124.80280920821262</v>
      </c>
      <c r="Z19" s="32">
        <f t="shared" ca="1" si="11"/>
        <v>124.23658898852143</v>
      </c>
      <c r="AA19" s="6">
        <f t="shared" ca="1" si="12"/>
        <v>0.56622021969118919</v>
      </c>
      <c r="AB19">
        <f t="shared" ca="1" si="13"/>
        <v>0.58786074951665945</v>
      </c>
      <c r="AE19">
        <f t="shared" ca="1" si="14"/>
        <v>1.5904</v>
      </c>
      <c r="AF19" s="32">
        <f t="shared" ca="1" si="15"/>
        <v>29.978333737615245</v>
      </c>
      <c r="AG19" s="33">
        <f t="shared" ca="1" si="16"/>
        <v>124.63516219622765</v>
      </c>
      <c r="AH19" s="32">
        <f t="shared" ca="1" si="17"/>
        <v>124.57531302302084</v>
      </c>
      <c r="AI19" s="6">
        <f t="shared" ca="1" si="18"/>
        <v>5.9849173206814044E-2</v>
      </c>
      <c r="AJ19">
        <f t="shared" ca="1" si="19"/>
        <v>0.58877959845368022</v>
      </c>
    </row>
    <row r="20" spans="1:36" x14ac:dyDescent="0.75">
      <c r="A20" s="19">
        <v>0.9</v>
      </c>
      <c r="B20" s="32">
        <f t="shared" si="21"/>
        <v>16.964600329384883</v>
      </c>
      <c r="C20" s="33">
        <f t="shared" si="22"/>
        <v>139.83414175468158</v>
      </c>
      <c r="D20" s="32">
        <f t="shared" si="23"/>
        <v>95.908838903835672</v>
      </c>
      <c r="E20" s="6">
        <f t="shared" si="0"/>
        <v>43.92530285084591</v>
      </c>
      <c r="F20">
        <f t="shared" si="1"/>
        <v>10</v>
      </c>
      <c r="G20">
        <f t="shared" si="2"/>
        <v>0.46670077399909121</v>
      </c>
      <c r="O20">
        <f t="shared" ca="1" si="20"/>
        <v>1.55</v>
      </c>
      <c r="P20" s="32">
        <f t="shared" ca="1" si="3"/>
        <v>29.216811678385078</v>
      </c>
      <c r="Q20" s="33">
        <f t="shared" ca="1" si="4"/>
        <v>125.68503953395842</v>
      </c>
      <c r="R20" s="32">
        <f t="shared" ca="1" si="5"/>
        <v>122.46001909440149</v>
      </c>
      <c r="S20" s="6">
        <f t="shared" ca="1" si="6"/>
        <v>3.2250204395569284</v>
      </c>
      <c r="T20">
        <f t="shared" ca="1" si="7"/>
        <v>0.5829177192892564</v>
      </c>
      <c r="W20">
        <f t="shared" ca="1" si="8"/>
        <v>1.5850000000000006</v>
      </c>
      <c r="X20" s="32">
        <f t="shared" ca="1" si="9"/>
        <v>29.876546135638947</v>
      </c>
      <c r="Y20" s="33">
        <f t="shared" ca="1" si="10"/>
        <v>124.7766473633888</v>
      </c>
      <c r="Z20" s="32">
        <f t="shared" ca="1" si="11"/>
        <v>124.2894245866526</v>
      </c>
      <c r="AA20" s="6">
        <f t="shared" ca="1" si="12"/>
        <v>0.4872227767362034</v>
      </c>
      <c r="AB20">
        <f t="shared" ca="1" si="13"/>
        <v>0.58800456171052029</v>
      </c>
      <c r="AE20">
        <f t="shared" ca="1" si="14"/>
        <v>1.5905</v>
      </c>
      <c r="AF20" s="32">
        <f t="shared" ca="1" si="15"/>
        <v>29.980218693207402</v>
      </c>
      <c r="AG20" s="33">
        <f t="shared" ca="1" si="16"/>
        <v>124.63253873934701</v>
      </c>
      <c r="AH20" s="32">
        <f t="shared" ca="1" si="17"/>
        <v>124.58061642327628</v>
      </c>
      <c r="AI20" s="6">
        <f t="shared" ca="1" si="18"/>
        <v>5.1922316070729835E-2</v>
      </c>
      <c r="AJ20">
        <f t="shared" ca="1" si="19"/>
        <v>0.58879392633794936</v>
      </c>
    </row>
    <row r="21" spans="1:36" x14ac:dyDescent="0.75">
      <c r="A21" s="19">
        <v>1</v>
      </c>
      <c r="B21" s="32">
        <f t="shared" si="21"/>
        <v>18.849555921538759</v>
      </c>
      <c r="C21" s="33">
        <f t="shared" si="22"/>
        <v>137.99347604513076</v>
      </c>
      <c r="D21" s="32">
        <f t="shared" si="23"/>
        <v>99.07664062201934</v>
      </c>
      <c r="E21" s="6">
        <f t="shared" si="0"/>
        <v>38.916835423111422</v>
      </c>
      <c r="F21">
        <f t="shared" si="1"/>
        <v>11</v>
      </c>
      <c r="G21">
        <f t="shared" si="2"/>
        <v>0.48760554131925954</v>
      </c>
      <c r="O21">
        <f t="shared" ca="1" si="20"/>
        <v>1.56</v>
      </c>
      <c r="P21" s="32">
        <f t="shared" ca="1" si="3"/>
        <v>29.405307237600464</v>
      </c>
      <c r="Q21" s="33">
        <f t="shared" ca="1" si="4"/>
        <v>125.42702672855697</v>
      </c>
      <c r="R21" s="32">
        <f t="shared" ca="1" si="5"/>
        <v>122.97853821774629</v>
      </c>
      <c r="S21" s="6">
        <f t="shared" ca="1" si="6"/>
        <v>2.4484885108106766</v>
      </c>
      <c r="T21">
        <f t="shared" ca="1" si="7"/>
        <v>0.58438233486420776</v>
      </c>
      <c r="W21">
        <f t="shared" ca="1" si="8"/>
        <v>1.5860000000000005</v>
      </c>
      <c r="X21" s="32">
        <f t="shared" ca="1" si="9"/>
        <v>29.895395691560481</v>
      </c>
      <c r="Y21" s="33">
        <f t="shared" ca="1" si="10"/>
        <v>124.75047329604692</v>
      </c>
      <c r="Z21" s="32">
        <f t="shared" ca="1" si="11"/>
        <v>124.34229353006501</v>
      </c>
      <c r="AA21" s="6">
        <f t="shared" ca="1" si="12"/>
        <v>0.40817976598191308</v>
      </c>
      <c r="AB21">
        <f t="shared" ca="1" si="13"/>
        <v>0.58814828424476895</v>
      </c>
      <c r="AE21">
        <f t="shared" ca="1" si="14"/>
        <v>1.5906</v>
      </c>
      <c r="AF21" s="32">
        <f t="shared" ca="1" si="15"/>
        <v>29.982103648799544</v>
      </c>
      <c r="AG21" s="33">
        <f t="shared" ca="1" si="16"/>
        <v>124.6299151602412</v>
      </c>
      <c r="AH21" s="32">
        <f t="shared" ca="1" si="17"/>
        <v>124.58592015698456</v>
      </c>
      <c r="AI21" s="6">
        <f t="shared" ca="1" si="18"/>
        <v>4.3995003256640075E-2</v>
      </c>
      <c r="AJ21">
        <f t="shared" ca="1" si="19"/>
        <v>0.58880825332607956</v>
      </c>
    </row>
    <row r="22" spans="1:36" x14ac:dyDescent="0.75">
      <c r="A22" s="19">
        <v>1.1000000000000001</v>
      </c>
      <c r="B22" s="32">
        <f t="shared" si="21"/>
        <v>20.734511513692638</v>
      </c>
      <c r="C22" s="33">
        <f t="shared" si="22"/>
        <v>136.03058515467683</v>
      </c>
      <c r="D22" s="32">
        <f>($B$4*$B$5*$B$3+$F$3*($B$2/($F$2/1000)*($B$4*A22^2/2)+$F$4*$B$4*A22^2/2+$F$5*A22))/1000</f>
        <v>102.57789515264341</v>
      </c>
      <c r="E22" s="6">
        <f t="shared" si="0"/>
        <v>33.452690002033421</v>
      </c>
      <c r="F22">
        <f t="shared" si="1"/>
        <v>12</v>
      </c>
      <c r="G22">
        <f t="shared" si="2"/>
        <v>0.50727005103118805</v>
      </c>
      <c r="O22">
        <f t="shared" ca="1" si="20"/>
        <v>1.57</v>
      </c>
      <c r="P22" s="32">
        <f t="shared" ca="1" si="3"/>
        <v>29.593802796815858</v>
      </c>
      <c r="Q22" s="33">
        <f t="shared" ca="1" si="4"/>
        <v>125.16779167134648</v>
      </c>
      <c r="R22" s="32">
        <f t="shared" ca="1" si="5"/>
        <v>123.50039186921551</v>
      </c>
      <c r="S22" s="6">
        <f t="shared" ca="1" si="6"/>
        <v>1.6673998021309728</v>
      </c>
      <c r="T22">
        <f t="shared" ca="1" si="7"/>
        <v>0.58583795950025308</v>
      </c>
      <c r="W22">
        <f t="shared" ca="1" si="8"/>
        <v>1.5870000000000004</v>
      </c>
      <c r="X22" s="32">
        <f t="shared" ca="1" si="9"/>
        <v>29.914245247482022</v>
      </c>
      <c r="Y22" s="33">
        <f t="shared" ca="1" si="10"/>
        <v>124.72428700618693</v>
      </c>
      <c r="Z22" s="32">
        <f t="shared" ca="1" si="11"/>
        <v>124.39519581875865</v>
      </c>
      <c r="AA22" s="6">
        <f t="shared" ca="1" si="12"/>
        <v>0.32909118742827559</v>
      </c>
      <c r="AB22">
        <f t="shared" ca="1" si="13"/>
        <v>0.5882919171279557</v>
      </c>
      <c r="AE22">
        <f t="shared" ca="1" si="14"/>
        <v>1.5907</v>
      </c>
      <c r="AF22" s="32">
        <f t="shared" ca="1" si="15"/>
        <v>29.983988604391705</v>
      </c>
      <c r="AG22" s="33">
        <f t="shared" ca="1" si="16"/>
        <v>124.62729145891018</v>
      </c>
      <c r="AH22" s="32">
        <f t="shared" ca="1" si="17"/>
        <v>124.59122422414563</v>
      </c>
      <c r="AI22" s="6">
        <f t="shared" ca="1" si="18"/>
        <v>3.6067234764544764E-2</v>
      </c>
      <c r="AJ22">
        <f t="shared" ca="1" si="19"/>
        <v>0.58882257941807914</v>
      </c>
    </row>
    <row r="23" spans="1:36" x14ac:dyDescent="0.75">
      <c r="A23" s="19">
        <v>1.2</v>
      </c>
      <c r="B23" s="32">
        <f t="shared" si="21"/>
        <v>22.619467105846514</v>
      </c>
      <c r="C23" s="33">
        <f t="shared" si="22"/>
        <v>133.94546908331981</v>
      </c>
      <c r="D23" s="32">
        <f t="shared" si="23"/>
        <v>106.41260249570786</v>
      </c>
      <c r="E23" s="6">
        <f t="shared" si="0"/>
        <v>27.532866587611949</v>
      </c>
      <c r="F23">
        <f t="shared" si="1"/>
        <v>13</v>
      </c>
      <c r="G23">
        <f t="shared" si="2"/>
        <v>0.52581431755322372</v>
      </c>
      <c r="O23">
        <f t="shared" ca="1" si="20"/>
        <v>1.58</v>
      </c>
      <c r="P23" s="32">
        <f t="shared" ca="1" si="3"/>
        <v>29.782298356031241</v>
      </c>
      <c r="Q23" s="33">
        <f t="shared" ca="1" si="4"/>
        <v>124.90733436232696</v>
      </c>
      <c r="R23" s="32">
        <f t="shared" ca="1" si="5"/>
        <v>124.02558004880912</v>
      </c>
      <c r="S23" s="6">
        <f t="shared" ca="1" si="6"/>
        <v>0.88175431351784539</v>
      </c>
      <c r="T23">
        <f t="shared" ca="1" si="7"/>
        <v>0.58728460397034621</v>
      </c>
      <c r="W23">
        <f t="shared" ca="1" si="8"/>
        <v>1.5880000000000003</v>
      </c>
      <c r="X23" s="32">
        <f t="shared" ca="1" si="9"/>
        <v>29.933094803403552</v>
      </c>
      <c r="Y23" s="33">
        <f t="shared" ca="1" si="10"/>
        <v>124.69808849380885</v>
      </c>
      <c r="Z23" s="32">
        <f t="shared" ca="1" si="11"/>
        <v>124.44813145273356</v>
      </c>
      <c r="AA23" s="6">
        <f t="shared" ca="1" si="12"/>
        <v>0.24995704107529093</v>
      </c>
      <c r="AB23">
        <f t="shared" ca="1" si="13"/>
        <v>0.58843546036852445</v>
      </c>
      <c r="AE23">
        <f t="shared" ca="1" si="14"/>
        <v>1.5908</v>
      </c>
      <c r="AF23" s="32">
        <f t="shared" ca="1" si="15"/>
        <v>29.985873559983862</v>
      </c>
      <c r="AG23" s="33">
        <f t="shared" ca="1" si="16"/>
        <v>124.62466763535399</v>
      </c>
      <c r="AH23" s="32">
        <f t="shared" ca="1" si="17"/>
        <v>124.59652862475951</v>
      </c>
      <c r="AI23" s="6">
        <f t="shared" ca="1" si="18"/>
        <v>2.8139010594472325E-2</v>
      </c>
      <c r="AJ23">
        <f t="shared" ca="1" si="19"/>
        <v>0.58883690461395544</v>
      </c>
    </row>
    <row r="24" spans="1:36" x14ac:dyDescent="0.75">
      <c r="A24" s="19">
        <v>1.3</v>
      </c>
      <c r="B24" s="32">
        <f t="shared" si="21"/>
        <v>24.504422698000386</v>
      </c>
      <c r="C24" s="33">
        <f t="shared" si="22"/>
        <v>131.73812783105973</v>
      </c>
      <c r="D24" s="32">
        <f t="shared" si="23"/>
        <v>110.58076265121271</v>
      </c>
      <c r="E24" s="6">
        <f t="shared" si="0"/>
        <v>21.157365179847019</v>
      </c>
      <c r="F24">
        <f t="shared" si="1"/>
        <v>14</v>
      </c>
      <c r="G24">
        <f t="shared" si="2"/>
        <v>0.54332385165240171</v>
      </c>
      <c r="O24">
        <f ca="1">O25 - O$9</f>
        <v>1.59</v>
      </c>
      <c r="P24" s="32">
        <f t="shared" ca="1" si="3"/>
        <v>29.970793915246627</v>
      </c>
      <c r="Q24" s="33">
        <f t="shared" ca="1" si="4"/>
        <v>124.64565480149844</v>
      </c>
      <c r="R24" s="32">
        <f t="shared" ca="1" si="5"/>
        <v>124.55410275652712</v>
      </c>
      <c r="S24" s="6">
        <f t="shared" ca="1" si="6"/>
        <v>9.1552044971322744E-2</v>
      </c>
      <c r="T24">
        <f t="shared" ca="1" si="7"/>
        <v>0.58872227795505383</v>
      </c>
      <c r="W24">
        <f t="shared" ca="1" si="8"/>
        <v>1.5890000000000002</v>
      </c>
      <c r="X24" s="32">
        <f t="shared" ca="1" si="9"/>
        <v>29.951944359325093</v>
      </c>
      <c r="Y24" s="33">
        <f t="shared" ca="1" si="10"/>
        <v>124.67187775891269</v>
      </c>
      <c r="Z24" s="32">
        <f t="shared" ca="1" si="11"/>
        <v>124.50110043198971</v>
      </c>
      <c r="AA24" s="6">
        <f t="shared" ca="1" si="12"/>
        <v>0.17077732692297332</v>
      </c>
      <c r="AB24">
        <f t="shared" ca="1" si="13"/>
        <v>0.58857891397481332</v>
      </c>
      <c r="AE24">
        <f t="shared" ca="1" si="14"/>
        <v>1.5909</v>
      </c>
      <c r="AF24" s="32">
        <f t="shared" ca="1" si="15"/>
        <v>29.987758515576012</v>
      </c>
      <c r="AG24" s="33">
        <f t="shared" ca="1" si="16"/>
        <v>124.62204368957262</v>
      </c>
      <c r="AH24" s="32">
        <f t="shared" ca="1" si="17"/>
        <v>124.60183335882623</v>
      </c>
      <c r="AI24" s="6">
        <f t="shared" ca="1" si="18"/>
        <v>2.0210330746394334E-2</v>
      </c>
      <c r="AJ24">
        <f t="shared" ca="1" si="19"/>
        <v>0.58885122891371711</v>
      </c>
    </row>
    <row r="25" spans="1:36" x14ac:dyDescent="0.75">
      <c r="A25" s="19">
        <v>1.4</v>
      </c>
      <c r="B25" s="32">
        <f t="shared" si="21"/>
        <v>26.389378290154262</v>
      </c>
      <c r="C25" s="33">
        <f t="shared" si="22"/>
        <v>129.40856139789651</v>
      </c>
      <c r="D25" s="32">
        <f t="shared" si="23"/>
        <v>115.08237561915792</v>
      </c>
      <c r="E25" s="6">
        <f t="shared" si="0"/>
        <v>14.326185778738591</v>
      </c>
      <c r="F25">
        <f t="shared" si="1"/>
        <v>15</v>
      </c>
      <c r="G25">
        <f t="shared" si="2"/>
        <v>0.55985867135266121</v>
      </c>
      <c r="N25" s="82"/>
      <c r="O25" s="66">
        <f ca="1">O10</f>
        <v>1.6</v>
      </c>
      <c r="P25" s="32">
        <f t="shared" ca="1" si="3"/>
        <v>30.159289474462017</v>
      </c>
      <c r="Q25" s="33">
        <f t="shared" ca="1" si="4"/>
        <v>124.38275298886084</v>
      </c>
      <c r="R25" s="32">
        <f t="shared" ca="1" si="5"/>
        <v>125.08595999236955</v>
      </c>
      <c r="S25" s="6">
        <f t="shared" ca="1" si="6"/>
        <v>0.70320700350870879</v>
      </c>
      <c r="T25">
        <f t="shared" ca="1" si="7"/>
        <v>0.59015099006027028</v>
      </c>
      <c r="W25" s="83">
        <f ca="1">W10</f>
        <v>1.59</v>
      </c>
      <c r="X25" s="32">
        <f t="shared" ca="1" si="9"/>
        <v>29.970793915246627</v>
      </c>
      <c r="Y25" s="33">
        <f t="shared" ca="1" si="10"/>
        <v>124.64565480149844</v>
      </c>
      <c r="Z25" s="32">
        <f t="shared" ca="1" si="11"/>
        <v>124.55410275652712</v>
      </c>
      <c r="AA25" s="6">
        <f t="shared" ca="1" si="12"/>
        <v>9.1552044971322744E-2</v>
      </c>
      <c r="AB25">
        <f t="shared" ca="1" si="13"/>
        <v>0.58872227795505383</v>
      </c>
      <c r="AE25" s="86">
        <f ca="1">AE10</f>
        <v>1.591</v>
      </c>
      <c r="AF25" s="32">
        <f t="shared" ca="1" si="15"/>
        <v>29.989643471168169</v>
      </c>
      <c r="AG25" s="33">
        <f t="shared" ca="1" si="16"/>
        <v>124.61941962156607</v>
      </c>
      <c r="AH25" s="32">
        <f t="shared" ca="1" si="17"/>
        <v>124.60713842634576</v>
      </c>
      <c r="AI25" s="6">
        <f t="shared" ca="1" si="18"/>
        <v>1.2281195220310792E-2</v>
      </c>
      <c r="AJ25">
        <f t="shared" ca="1" si="19"/>
        <v>0.58886555231737192</v>
      </c>
    </row>
    <row r="26" spans="1:36" x14ac:dyDescent="0.75">
      <c r="A26" s="19">
        <v>1.5</v>
      </c>
      <c r="B26" s="32">
        <f t="shared" si="21"/>
        <v>28.274333882308138</v>
      </c>
      <c r="C26" s="33">
        <f t="shared" si="22"/>
        <v>126.95676978383023</v>
      </c>
      <c r="D26" s="32">
        <f t="shared" si="23"/>
        <v>119.91744139954353</v>
      </c>
      <c r="E26" s="6">
        <f t="shared" si="0"/>
        <v>7.0393283842866907</v>
      </c>
      <c r="F26">
        <f t="shared" si="1"/>
        <v>16</v>
      </c>
      <c r="G26">
        <f t="shared" si="2"/>
        <v>0.57545932143752487</v>
      </c>
      <c r="O26">
        <f ca="1">O25 + O$9</f>
        <v>1.61</v>
      </c>
      <c r="P26" s="32">
        <f t="shared" ca="1" si="3"/>
        <v>30.347785033677411</v>
      </c>
      <c r="Q26" s="33">
        <f t="shared" ca="1" si="4"/>
        <v>124.11862892441422</v>
      </c>
      <c r="R26" s="32">
        <f t="shared" ca="1" si="5"/>
        <v>125.62115175633636</v>
      </c>
      <c r="S26" s="6">
        <f t="shared" ca="1" si="6"/>
        <v>1.5025228319221355</v>
      </c>
      <c r="T26">
        <f t="shared" ca="1" si="7"/>
        <v>0.59157074783429275</v>
      </c>
      <c r="W26">
        <f t="shared" ref="W26:W45" ca="1" si="24">W25 + W$9</f>
        <v>1.591</v>
      </c>
      <c r="X26" s="32">
        <f t="shared" ca="1" si="9"/>
        <v>29.989643471168169</v>
      </c>
      <c r="Y26" s="33">
        <f t="shared" ca="1" si="10"/>
        <v>124.61941962156607</v>
      </c>
      <c r="Z26" s="32">
        <f t="shared" ca="1" si="11"/>
        <v>124.60713842634576</v>
      </c>
      <c r="AA26" s="6">
        <f t="shared" ca="1" si="12"/>
        <v>1.2281195220310792E-2</v>
      </c>
      <c r="AB26">
        <f t="shared" ca="1" si="13"/>
        <v>0.58886555231737192</v>
      </c>
      <c r="AE26">
        <f t="shared" ref="AE26:AE45" ca="1" si="25">AE25 + AE$9</f>
        <v>1.5911</v>
      </c>
      <c r="AF26" s="32">
        <f t="shared" ca="1" si="15"/>
        <v>29.991528426760318</v>
      </c>
      <c r="AG26" s="33">
        <f t="shared" ca="1" si="16"/>
        <v>124.61679543133435</v>
      </c>
      <c r="AH26" s="32">
        <f t="shared" ca="1" si="17"/>
        <v>124.61244382731809</v>
      </c>
      <c r="AI26" s="6">
        <f t="shared" ca="1" si="18"/>
        <v>4.3516040162643321E-3</v>
      </c>
      <c r="AJ26">
        <f t="shared" ca="1" si="19"/>
        <v>0.58887987482492754</v>
      </c>
    </row>
    <row r="27" spans="1:36" x14ac:dyDescent="0.75">
      <c r="A27" s="19">
        <v>1.6</v>
      </c>
      <c r="B27" s="32">
        <f t="shared" si="21"/>
        <v>30.159289474462017</v>
      </c>
      <c r="C27" s="33">
        <f t="shared" si="22"/>
        <v>124.38275298886084</v>
      </c>
      <c r="D27" s="32">
        <f t="shared" si="23"/>
        <v>125.08595999236955</v>
      </c>
      <c r="E27" s="6">
        <f t="shared" si="0"/>
        <v>0.70320700350870879</v>
      </c>
      <c r="F27">
        <f t="shared" si="1"/>
        <v>17</v>
      </c>
      <c r="G27">
        <f t="shared" si="2"/>
        <v>0.59015099006027028</v>
      </c>
      <c r="O27">
        <f t="shared" ref="O27:O45" ca="1" si="26">O26 + $O$9</f>
        <v>1.62</v>
      </c>
      <c r="P27" s="32">
        <f t="shared" ca="1" si="3"/>
        <v>30.536280592892794</v>
      </c>
      <c r="Q27" s="33">
        <f t="shared" ca="1" si="4"/>
        <v>123.85328260815859</v>
      </c>
      <c r="R27" s="32">
        <f t="shared" ca="1" si="5"/>
        <v>126.15967804842759</v>
      </c>
      <c r="S27" s="6">
        <f t="shared" ca="1" si="6"/>
        <v>2.3063954402690001</v>
      </c>
      <c r="T27">
        <f t="shared" ca="1" si="7"/>
        <v>0.59298155778427797</v>
      </c>
      <c r="W27">
        <f t="shared" ca="1" si="24"/>
        <v>1.5919999999999999</v>
      </c>
      <c r="X27" s="32">
        <f t="shared" ca="1" si="9"/>
        <v>30.008493027089706</v>
      </c>
      <c r="Y27" s="33">
        <f t="shared" ca="1" si="10"/>
        <v>124.59317221911563</v>
      </c>
      <c r="Z27" s="32">
        <f t="shared" ca="1" si="11"/>
        <v>124.66020744144565</v>
      </c>
      <c r="AA27" s="6">
        <f t="shared" ca="1" si="12"/>
        <v>6.7035222330019906E-2</v>
      </c>
      <c r="AB27">
        <f t="shared" ca="1" si="13"/>
        <v>0.58900873706978751</v>
      </c>
      <c r="AE27">
        <f t="shared" ca="1" si="25"/>
        <v>1.5911999999999999</v>
      </c>
      <c r="AF27" s="32">
        <f t="shared" ca="1" si="15"/>
        <v>29.993413382352472</v>
      </c>
      <c r="AG27" s="33">
        <f t="shared" ca="1" si="16"/>
        <v>124.61417111887744</v>
      </c>
      <c r="AH27" s="32">
        <f t="shared" ca="1" si="17"/>
        <v>124.61774956174322</v>
      </c>
      <c r="AI27" s="6">
        <f t="shared" ca="1" si="18"/>
        <v>3.5784428657876788E-3</v>
      </c>
      <c r="AJ27">
        <f t="shared" ca="1" si="19"/>
        <v>0.58889419643639229</v>
      </c>
    </row>
    <row r="28" spans="1:36" x14ac:dyDescent="0.75">
      <c r="A28" s="19">
        <v>1.7</v>
      </c>
      <c r="B28" s="32">
        <f t="shared" si="21"/>
        <v>32.044245066615893</v>
      </c>
      <c r="C28" s="33">
        <f t="shared" si="22"/>
        <v>121.68651101298838</v>
      </c>
      <c r="D28" s="32">
        <f t="shared" si="23"/>
        <v>130.58793139763588</v>
      </c>
      <c r="E28" s="6">
        <f t="shared" si="0"/>
        <v>8.9014203846475084</v>
      </c>
      <c r="F28">
        <f t="shared" si="1"/>
        <v>18</v>
      </c>
      <c r="G28">
        <f t="shared" si="2"/>
        <v>0.60394636503657462</v>
      </c>
      <c r="O28">
        <f t="shared" ca="1" si="26"/>
        <v>1.6300000000000001</v>
      </c>
      <c r="P28" s="32">
        <f t="shared" ca="1" si="3"/>
        <v>30.724776152108177</v>
      </c>
      <c r="Q28" s="33">
        <f t="shared" ca="1" si="4"/>
        <v>123.58671404009394</v>
      </c>
      <c r="R28" s="32">
        <f t="shared" ca="1" si="5"/>
        <v>126.7015388686432</v>
      </c>
      <c r="S28" s="6">
        <f t="shared" ca="1" si="6"/>
        <v>3.1148248285492599</v>
      </c>
      <c r="T28">
        <f t="shared" ca="1" si="7"/>
        <v>0.59438342539209976</v>
      </c>
      <c r="W28">
        <f t="shared" ca="1" si="24"/>
        <v>1.5929999999999997</v>
      </c>
      <c r="X28" s="32">
        <f t="shared" ca="1" si="9"/>
        <v>30.02734258301124</v>
      </c>
      <c r="Y28" s="33">
        <f t="shared" ca="1" si="10"/>
        <v>124.56691259414711</v>
      </c>
      <c r="Z28" s="32">
        <f t="shared" ca="1" si="11"/>
        <v>124.71330980182675</v>
      </c>
      <c r="AA28" s="6">
        <f t="shared" ca="1" si="12"/>
        <v>0.14639720767964093</v>
      </c>
      <c r="AB28">
        <f t="shared" ca="1" si="13"/>
        <v>0.58915183222021528</v>
      </c>
      <c r="AE28">
        <f t="shared" ca="1" si="25"/>
        <v>1.5912999999999999</v>
      </c>
      <c r="AF28" s="32">
        <f t="shared" ca="1" si="15"/>
        <v>29.995298337944629</v>
      </c>
      <c r="AG28" s="33">
        <f t="shared" ca="1" si="16"/>
        <v>124.61154668419535</v>
      </c>
      <c r="AH28" s="32">
        <f t="shared" ca="1" si="17"/>
        <v>124.62305562962121</v>
      </c>
      <c r="AI28" s="6">
        <f t="shared" ca="1" si="18"/>
        <v>1.1508945425859451E-2</v>
      </c>
      <c r="AJ28">
        <f t="shared" ca="1" si="19"/>
        <v>0.58890851715177417</v>
      </c>
    </row>
    <row r="29" spans="1:36" x14ac:dyDescent="0.75">
      <c r="A29" s="19">
        <v>1.8</v>
      </c>
      <c r="B29" s="32">
        <f t="shared" si="21"/>
        <v>33.929200658769766</v>
      </c>
      <c r="C29" s="33">
        <f t="shared" si="22"/>
        <v>118.86804385621284</v>
      </c>
      <c r="D29" s="32">
        <f t="shared" si="23"/>
        <v>136.42335561534267</v>
      </c>
      <c r="E29" s="6">
        <f t="shared" si="0"/>
        <v>17.555311759129836</v>
      </c>
      <c r="F29">
        <f t="shared" si="1"/>
        <v>19</v>
      </c>
      <c r="G29">
        <f t="shared" si="2"/>
        <v>0.61684762285452455</v>
      </c>
      <c r="O29">
        <f t="shared" ca="1" si="26"/>
        <v>1.6400000000000001</v>
      </c>
      <c r="P29" s="32">
        <f t="shared" ca="1" si="3"/>
        <v>30.913271711323567</v>
      </c>
      <c r="Q29" s="33">
        <f t="shared" ca="1" si="4"/>
        <v>123.31892322022023</v>
      </c>
      <c r="R29" s="32">
        <f t="shared" ca="1" si="5"/>
        <v>127.24673421698326</v>
      </c>
      <c r="S29" s="6">
        <f t="shared" ca="1" si="6"/>
        <v>3.9278109967630286</v>
      </c>
      <c r="T29">
        <f t="shared" ca="1" si="7"/>
        <v>0.59577635512962479</v>
      </c>
      <c r="W29">
        <f t="shared" ca="1" si="24"/>
        <v>1.5939999999999996</v>
      </c>
      <c r="X29" s="32">
        <f t="shared" ca="1" si="9"/>
        <v>30.046192138932774</v>
      </c>
      <c r="Y29" s="33">
        <f t="shared" ca="1" si="10"/>
        <v>124.5406407466605</v>
      </c>
      <c r="Z29" s="32">
        <f t="shared" ca="1" si="11"/>
        <v>124.76644550748914</v>
      </c>
      <c r="AA29" s="6">
        <f t="shared" ca="1" si="12"/>
        <v>0.22580476082863754</v>
      </c>
      <c r="AB29">
        <f t="shared" ca="1" si="13"/>
        <v>0.58929483777646408</v>
      </c>
      <c r="AE29">
        <f t="shared" ca="1" si="25"/>
        <v>1.5913999999999999</v>
      </c>
      <c r="AF29" s="32">
        <f t="shared" ca="1" si="15"/>
        <v>29.997183293536779</v>
      </c>
      <c r="AG29" s="33">
        <f t="shared" ca="1" si="16"/>
        <v>124.60892212728808</v>
      </c>
      <c r="AH29" s="32">
        <f t="shared" ca="1" si="17"/>
        <v>124.62836203095196</v>
      </c>
      <c r="AI29" s="6">
        <f t="shared" ca="1" si="18"/>
        <v>1.9439903663879932E-2</v>
      </c>
      <c r="AJ29">
        <f t="shared" ca="1" si="19"/>
        <v>0.58892283697108083</v>
      </c>
    </row>
    <row r="30" spans="1:36" x14ac:dyDescent="0.75">
      <c r="A30" s="19">
        <v>1.9</v>
      </c>
      <c r="B30" s="32">
        <f t="shared" si="21"/>
        <v>35.814156250923645</v>
      </c>
      <c r="C30" s="33">
        <f t="shared" si="22"/>
        <v>115.92735151853418</v>
      </c>
      <c r="D30" s="32">
        <f t="shared" si="23"/>
        <v>142.59223264548984</v>
      </c>
      <c r="E30" s="6">
        <f t="shared" si="0"/>
        <v>26.664881126955663</v>
      </c>
      <c r="F30">
        <f t="shared" si="1"/>
        <v>20</v>
      </c>
      <c r="G30">
        <f t="shared" si="2"/>
        <v>0.62884779722868311</v>
      </c>
      <c r="O30">
        <f t="shared" ca="1" si="26"/>
        <v>1.6500000000000001</v>
      </c>
      <c r="P30" s="32">
        <f t="shared" ca="1" si="3"/>
        <v>31.10176727053895</v>
      </c>
      <c r="Q30" s="33">
        <f t="shared" ca="1" si="4"/>
        <v>123.04991014853751</v>
      </c>
      <c r="R30" s="32">
        <f t="shared" ca="1" si="5"/>
        <v>127.79526409344768</v>
      </c>
      <c r="S30" s="6">
        <f t="shared" ca="1" si="6"/>
        <v>4.7453539449101783</v>
      </c>
      <c r="T30">
        <f t="shared" ca="1" si="7"/>
        <v>0.59716035047342542</v>
      </c>
      <c r="W30">
        <f t="shared" ca="1" si="24"/>
        <v>1.5949999999999995</v>
      </c>
      <c r="X30" s="32">
        <f t="shared" ca="1" si="9"/>
        <v>30.065041694854315</v>
      </c>
      <c r="Y30" s="33">
        <f t="shared" ca="1" si="10"/>
        <v>124.51435667665578</v>
      </c>
      <c r="Z30" s="32">
        <f t="shared" ca="1" si="11"/>
        <v>124.81961455843275</v>
      </c>
      <c r="AA30" s="6">
        <f t="shared" ca="1" si="12"/>
        <v>0.30525788177696711</v>
      </c>
      <c r="AB30">
        <f t="shared" ca="1" si="13"/>
        <v>0.58943775374623819</v>
      </c>
      <c r="AE30">
        <f t="shared" ca="1" si="25"/>
        <v>1.5914999999999999</v>
      </c>
      <c r="AF30" s="32">
        <f t="shared" ca="1" si="15"/>
        <v>29.999068249128932</v>
      </c>
      <c r="AG30" s="33">
        <f t="shared" ca="1" si="16"/>
        <v>124.60629744815563</v>
      </c>
      <c r="AH30" s="32">
        <f t="shared" ca="1" si="17"/>
        <v>124.63366876573554</v>
      </c>
      <c r="AI30" s="6">
        <f t="shared" ca="1" si="18"/>
        <v>2.7371317579905963E-2</v>
      </c>
      <c r="AJ30">
        <f t="shared" ca="1" si="19"/>
        <v>0.58893715589432027</v>
      </c>
    </row>
    <row r="31" spans="1:36" x14ac:dyDescent="0.75">
      <c r="A31" s="19">
        <v>2</v>
      </c>
      <c r="B31" s="32">
        <f t="shared" si="21"/>
        <v>37.699111843077517</v>
      </c>
      <c r="C31" s="33">
        <f t="shared" si="22"/>
        <v>112.86443399995244</v>
      </c>
      <c r="D31" s="32">
        <f t="shared" si="23"/>
        <v>149.09456248807737</v>
      </c>
      <c r="E31" s="6">
        <f t="shared" si="0"/>
        <v>36.230128488124933</v>
      </c>
      <c r="F31">
        <f t="shared" si="1"/>
        <v>21</v>
      </c>
      <c r="G31">
        <f t="shared" si="2"/>
        <v>0.63993168457520488</v>
      </c>
      <c r="O31">
        <f t="shared" ca="1" si="26"/>
        <v>1.6600000000000001</v>
      </c>
      <c r="P31" s="32">
        <f t="shared" ca="1" si="3"/>
        <v>31.29026282975434</v>
      </c>
      <c r="Q31" s="33">
        <f t="shared" ca="1" si="4"/>
        <v>122.77967482504573</v>
      </c>
      <c r="R31" s="32">
        <f t="shared" ca="1" si="5"/>
        <v>128.34712849803654</v>
      </c>
      <c r="S31" s="6">
        <f t="shared" ca="1" si="6"/>
        <v>5.5674536729908084</v>
      </c>
      <c r="T31">
        <f t="shared" ca="1" si="7"/>
        <v>0.59853541391894316</v>
      </c>
      <c r="W31">
        <f t="shared" ca="1" si="24"/>
        <v>1.5959999999999994</v>
      </c>
      <c r="X31" s="32">
        <f t="shared" ca="1" si="9"/>
        <v>30.083891250775853</v>
      </c>
      <c r="Y31" s="33">
        <f t="shared" ca="1" si="10"/>
        <v>124.48806038413298</v>
      </c>
      <c r="Z31" s="32">
        <f t="shared" ca="1" si="11"/>
        <v>124.87281695465761</v>
      </c>
      <c r="AA31" s="6">
        <f t="shared" ca="1" si="12"/>
        <v>0.38475657052462964</v>
      </c>
      <c r="AB31">
        <f t="shared" ca="1" si="13"/>
        <v>0.58958058013713577</v>
      </c>
      <c r="AE31">
        <f t="shared" ca="1" si="25"/>
        <v>1.5915999999999999</v>
      </c>
      <c r="AF31" s="32">
        <f t="shared" ca="1" si="15"/>
        <v>30.000953204721089</v>
      </c>
      <c r="AG31" s="33">
        <f t="shared" ca="1" si="16"/>
        <v>124.60367264679797</v>
      </c>
      <c r="AH31" s="32">
        <f t="shared" ca="1" si="17"/>
        <v>124.63897583397193</v>
      </c>
      <c r="AI31" s="6">
        <f t="shared" ca="1" si="18"/>
        <v>3.5303187173951756E-2</v>
      </c>
      <c r="AJ31">
        <f t="shared" ca="1" si="19"/>
        <v>0.5889514739215006</v>
      </c>
    </row>
    <row r="32" spans="1:36" x14ac:dyDescent="0.75">
      <c r="A32" s="19">
        <v>2.1</v>
      </c>
      <c r="B32" s="32">
        <f t="shared" si="21"/>
        <v>39.58406743523139</v>
      </c>
      <c r="C32" s="33">
        <f t="shared" si="22"/>
        <v>109.67929130046761</v>
      </c>
      <c r="D32" s="32">
        <f t="shared" si="23"/>
        <v>155.93034514310531</v>
      </c>
      <c r="E32" s="6">
        <f t="shared" si="0"/>
        <v>46.251053842637702</v>
      </c>
      <c r="F32">
        <f t="shared" si="1"/>
        <v>22</v>
      </c>
      <c r="G32">
        <f t="shared" si="2"/>
        <v>0.65007638656245526</v>
      </c>
      <c r="O32">
        <f t="shared" ca="1" si="26"/>
        <v>1.6700000000000002</v>
      </c>
      <c r="P32" s="32">
        <f t="shared" ca="1" si="3"/>
        <v>31.478758388969734</v>
      </c>
      <c r="Q32" s="33">
        <f t="shared" ca="1" si="4"/>
        <v>122.50821724974494</v>
      </c>
      <c r="R32" s="32">
        <f t="shared" ca="1" si="5"/>
        <v>128.90232743074978</v>
      </c>
      <c r="S32" s="6">
        <f t="shared" ca="1" si="6"/>
        <v>6.3941101810048337</v>
      </c>
      <c r="T32">
        <f t="shared" ca="1" si="7"/>
        <v>0.59990154699412257</v>
      </c>
      <c r="W32">
        <f t="shared" ca="1" si="24"/>
        <v>1.5969999999999993</v>
      </c>
      <c r="X32" s="32">
        <f t="shared" ca="1" si="9"/>
        <v>30.102740806697387</v>
      </c>
      <c r="Y32" s="33">
        <f t="shared" ca="1" si="10"/>
        <v>124.4617518690921</v>
      </c>
      <c r="Z32" s="32">
        <f t="shared" ca="1" si="11"/>
        <v>124.92605269616371</v>
      </c>
      <c r="AA32" s="6">
        <f t="shared" ca="1" si="12"/>
        <v>0.46430082707161091</v>
      </c>
      <c r="AB32">
        <f t="shared" ca="1" si="13"/>
        <v>0.58972331695665092</v>
      </c>
      <c r="AE32">
        <f t="shared" ca="1" si="25"/>
        <v>1.5916999999999999</v>
      </c>
      <c r="AF32" s="32">
        <f t="shared" ca="1" si="15"/>
        <v>30.002838160313246</v>
      </c>
      <c r="AG32" s="33">
        <f t="shared" ca="1" si="16"/>
        <v>124.60104772321516</v>
      </c>
      <c r="AH32" s="32">
        <f t="shared" ca="1" si="17"/>
        <v>124.64428323566113</v>
      </c>
      <c r="AI32" s="6">
        <f t="shared" ca="1" si="18"/>
        <v>4.3235512445974678E-2</v>
      </c>
      <c r="AJ32">
        <f t="shared" ca="1" si="19"/>
        <v>0.58896579105262958</v>
      </c>
    </row>
    <row r="33" spans="1:36" x14ac:dyDescent="0.75">
      <c r="A33" s="19">
        <v>2.2000000000000002</v>
      </c>
      <c r="B33" s="32">
        <f t="shared" si="21"/>
        <v>41.469023027385276</v>
      </c>
      <c r="C33" s="33">
        <f t="shared" si="22"/>
        <v>106.37192342007967</v>
      </c>
      <c r="D33" s="32">
        <f t="shared" si="23"/>
        <v>163.09958061057364</v>
      </c>
      <c r="E33" s="6">
        <f t="shared" si="0"/>
        <v>56.727657190493971</v>
      </c>
      <c r="F33">
        <f t="shared" si="1"/>
        <v>23</v>
      </c>
      <c r="G33">
        <f t="shared" si="2"/>
        <v>0.6592515513338647</v>
      </c>
      <c r="O33">
        <f t="shared" ca="1" si="26"/>
        <v>1.6800000000000002</v>
      </c>
      <c r="P33" s="32">
        <f t="shared" ca="1" si="3"/>
        <v>31.66725394818512</v>
      </c>
      <c r="Q33" s="33">
        <f t="shared" ca="1" si="4"/>
        <v>122.23553742263512</v>
      </c>
      <c r="R33" s="32">
        <f t="shared" ca="1" si="5"/>
        <v>129.46086089158743</v>
      </c>
      <c r="S33" s="6">
        <f t="shared" ca="1" si="6"/>
        <v>7.2253234689523111</v>
      </c>
      <c r="T33">
        <f t="shared" ca="1" si="7"/>
        <v>0.60125875027252795</v>
      </c>
      <c r="W33">
        <f t="shared" ca="1" si="24"/>
        <v>1.5979999999999992</v>
      </c>
      <c r="X33" s="32">
        <f t="shared" ca="1" si="9"/>
        <v>30.121590362618925</v>
      </c>
      <c r="Y33" s="33">
        <f t="shared" ca="1" si="10"/>
        <v>124.43543113153311</v>
      </c>
      <c r="Z33" s="32">
        <f t="shared" ca="1" si="11"/>
        <v>124.97932178295106</v>
      </c>
      <c r="AA33" s="6">
        <f t="shared" ca="1" si="12"/>
        <v>0.54389065141795356</v>
      </c>
      <c r="AB33">
        <f t="shared" ca="1" si="13"/>
        <v>0.58986596421217297</v>
      </c>
      <c r="AE33">
        <f t="shared" ca="1" si="25"/>
        <v>1.5917999999999999</v>
      </c>
      <c r="AF33" s="32">
        <f t="shared" ca="1" si="15"/>
        <v>30.004723115905392</v>
      </c>
      <c r="AG33" s="33">
        <f t="shared" ca="1" si="16"/>
        <v>124.59842267740717</v>
      </c>
      <c r="AH33" s="32">
        <f t="shared" ca="1" si="17"/>
        <v>124.64959097080317</v>
      </c>
      <c r="AI33" s="6">
        <f t="shared" ca="1" si="18"/>
        <v>5.1168293396003151E-2</v>
      </c>
      <c r="AJ33">
        <f t="shared" ca="1" si="19"/>
        <v>0.58898010728771499</v>
      </c>
    </row>
    <row r="34" spans="1:36" x14ac:dyDescent="0.75">
      <c r="A34" s="19">
        <v>2.2999999999999998</v>
      </c>
      <c r="B34" s="32">
        <f t="shared" si="21"/>
        <v>43.353978619539141</v>
      </c>
      <c r="C34" s="33">
        <f t="shared" si="22"/>
        <v>102.94233035878868</v>
      </c>
      <c r="D34" s="32">
        <f t="shared" si="23"/>
        <v>170.60226889048232</v>
      </c>
      <c r="E34" s="6">
        <f t="shared" si="0"/>
        <v>67.659938531693641</v>
      </c>
      <c r="F34">
        <f t="shared" si="1"/>
        <v>24</v>
      </c>
      <c r="G34">
        <f t="shared" si="2"/>
        <v>0.66741934720828489</v>
      </c>
      <c r="O34">
        <f t="shared" ca="1" si="26"/>
        <v>1.6900000000000002</v>
      </c>
      <c r="P34" s="32">
        <f t="shared" ca="1" si="3"/>
        <v>31.855749507400507</v>
      </c>
      <c r="Q34" s="33">
        <f t="shared" ca="1" si="4"/>
        <v>121.96163534371627</v>
      </c>
      <c r="R34" s="32">
        <f t="shared" ca="1" si="5"/>
        <v>130.02272888054947</v>
      </c>
      <c r="S34" s="6">
        <f t="shared" ca="1" si="6"/>
        <v>8.061093536833198</v>
      </c>
      <c r="T34">
        <f t="shared" ca="1" si="7"/>
        <v>0.60260702338595851</v>
      </c>
      <c r="W34">
        <f t="shared" ca="1" si="24"/>
        <v>1.5989999999999991</v>
      </c>
      <c r="X34" s="32">
        <f t="shared" ca="1" si="9"/>
        <v>30.140439918540466</v>
      </c>
      <c r="Y34" s="33">
        <f t="shared" ca="1" si="10"/>
        <v>124.40909817145604</v>
      </c>
      <c r="Z34" s="32">
        <f t="shared" ca="1" si="11"/>
        <v>125.03262421501964</v>
      </c>
      <c r="AA34" s="6">
        <f t="shared" ca="1" si="12"/>
        <v>0.62352604356360075</v>
      </c>
      <c r="AB34">
        <f t="shared" ca="1" si="13"/>
        <v>0.59000852191098596</v>
      </c>
      <c r="AE34">
        <f t="shared" ca="1" si="25"/>
        <v>1.5918999999999999</v>
      </c>
      <c r="AF34" s="32">
        <f t="shared" ca="1" si="15"/>
        <v>30.006608071497549</v>
      </c>
      <c r="AG34" s="33">
        <f t="shared" ca="1" si="16"/>
        <v>124.59579750937399</v>
      </c>
      <c r="AH34" s="32">
        <f t="shared" ca="1" si="17"/>
        <v>124.654899039398</v>
      </c>
      <c r="AI34" s="6">
        <f t="shared" ca="1" si="18"/>
        <v>5.9101530024008753E-2</v>
      </c>
      <c r="AJ34">
        <f t="shared" ca="1" si="19"/>
        <v>0.58899442262676516</v>
      </c>
    </row>
    <row r="35" spans="1:36" x14ac:dyDescent="0.75">
      <c r="A35" s="19">
        <v>2.4</v>
      </c>
      <c r="B35" s="32">
        <f t="shared" si="21"/>
        <v>45.238934211693028</v>
      </c>
      <c r="C35" s="33">
        <f t="shared" si="22"/>
        <v>99.390512116594564</v>
      </c>
      <c r="D35" s="32">
        <f t="shared" si="23"/>
        <v>178.43840998283144</v>
      </c>
      <c r="E35" s="6">
        <f t="shared" si="0"/>
        <v>79.04789786623688</v>
      </c>
      <c r="F35">
        <f t="shared" si="1"/>
        <v>25</v>
      </c>
      <c r="G35">
        <f t="shared" si="2"/>
        <v>0.67453418071811022</v>
      </c>
      <c r="O35">
        <f t="shared" ca="1" si="26"/>
        <v>1.7000000000000002</v>
      </c>
      <c r="P35" s="32">
        <f t="shared" ca="1" si="3"/>
        <v>32.044245066615893</v>
      </c>
      <c r="Q35" s="33">
        <f t="shared" ca="1" si="4"/>
        <v>121.68651101298838</v>
      </c>
      <c r="R35" s="32">
        <f t="shared" ca="1" si="5"/>
        <v>130.58793139763591</v>
      </c>
      <c r="S35" s="6">
        <f t="shared" ca="1" si="6"/>
        <v>8.9014203846475368</v>
      </c>
      <c r="T35">
        <f t="shared" ca="1" si="7"/>
        <v>0.60394636503657462</v>
      </c>
      <c r="W35">
        <f t="shared" ca="1" si="24"/>
        <v>1.599999999999999</v>
      </c>
      <c r="X35" s="32">
        <f t="shared" ca="1" si="9"/>
        <v>30.159289474461993</v>
      </c>
      <c r="Y35" s="33">
        <f t="shared" ca="1" si="10"/>
        <v>124.38275298886089</v>
      </c>
      <c r="Z35" s="32">
        <f t="shared" ca="1" si="11"/>
        <v>125.08595999236948</v>
      </c>
      <c r="AA35" s="6">
        <f t="shared" ca="1" si="12"/>
        <v>0.70320700350859511</v>
      </c>
      <c r="AB35">
        <f t="shared" ca="1" si="13"/>
        <v>0.59015099006027005</v>
      </c>
      <c r="AE35">
        <f t="shared" ca="1" si="25"/>
        <v>1.5919999999999999</v>
      </c>
      <c r="AF35" s="32">
        <f t="shared" ca="1" si="15"/>
        <v>30.008493027089706</v>
      </c>
      <c r="AG35" s="33">
        <f t="shared" ca="1" si="16"/>
        <v>124.59317221911563</v>
      </c>
      <c r="AH35" s="32">
        <f t="shared" ca="1" si="17"/>
        <v>124.66020744144565</v>
      </c>
      <c r="AI35" s="6">
        <f t="shared" ca="1" si="18"/>
        <v>6.7035222330019906E-2</v>
      </c>
      <c r="AJ35">
        <f t="shared" ca="1" si="19"/>
        <v>0.58900873706978751</v>
      </c>
    </row>
    <row r="36" spans="1:36" x14ac:dyDescent="0.75">
      <c r="A36" s="19">
        <v>2.5</v>
      </c>
      <c r="B36" s="32">
        <f t="shared" si="21"/>
        <v>47.1238898038469</v>
      </c>
      <c r="C36" s="33">
        <f t="shared" si="22"/>
        <v>95.716468693497376</v>
      </c>
      <c r="D36" s="32">
        <f t="shared" si="23"/>
        <v>186.60800388762092</v>
      </c>
      <c r="E36" s="6">
        <f t="shared" si="0"/>
        <v>90.891535194123549</v>
      </c>
      <c r="F36">
        <f t="shared" si="1"/>
        <v>26</v>
      </c>
      <c r="G36">
        <f t="shared" si="2"/>
        <v>0.68054215135519713</v>
      </c>
      <c r="O36">
        <f t="shared" ca="1" si="26"/>
        <v>1.7100000000000002</v>
      </c>
      <c r="P36" s="32">
        <f t="shared" ca="1" si="3"/>
        <v>32.232740625831283</v>
      </c>
      <c r="Q36" s="33">
        <f t="shared" ca="1" si="4"/>
        <v>121.41016443045146</v>
      </c>
      <c r="R36" s="32">
        <f t="shared" ca="1" si="5"/>
        <v>131.1564684428468</v>
      </c>
      <c r="S36" s="6">
        <f t="shared" ca="1" si="6"/>
        <v>9.7463040123953419</v>
      </c>
      <c r="T36">
        <f t="shared" ca="1" si="7"/>
        <v>0.60527677300855265</v>
      </c>
      <c r="W36">
        <f t="shared" ca="1" si="24"/>
        <v>1.6009999999999989</v>
      </c>
      <c r="X36" s="32">
        <f t="shared" ca="1" si="9"/>
        <v>30.178139030383534</v>
      </c>
      <c r="Y36" s="33">
        <f t="shared" ca="1" si="10"/>
        <v>124.35639558374763</v>
      </c>
      <c r="Z36" s="32">
        <f t="shared" ca="1" si="11"/>
        <v>125.13932911500055</v>
      </c>
      <c r="AA36" s="6">
        <f t="shared" ca="1" si="12"/>
        <v>0.78293353125292242</v>
      </c>
      <c r="AB36">
        <f t="shared" ca="1" si="13"/>
        <v>0.59029336866710114</v>
      </c>
      <c r="AE36">
        <f t="shared" ca="1" si="25"/>
        <v>1.5920999999999998</v>
      </c>
      <c r="AF36" s="32">
        <f t="shared" ca="1" si="15"/>
        <v>30.010377982681852</v>
      </c>
      <c r="AG36" s="33">
        <f t="shared" ca="1" si="16"/>
        <v>124.5905468066321</v>
      </c>
      <c r="AH36" s="32">
        <f t="shared" ca="1" si="17"/>
        <v>124.66551617694611</v>
      </c>
      <c r="AI36" s="6">
        <f t="shared" ca="1" si="18"/>
        <v>7.4969370314008188E-2</v>
      </c>
      <c r="AJ36">
        <f t="shared" ca="1" si="19"/>
        <v>0.58902305061678994</v>
      </c>
    </row>
    <row r="37" spans="1:36" x14ac:dyDescent="0.75">
      <c r="A37" s="19">
        <v>2.6</v>
      </c>
      <c r="B37" s="32">
        <f t="shared" si="21"/>
        <v>49.008845396000773</v>
      </c>
      <c r="C37" s="33">
        <f t="shared" si="22"/>
        <v>91.920200089497115</v>
      </c>
      <c r="D37" s="32">
        <f t="shared" si="23"/>
        <v>195.11105060485082</v>
      </c>
      <c r="E37" s="6">
        <f t="shared" si="0"/>
        <v>103.1908505153537</v>
      </c>
      <c r="F37">
        <f t="shared" si="1"/>
        <v>27</v>
      </c>
      <c r="G37">
        <f t="shared" si="2"/>
        <v>0.68538021562838158</v>
      </c>
      <c r="O37">
        <f t="shared" ca="1" si="26"/>
        <v>1.7200000000000002</v>
      </c>
      <c r="P37" s="32">
        <f t="shared" ca="1" si="3"/>
        <v>32.421236185046673</v>
      </c>
      <c r="Q37" s="33">
        <f t="shared" ca="1" si="4"/>
        <v>121.13259559610552</v>
      </c>
      <c r="R37" s="32">
        <f t="shared" ca="1" si="5"/>
        <v>131.72834001618205</v>
      </c>
      <c r="S37" s="6">
        <f t="shared" ca="1" si="6"/>
        <v>10.595744420076528</v>
      </c>
      <c r="T37">
        <f t="shared" ca="1" si="7"/>
        <v>0.60659824417927344</v>
      </c>
      <c r="W37">
        <f t="shared" ca="1" si="24"/>
        <v>1.6019999999999988</v>
      </c>
      <c r="X37" s="32">
        <f t="shared" ca="1" si="9"/>
        <v>30.196988586305071</v>
      </c>
      <c r="Y37" s="33">
        <f t="shared" ca="1" si="10"/>
        <v>124.33002595611629</v>
      </c>
      <c r="Z37" s="32">
        <f t="shared" ca="1" si="11"/>
        <v>125.19273158291288</v>
      </c>
      <c r="AA37" s="6">
        <f t="shared" ca="1" si="12"/>
        <v>0.8627056267965969</v>
      </c>
      <c r="AB37">
        <f t="shared" ca="1" si="13"/>
        <v>0.59043565773845097</v>
      </c>
      <c r="AE37">
        <f t="shared" ca="1" si="25"/>
        <v>1.5921999999999998</v>
      </c>
      <c r="AF37" s="32">
        <f t="shared" ca="1" si="15"/>
        <v>30.012262938274013</v>
      </c>
      <c r="AG37" s="33">
        <f t="shared" ca="1" si="16"/>
        <v>124.58792127192338</v>
      </c>
      <c r="AH37" s="32">
        <f t="shared" ca="1" si="17"/>
        <v>124.67082524589935</v>
      </c>
      <c r="AI37" s="6">
        <f t="shared" ca="1" si="18"/>
        <v>8.2903973975973599E-2</v>
      </c>
      <c r="AJ37">
        <f t="shared" ca="1" si="19"/>
        <v>0.58903736326778067</v>
      </c>
    </row>
    <row r="38" spans="1:36" x14ac:dyDescent="0.75">
      <c r="A38" s="19">
        <v>2.7</v>
      </c>
      <c r="B38" s="32">
        <f t="shared" si="21"/>
        <v>50.893800988154652</v>
      </c>
      <c r="C38" s="33">
        <f t="shared" si="22"/>
        <v>88.001706304593725</v>
      </c>
      <c r="D38" s="32">
        <f t="shared" si="23"/>
        <v>203.94755013452104</v>
      </c>
      <c r="E38" s="6">
        <f t="shared" si="0"/>
        <v>115.94584382992731</v>
      </c>
      <c r="F38">
        <f t="shared" si="1"/>
        <v>28</v>
      </c>
      <c r="G38">
        <f t="shared" si="2"/>
        <v>0.688975010303291</v>
      </c>
      <c r="O38">
        <f t="shared" ca="1" si="26"/>
        <v>1.7300000000000002</v>
      </c>
      <c r="P38" s="32">
        <f t="shared" ca="1" si="3"/>
        <v>32.609731744262049</v>
      </c>
      <c r="Q38" s="33">
        <f t="shared" ca="1" si="4"/>
        <v>120.85380450995055</v>
      </c>
      <c r="R38" s="32">
        <f t="shared" ca="1" si="5"/>
        <v>132.30354611764173</v>
      </c>
      <c r="S38" s="6">
        <f t="shared" ca="1" si="6"/>
        <v>11.44974160769118</v>
      </c>
      <c r="T38">
        <f t="shared" ca="1" si="7"/>
        <v>0.60791077453006559</v>
      </c>
      <c r="W38">
        <f t="shared" ca="1" si="24"/>
        <v>1.6029999999999986</v>
      </c>
      <c r="X38" s="32">
        <f t="shared" ca="1" si="9"/>
        <v>30.215838142226605</v>
      </c>
      <c r="Y38" s="33">
        <f t="shared" ca="1" si="10"/>
        <v>124.30364410596685</v>
      </c>
      <c r="Z38" s="32">
        <f t="shared" ca="1" si="11"/>
        <v>125.24616739610644</v>
      </c>
      <c r="AA38" s="6">
        <f t="shared" ca="1" si="12"/>
        <v>0.94252329013959013</v>
      </c>
      <c r="AB38">
        <f t="shared" ca="1" si="13"/>
        <v>0.59057785728118684</v>
      </c>
      <c r="AE38">
        <f t="shared" ca="1" si="25"/>
        <v>1.5922999999999998</v>
      </c>
      <c r="AF38" s="32">
        <f t="shared" ca="1" si="15"/>
        <v>30.014147893866166</v>
      </c>
      <c r="AG38" s="33">
        <f t="shared" ca="1" si="16"/>
        <v>124.58529561498948</v>
      </c>
      <c r="AH38" s="32">
        <f t="shared" ca="1" si="17"/>
        <v>124.67613464830545</v>
      </c>
      <c r="AI38" s="6">
        <f t="shared" ca="1" si="18"/>
        <v>9.0839033315972983E-2</v>
      </c>
      <c r="AJ38">
        <f t="shared" ca="1" si="19"/>
        <v>0.58905167502276712</v>
      </c>
    </row>
    <row r="39" spans="1:36" x14ac:dyDescent="0.75">
      <c r="A39" s="19">
        <v>2.8</v>
      </c>
      <c r="B39" s="32">
        <f t="shared" si="21"/>
        <v>52.778756580308524</v>
      </c>
      <c r="C39" s="33">
        <f t="shared" si="22"/>
        <v>83.960987338787277</v>
      </c>
      <c r="D39" s="32">
        <f t="shared" si="23"/>
        <v>213.11750247663167</v>
      </c>
      <c r="E39" s="6">
        <f t="shared" si="0"/>
        <v>129.15651513784439</v>
      </c>
      <c r="F39">
        <f t="shared" si="1"/>
        <v>29</v>
      </c>
      <c r="G39">
        <f t="shared" si="2"/>
        <v>0.69124125575781203</v>
      </c>
      <c r="O39">
        <f t="shared" ca="1" si="26"/>
        <v>1.7400000000000002</v>
      </c>
      <c r="P39" s="32">
        <f t="shared" ca="1" si="3"/>
        <v>32.798227303477454</v>
      </c>
      <c r="Q39" s="33">
        <f t="shared" ca="1" si="4"/>
        <v>120.57379117198651</v>
      </c>
      <c r="R39" s="32">
        <f t="shared" ca="1" si="5"/>
        <v>132.88208674722577</v>
      </c>
      <c r="S39" s="6">
        <f t="shared" ca="1" si="6"/>
        <v>12.308295575239256</v>
      </c>
      <c r="T39">
        <f t="shared" ca="1" si="7"/>
        <v>0.60921435915650823</v>
      </c>
      <c r="W39">
        <f t="shared" ca="1" si="24"/>
        <v>1.6039999999999985</v>
      </c>
      <c r="X39" s="32">
        <f t="shared" ca="1" si="9"/>
        <v>30.234687698148143</v>
      </c>
      <c r="Y39" s="33">
        <f t="shared" ca="1" si="10"/>
        <v>124.27725003329934</v>
      </c>
      <c r="Z39" s="32">
        <f t="shared" ca="1" si="11"/>
        <v>125.29963655458126</v>
      </c>
      <c r="AA39" s="6">
        <f t="shared" ca="1" si="12"/>
        <v>1.0223865212819163</v>
      </c>
      <c r="AB39">
        <f t="shared" ca="1" si="13"/>
        <v>0.5907199673020731</v>
      </c>
      <c r="AE39">
        <f t="shared" ca="1" si="25"/>
        <v>1.5923999999999998</v>
      </c>
      <c r="AF39" s="32">
        <f t="shared" ca="1" si="15"/>
        <v>30.016032849458313</v>
      </c>
      <c r="AG39" s="33">
        <f t="shared" ca="1" si="16"/>
        <v>124.5826698358304</v>
      </c>
      <c r="AH39" s="32">
        <f t="shared" ca="1" si="17"/>
        <v>124.68144438416435</v>
      </c>
      <c r="AI39" s="6">
        <f t="shared" ca="1" si="18"/>
        <v>9.8774548333949497E-2</v>
      </c>
      <c r="AJ39">
        <f t="shared" ca="1" si="19"/>
        <v>0.5890659858817574</v>
      </c>
    </row>
    <row r="40" spans="1:36" x14ac:dyDescent="0.75">
      <c r="A40" s="19">
        <v>2.9</v>
      </c>
      <c r="B40" s="32">
        <f t="shared" si="21"/>
        <v>54.663712172462411</v>
      </c>
      <c r="C40" s="33">
        <f t="shared" si="22"/>
        <v>79.798043192077685</v>
      </c>
      <c r="D40" s="32">
        <f t="shared" si="23"/>
        <v>222.62090763118272</v>
      </c>
      <c r="E40" s="6">
        <f t="shared" si="0"/>
        <v>142.82286443910505</v>
      </c>
      <c r="F40">
        <f t="shared" si="1"/>
        <v>30</v>
      </c>
      <c r="G40">
        <f t="shared" si="2"/>
        <v>0.69207962072016338</v>
      </c>
      <c r="O40">
        <f t="shared" ca="1" si="26"/>
        <v>1.7500000000000002</v>
      </c>
      <c r="P40" s="32">
        <f t="shared" ca="1" si="3"/>
        <v>32.986722862692837</v>
      </c>
      <c r="Q40" s="33">
        <f t="shared" ca="1" si="4"/>
        <v>120.29255558221348</v>
      </c>
      <c r="R40" s="32">
        <f t="shared" ca="1" si="5"/>
        <v>133.46396190493425</v>
      </c>
      <c r="S40" s="6">
        <f t="shared" ca="1" si="6"/>
        <v>13.17140632272077</v>
      </c>
      <c r="T40">
        <f t="shared" ca="1" si="7"/>
        <v>0.61050899227830691</v>
      </c>
      <c r="W40">
        <f t="shared" ca="1" si="24"/>
        <v>1.6049999999999984</v>
      </c>
      <c r="X40" s="32">
        <f t="shared" ca="1" si="9"/>
        <v>30.253537254069684</v>
      </c>
      <c r="Y40" s="33">
        <f t="shared" ca="1" si="10"/>
        <v>124.2508437381137</v>
      </c>
      <c r="Z40" s="32">
        <f t="shared" ca="1" si="11"/>
        <v>125.35313905833732</v>
      </c>
      <c r="AA40" s="6">
        <f t="shared" ca="1" si="12"/>
        <v>1.1022953202236181</v>
      </c>
      <c r="AB40">
        <f t="shared" ca="1" si="13"/>
        <v>0.59086198780777022</v>
      </c>
      <c r="AE40">
        <f t="shared" ca="1" si="25"/>
        <v>1.5924999999999998</v>
      </c>
      <c r="AF40" s="32">
        <f t="shared" ca="1" si="15"/>
        <v>30.017917805050473</v>
      </c>
      <c r="AG40" s="33">
        <f t="shared" ca="1" si="16"/>
        <v>124.58004393444614</v>
      </c>
      <c r="AH40" s="32">
        <f t="shared" ca="1" si="17"/>
        <v>124.68675445347606</v>
      </c>
      <c r="AI40" s="6">
        <f t="shared" ca="1" si="18"/>
        <v>0.10671051902991735</v>
      </c>
      <c r="AJ40">
        <f t="shared" ca="1" si="19"/>
        <v>0.58908029584475929</v>
      </c>
    </row>
    <row r="41" spans="1:36" x14ac:dyDescent="0.75">
      <c r="A41" s="19">
        <v>3</v>
      </c>
      <c r="B41" s="32">
        <f t="shared" si="21"/>
        <v>56.548667764616276</v>
      </c>
      <c r="C41" s="33">
        <f t="shared" si="22"/>
        <v>75.512873864465064</v>
      </c>
      <c r="D41" s="32">
        <f t="shared" si="23"/>
        <v>232.45776559817412</v>
      </c>
      <c r="E41" s="6">
        <f t="shared" si="0"/>
        <v>156.94489173370906</v>
      </c>
      <c r="F41">
        <f t="shared" si="1"/>
        <v>31</v>
      </c>
      <c r="G41">
        <f t="shared" si="2"/>
        <v>0.69137387230135139</v>
      </c>
      <c r="O41">
        <f t="shared" ca="1" si="26"/>
        <v>1.7600000000000002</v>
      </c>
      <c r="P41" s="32">
        <f t="shared" ca="1" si="3"/>
        <v>33.17521842190822</v>
      </c>
      <c r="Q41" s="33">
        <f t="shared" ca="1" si="4"/>
        <v>120.01009774063141</v>
      </c>
      <c r="R41" s="32">
        <f t="shared" ca="1" si="5"/>
        <v>134.04917159076717</v>
      </c>
      <c r="S41" s="6">
        <f t="shared" ca="1" si="6"/>
        <v>14.039073850135765</v>
      </c>
      <c r="T41">
        <f t="shared" ca="1" si="7"/>
        <v>0.61179466724875542</v>
      </c>
      <c r="W41">
        <f t="shared" ca="1" si="24"/>
        <v>1.6059999999999983</v>
      </c>
      <c r="X41" s="32">
        <f t="shared" ca="1" si="9"/>
        <v>30.272386809991218</v>
      </c>
      <c r="Y41" s="33">
        <f t="shared" ca="1" si="10"/>
        <v>124.22442522041001</v>
      </c>
      <c r="Z41" s="32">
        <f t="shared" ca="1" si="11"/>
        <v>125.40667490737461</v>
      </c>
      <c r="AA41" s="6">
        <f t="shared" ca="1" si="12"/>
        <v>1.182249686964596</v>
      </c>
      <c r="AB41">
        <f t="shared" ca="1" si="13"/>
        <v>0.5910039188048346</v>
      </c>
      <c r="AE41">
        <f t="shared" ca="1" si="25"/>
        <v>1.5925999999999998</v>
      </c>
      <c r="AF41" s="32">
        <f t="shared" ca="1" si="15"/>
        <v>30.019802760642627</v>
      </c>
      <c r="AG41" s="33">
        <f t="shared" ca="1" si="16"/>
        <v>124.57741791083669</v>
      </c>
      <c r="AH41" s="32">
        <f t="shared" ca="1" si="17"/>
        <v>124.69206485624055</v>
      </c>
      <c r="AI41" s="6">
        <f t="shared" ca="1" si="18"/>
        <v>0.11464694540386233</v>
      </c>
      <c r="AJ41">
        <f t="shared" ca="1" si="19"/>
        <v>0.58909460491178056</v>
      </c>
    </row>
    <row r="42" spans="1:36" x14ac:dyDescent="0.75">
      <c r="A42" s="19">
        <f t="shared" ref="A42:A66" si="27">A41 + 0.1</f>
        <v>3.1</v>
      </c>
      <c r="B42" s="32">
        <f t="shared" ref="B42:B66" si="28">A42*PI()*($F$2/2000)^2*60*1000</f>
        <v>58.433623356770156</v>
      </c>
      <c r="C42" s="33">
        <f t="shared" ref="C42:C66" si="29">$J$2*B42^2+$J$3*B42+$J$4</f>
        <v>71.105479355949328</v>
      </c>
      <c r="D42" s="32">
        <f t="shared" ref="D42:D66" si="30">($B$4*$B$5*$B$3+$F$3*($B$2/($F$2/1000)*($B$4*A42^2/2)+$F$4*$B$4*A42^2/2+$F$5*A42))/1000</f>
        <v>242.62807637760596</v>
      </c>
      <c r="E42" s="6">
        <f t="shared" si="0"/>
        <v>171.52259702165662</v>
      </c>
      <c r="F42">
        <f t="shared" si="1"/>
        <v>32</v>
      </c>
      <c r="G42">
        <f t="shared" si="2"/>
        <v>0.68898704880560291</v>
      </c>
      <c r="O42">
        <f t="shared" ca="1" si="26"/>
        <v>1.7700000000000002</v>
      </c>
      <c r="P42" s="32">
        <f t="shared" ca="1" si="3"/>
        <v>33.36371398112361</v>
      </c>
      <c r="Q42" s="33">
        <f t="shared" ca="1" si="4"/>
        <v>119.72641764724031</v>
      </c>
      <c r="R42" s="32">
        <f t="shared" ca="1" si="5"/>
        <v>134.63771580472442</v>
      </c>
      <c r="S42" s="6">
        <f t="shared" ca="1" si="6"/>
        <v>14.911298157484111</v>
      </c>
      <c r="T42">
        <f t="shared" ca="1" si="7"/>
        <v>0.61307137656378974</v>
      </c>
      <c r="W42">
        <f t="shared" ca="1" si="24"/>
        <v>1.6069999999999982</v>
      </c>
      <c r="X42" s="32">
        <f t="shared" ca="1" si="9"/>
        <v>30.291236365912752</v>
      </c>
      <c r="Y42" s="33">
        <f t="shared" ca="1" si="10"/>
        <v>124.19799448018821</v>
      </c>
      <c r="Z42" s="32">
        <f t="shared" ca="1" si="11"/>
        <v>125.46024410169315</v>
      </c>
      <c r="AA42" s="6">
        <f t="shared" ca="1" si="12"/>
        <v>1.2622496215049352</v>
      </c>
      <c r="AB42">
        <f t="shared" ca="1" si="13"/>
        <v>0.5911457602997201</v>
      </c>
      <c r="AE42">
        <f t="shared" ca="1" si="25"/>
        <v>1.5926999999999998</v>
      </c>
      <c r="AF42" s="32">
        <f t="shared" ca="1" si="15"/>
        <v>30.021687716234773</v>
      </c>
      <c r="AG42" s="33">
        <f t="shared" ca="1" si="16"/>
        <v>124.57479176500208</v>
      </c>
      <c r="AH42" s="32">
        <f t="shared" ca="1" si="17"/>
        <v>124.69737559245789</v>
      </c>
      <c r="AI42" s="6">
        <f t="shared" ca="1" si="18"/>
        <v>0.12258382745581287</v>
      </c>
      <c r="AJ42">
        <f t="shared" ca="1" si="19"/>
        <v>0.58910891308282887</v>
      </c>
    </row>
    <row r="43" spans="1:36" x14ac:dyDescent="0.75">
      <c r="A43" s="19">
        <f t="shared" si="27"/>
        <v>3.2</v>
      </c>
      <c r="B43" s="32">
        <f t="shared" si="28"/>
        <v>60.318578948924035</v>
      </c>
      <c r="C43" s="33">
        <f t="shared" si="29"/>
        <v>66.575859666530491</v>
      </c>
      <c r="D43" s="32">
        <f t="shared" si="30"/>
        <v>253.13183996947816</v>
      </c>
      <c r="E43" s="6">
        <f t="shared" ref="E43:E66" si="31">ABS(C43-D43)</f>
        <v>186.55598030294766</v>
      </c>
      <c r="F43">
        <f t="shared" ref="F43:F66" si="32">ROW(F43) - 10</f>
        <v>33</v>
      </c>
      <c r="G43">
        <f t="shared" ref="G43:G66" si="33">IF(B43 &gt; $B$6, 0, 1.2*$J$5*((EXP(B43/$B$6) - 1 - 1.72*((B43/$B$6)^4))^($J$6)))</f>
        <v>0.6847562578052393</v>
      </c>
      <c r="O43">
        <f t="shared" ca="1" si="26"/>
        <v>1.7800000000000002</v>
      </c>
      <c r="P43" s="32">
        <f t="shared" ca="1" si="3"/>
        <v>33.552209540338993</v>
      </c>
      <c r="Q43" s="33">
        <f t="shared" ca="1" si="4"/>
        <v>119.44151530204019</v>
      </c>
      <c r="R43" s="32">
        <f t="shared" ca="1" si="5"/>
        <v>135.22959454680611</v>
      </c>
      <c r="S43" s="6">
        <f t="shared" ca="1" si="6"/>
        <v>15.788079244765925</v>
      </c>
      <c r="T43">
        <f t="shared" ca="1" si="7"/>
        <v>0.61433911187064616</v>
      </c>
      <c r="W43">
        <f t="shared" ca="1" si="24"/>
        <v>1.6079999999999981</v>
      </c>
      <c r="X43" s="32">
        <f t="shared" ca="1" si="9"/>
        <v>30.31008592183429</v>
      </c>
      <c r="Y43" s="33">
        <f t="shared" ca="1" si="10"/>
        <v>124.17155151744834</v>
      </c>
      <c r="Z43" s="32">
        <f t="shared" ca="1" si="11"/>
        <v>125.51384664129294</v>
      </c>
      <c r="AA43" s="6">
        <f t="shared" ca="1" si="12"/>
        <v>1.3422951238446075</v>
      </c>
      <c r="AB43">
        <f t="shared" ca="1" si="13"/>
        <v>0.59128751229877718</v>
      </c>
      <c r="AE43">
        <f t="shared" ca="1" si="25"/>
        <v>1.5927999999999998</v>
      </c>
      <c r="AF43" s="32">
        <f t="shared" ca="1" si="15"/>
        <v>30.023572671826933</v>
      </c>
      <c r="AG43" s="33">
        <f t="shared" ca="1" si="16"/>
        <v>124.57216549694226</v>
      </c>
      <c r="AH43" s="32">
        <f t="shared" ca="1" si="17"/>
        <v>124.70268666212804</v>
      </c>
      <c r="AI43" s="6">
        <f t="shared" ca="1" si="18"/>
        <v>0.13052116518578316</v>
      </c>
      <c r="AJ43">
        <f t="shared" ca="1" si="19"/>
        <v>0.58912322035791231</v>
      </c>
    </row>
    <row r="44" spans="1:36" x14ac:dyDescent="0.75">
      <c r="A44" s="19">
        <f t="shared" si="27"/>
        <v>3.3000000000000003</v>
      </c>
      <c r="B44" s="32">
        <f t="shared" si="28"/>
        <v>62.2035345410779</v>
      </c>
      <c r="C44" s="33">
        <f t="shared" si="29"/>
        <v>61.924014796208581</v>
      </c>
      <c r="D44" s="32">
        <f t="shared" si="30"/>
        <v>263.96905637379075</v>
      </c>
      <c r="E44" s="6">
        <f t="shared" si="31"/>
        <v>202.04504157758217</v>
      </c>
      <c r="F44">
        <f t="shared" si="32"/>
        <v>34</v>
      </c>
      <c r="G44">
        <f t="shared" si="33"/>
        <v>0.67848548360922067</v>
      </c>
      <c r="O44">
        <f t="shared" ca="1" si="26"/>
        <v>1.7900000000000003</v>
      </c>
      <c r="P44" s="32">
        <f t="shared" ca="1" si="3"/>
        <v>33.74070509955439</v>
      </c>
      <c r="Q44" s="33">
        <f t="shared" ca="1" si="4"/>
        <v>119.15539070503101</v>
      </c>
      <c r="R44" s="32">
        <f t="shared" ca="1" si="5"/>
        <v>135.82480781701219</v>
      </c>
      <c r="S44" s="6">
        <f t="shared" ca="1" si="6"/>
        <v>16.669417111981176</v>
      </c>
      <c r="T44">
        <f t="shared" ca="1" si="7"/>
        <v>0.61559786397613336</v>
      </c>
      <c r="W44">
        <f t="shared" ca="1" si="24"/>
        <v>1.608999999999998</v>
      </c>
      <c r="X44" s="32">
        <f t="shared" ca="1" si="9"/>
        <v>30.328935477755831</v>
      </c>
      <c r="Y44" s="33">
        <f t="shared" ca="1" si="10"/>
        <v>124.14509633219035</v>
      </c>
      <c r="Z44" s="32">
        <f t="shared" ca="1" si="11"/>
        <v>125.56748252617396</v>
      </c>
      <c r="AA44" s="6">
        <f t="shared" ca="1" si="12"/>
        <v>1.4223861939836127</v>
      </c>
      <c r="AB44">
        <f t="shared" ca="1" si="13"/>
        <v>0.59142917480825297</v>
      </c>
      <c r="AE44">
        <f t="shared" ca="1" si="25"/>
        <v>1.5928999999999998</v>
      </c>
      <c r="AF44" s="32">
        <f t="shared" ca="1" si="15"/>
        <v>30.025457627419087</v>
      </c>
      <c r="AG44" s="33">
        <f t="shared" ca="1" si="16"/>
        <v>124.56953910665727</v>
      </c>
      <c r="AH44" s="32">
        <f t="shared" ca="1" si="17"/>
        <v>124.70799806525099</v>
      </c>
      <c r="AI44" s="6">
        <f t="shared" ca="1" si="18"/>
        <v>0.13845895859371637</v>
      </c>
      <c r="AJ44">
        <f t="shared" ca="1" si="19"/>
        <v>0.58913752673703845</v>
      </c>
    </row>
    <row r="45" spans="1:36" x14ac:dyDescent="0.75">
      <c r="A45" s="19">
        <f t="shared" si="27"/>
        <v>3.4000000000000004</v>
      </c>
      <c r="B45" s="32">
        <f t="shared" si="28"/>
        <v>64.088490133231787</v>
      </c>
      <c r="C45" s="33">
        <f t="shared" si="29"/>
        <v>57.149944744983557</v>
      </c>
      <c r="D45" s="32">
        <f t="shared" si="30"/>
        <v>275.13972559054372</v>
      </c>
      <c r="E45" s="6">
        <f t="shared" si="31"/>
        <v>217.98978084556018</v>
      </c>
      <c r="F45">
        <f t="shared" si="32"/>
        <v>35</v>
      </c>
      <c r="G45">
        <f t="shared" si="33"/>
        <v>0.6699354217708311</v>
      </c>
      <c r="O45">
        <f t="shared" ca="1" si="26"/>
        <v>1.8000000000000003</v>
      </c>
      <c r="P45" s="32">
        <f t="shared" ca="1" si="3"/>
        <v>33.929200658769766</v>
      </c>
      <c r="Q45" s="33">
        <f t="shared" ca="1" si="4"/>
        <v>118.86804385621284</v>
      </c>
      <c r="R45" s="32">
        <f t="shared" ca="1" si="5"/>
        <v>136.4233556153427</v>
      </c>
      <c r="S45" s="6">
        <f t="shared" ca="1" si="6"/>
        <v>17.555311759129864</v>
      </c>
      <c r="T45">
        <f t="shared" ca="1" si="7"/>
        <v>0.61684762285452455</v>
      </c>
      <c r="W45">
        <f t="shared" ca="1" si="24"/>
        <v>1.6099999999999979</v>
      </c>
      <c r="X45" s="32">
        <f t="shared" ca="1" si="9"/>
        <v>30.347785033677361</v>
      </c>
      <c r="Y45" s="33">
        <f t="shared" ca="1" si="10"/>
        <v>124.11862892441431</v>
      </c>
      <c r="Z45" s="32">
        <f t="shared" ca="1" si="11"/>
        <v>125.62115175633625</v>
      </c>
      <c r="AA45" s="6">
        <f t="shared" ca="1" si="12"/>
        <v>1.5025228319219366</v>
      </c>
      <c r="AB45">
        <f t="shared" ca="1" si="13"/>
        <v>0.59157074783429242</v>
      </c>
      <c r="AE45">
        <f t="shared" ca="1" si="25"/>
        <v>1.5929999999999997</v>
      </c>
      <c r="AF45" s="32">
        <f t="shared" ca="1" si="15"/>
        <v>30.02734258301124</v>
      </c>
      <c r="AG45" s="33">
        <f t="shared" ca="1" si="16"/>
        <v>124.56691259414711</v>
      </c>
      <c r="AH45" s="32">
        <f t="shared" ca="1" si="17"/>
        <v>124.71330980182675</v>
      </c>
      <c r="AI45" s="6">
        <f t="shared" ca="1" si="18"/>
        <v>0.14639720767964093</v>
      </c>
      <c r="AJ45">
        <f t="shared" ca="1" si="19"/>
        <v>0.58915183222021528</v>
      </c>
    </row>
    <row r="46" spans="1:36" x14ac:dyDescent="0.75">
      <c r="A46" s="19">
        <f t="shared" si="27"/>
        <v>3.5000000000000004</v>
      </c>
      <c r="B46" s="32">
        <f t="shared" si="28"/>
        <v>65.973445725385673</v>
      </c>
      <c r="C46" s="33">
        <f t="shared" si="29"/>
        <v>52.253649512855432</v>
      </c>
      <c r="D46" s="32">
        <f t="shared" si="30"/>
        <v>286.64384761973702</v>
      </c>
      <c r="E46" s="6">
        <f t="shared" si="31"/>
        <v>234.3901981068816</v>
      </c>
      <c r="F46">
        <f t="shared" si="32"/>
        <v>36</v>
      </c>
      <c r="G46">
        <f t="shared" si="33"/>
        <v>0.65880871734222501</v>
      </c>
    </row>
    <row r="47" spans="1:36" x14ac:dyDescent="0.75">
      <c r="A47" s="19">
        <f t="shared" si="27"/>
        <v>3.6000000000000005</v>
      </c>
      <c r="B47" s="32">
        <f t="shared" si="28"/>
        <v>67.858401317539531</v>
      </c>
      <c r="C47" s="33">
        <f t="shared" si="29"/>
        <v>47.235129099824292</v>
      </c>
      <c r="D47" s="32">
        <f t="shared" si="30"/>
        <v>298.48142246137081</v>
      </c>
      <c r="E47" s="6">
        <f t="shared" si="31"/>
        <v>251.24629336154652</v>
      </c>
      <c r="F47">
        <f t="shared" si="32"/>
        <v>37</v>
      </c>
      <c r="G47">
        <f t="shared" si="33"/>
        <v>0.64472780823789444</v>
      </c>
    </row>
    <row r="48" spans="1:36" x14ac:dyDescent="0.75">
      <c r="A48" s="19">
        <f t="shared" si="27"/>
        <v>3.7000000000000006</v>
      </c>
      <c r="B48" s="32">
        <f t="shared" si="28"/>
        <v>69.743356909693418</v>
      </c>
      <c r="C48" s="33">
        <f t="shared" si="29"/>
        <v>42.094383505889994</v>
      </c>
      <c r="D48" s="32">
        <f t="shared" si="30"/>
        <v>310.65245011544494</v>
      </c>
      <c r="E48" s="6">
        <f t="shared" si="31"/>
        <v>268.55806660955494</v>
      </c>
      <c r="F48">
        <f t="shared" si="32"/>
        <v>38</v>
      </c>
      <c r="G48">
        <f t="shared" si="33"/>
        <v>0.62720029563436663</v>
      </c>
    </row>
    <row r="49" spans="1:22" x14ac:dyDescent="0.75">
      <c r="A49" s="19">
        <f t="shared" si="27"/>
        <v>3.8000000000000007</v>
      </c>
      <c r="B49" s="32">
        <f t="shared" si="28"/>
        <v>71.628312501847304</v>
      </c>
      <c r="C49" s="33">
        <f t="shared" si="29"/>
        <v>36.831412731052581</v>
      </c>
      <c r="D49" s="32">
        <f t="shared" si="30"/>
        <v>323.1569305819595</v>
      </c>
      <c r="E49" s="6">
        <f t="shared" si="31"/>
        <v>286.32551785090692</v>
      </c>
      <c r="F49">
        <f t="shared" si="32"/>
        <v>39</v>
      </c>
      <c r="G49">
        <f t="shared" si="33"/>
        <v>0.60556203330553482</v>
      </c>
    </row>
    <row r="50" spans="1:22" x14ac:dyDescent="0.75">
      <c r="A50" s="19">
        <f t="shared" si="27"/>
        <v>3.9000000000000008</v>
      </c>
      <c r="B50" s="32">
        <f t="shared" si="28"/>
        <v>73.513268094001177</v>
      </c>
      <c r="C50" s="33">
        <f t="shared" si="29"/>
        <v>31.446216775312138</v>
      </c>
      <c r="D50" s="32">
        <f t="shared" si="30"/>
        <v>335.99486386091439</v>
      </c>
      <c r="E50" s="6">
        <f t="shared" si="31"/>
        <v>304.54864708560228</v>
      </c>
      <c r="F50">
        <f t="shared" si="32"/>
        <v>40</v>
      </c>
      <c r="G50">
        <f t="shared" si="33"/>
        <v>0.57887745417440628</v>
      </c>
    </row>
    <row r="51" spans="1:22" x14ac:dyDescent="0.75">
      <c r="A51" s="19">
        <f t="shared" si="27"/>
        <v>4.0000000000000009</v>
      </c>
      <c r="B51" s="32">
        <f t="shared" si="28"/>
        <v>75.398223686155063</v>
      </c>
      <c r="C51" s="33">
        <f t="shared" si="29"/>
        <v>25.938795638668552</v>
      </c>
      <c r="D51" s="32">
        <f t="shared" si="30"/>
        <v>349.16624995230973</v>
      </c>
      <c r="E51" s="6">
        <f t="shared" si="31"/>
        <v>323.22745431364115</v>
      </c>
      <c r="F51">
        <f t="shared" si="32"/>
        <v>41</v>
      </c>
      <c r="G51">
        <f t="shared" si="33"/>
        <v>0.54574983802674548</v>
      </c>
    </row>
    <row r="52" spans="1:22" x14ac:dyDescent="0.75">
      <c r="A52" s="19">
        <f t="shared" si="27"/>
        <v>4.1000000000000005</v>
      </c>
      <c r="B52" s="32">
        <f t="shared" si="28"/>
        <v>77.283179278308921</v>
      </c>
      <c r="C52" s="33">
        <f t="shared" si="29"/>
        <v>20.309149321121964</v>
      </c>
      <c r="D52" s="32">
        <f t="shared" si="30"/>
        <v>362.67108885614533</v>
      </c>
      <c r="E52" s="6">
        <f t="shared" si="31"/>
        <v>342.36193953502334</v>
      </c>
      <c r="F52">
        <f t="shared" si="32"/>
        <v>42</v>
      </c>
      <c r="G52">
        <f t="shared" si="33"/>
        <v>0.50391646020007119</v>
      </c>
    </row>
    <row r="53" spans="1:22" x14ac:dyDescent="0.75">
      <c r="A53" s="19">
        <f t="shared" si="27"/>
        <v>4.2</v>
      </c>
      <c r="B53" s="32">
        <f t="shared" si="28"/>
        <v>79.168134870462779</v>
      </c>
      <c r="C53" s="33">
        <f t="shared" si="29"/>
        <v>14.55727782267229</v>
      </c>
      <c r="D53" s="32">
        <f t="shared" si="30"/>
        <v>376.50938057242132</v>
      </c>
      <c r="E53" s="6">
        <f t="shared" si="31"/>
        <v>361.95210274974903</v>
      </c>
      <c r="F53">
        <f t="shared" si="32"/>
        <v>43</v>
      </c>
      <c r="G53">
        <f t="shared" si="33"/>
        <v>0.44922659692766354</v>
      </c>
    </row>
    <row r="54" spans="1:22" x14ac:dyDescent="0.75">
      <c r="A54" s="19">
        <f t="shared" si="27"/>
        <v>4.3</v>
      </c>
      <c r="B54" s="32">
        <f t="shared" si="28"/>
        <v>81.05309046261668</v>
      </c>
      <c r="C54" s="33">
        <f t="shared" si="29"/>
        <v>8.6831811433193877</v>
      </c>
      <c r="D54" s="32">
        <f t="shared" si="30"/>
        <v>390.68112510113775</v>
      </c>
      <c r="E54" s="6">
        <f t="shared" si="31"/>
        <v>381.99794395781839</v>
      </c>
      <c r="F54">
        <f t="shared" si="32"/>
        <v>44</v>
      </c>
      <c r="G54">
        <f t="shared" si="33"/>
        <v>0.37222637587487395</v>
      </c>
    </row>
    <row r="55" spans="1:22" x14ac:dyDescent="0.75">
      <c r="A55" s="19">
        <f t="shared" si="27"/>
        <v>4.3999999999999995</v>
      </c>
      <c r="B55" s="32">
        <f t="shared" si="28"/>
        <v>82.938046054770524</v>
      </c>
      <c r="C55" s="33">
        <f t="shared" si="29"/>
        <v>2.6868592830635691</v>
      </c>
      <c r="D55" s="32">
        <f t="shared" si="30"/>
        <v>405.18632244229451</v>
      </c>
      <c r="E55" s="6">
        <f t="shared" si="31"/>
        <v>402.49946315923091</v>
      </c>
      <c r="F55">
        <f t="shared" si="32"/>
        <v>45</v>
      </c>
      <c r="G55">
        <f t="shared" si="33"/>
        <v>0.23644696793361589</v>
      </c>
    </row>
    <row r="56" spans="1:22" x14ac:dyDescent="0.75">
      <c r="A56" s="19">
        <f t="shared" si="27"/>
        <v>4.4999999999999991</v>
      </c>
      <c r="B56" s="32">
        <f t="shared" si="28"/>
        <v>84.823001646924396</v>
      </c>
      <c r="C56" s="33">
        <f t="shared" si="29"/>
        <v>-3.4316877580954213</v>
      </c>
      <c r="D56" s="32">
        <f t="shared" si="30"/>
        <v>420.02497259589165</v>
      </c>
      <c r="E56" s="6">
        <f t="shared" si="31"/>
        <v>423.4566603539871</v>
      </c>
      <c r="F56">
        <f t="shared" si="32"/>
        <v>46</v>
      </c>
      <c r="G56">
        <f t="shared" si="33"/>
        <v>0</v>
      </c>
    </row>
    <row r="57" spans="1:22" x14ac:dyDescent="0.75">
      <c r="A57" s="19">
        <f t="shared" si="27"/>
        <v>4.5999999999999988</v>
      </c>
      <c r="B57" s="32">
        <f t="shared" si="28"/>
        <v>86.707957239078269</v>
      </c>
      <c r="C57" s="33">
        <f t="shared" si="29"/>
        <v>-9.6724599801574982</v>
      </c>
      <c r="D57" s="32">
        <f t="shared" si="30"/>
        <v>435.19707556192924</v>
      </c>
      <c r="E57" s="6">
        <f t="shared" si="31"/>
        <v>444.86953554208674</v>
      </c>
      <c r="F57">
        <f t="shared" si="32"/>
        <v>47</v>
      </c>
      <c r="G57">
        <f t="shared" si="33"/>
        <v>0</v>
      </c>
    </row>
    <row r="58" spans="1:22" x14ac:dyDescent="0.75">
      <c r="A58" s="19">
        <f t="shared" si="27"/>
        <v>4.6999999999999984</v>
      </c>
      <c r="B58" s="32">
        <f t="shared" si="28"/>
        <v>88.592912831232141</v>
      </c>
      <c r="C58" s="33">
        <f t="shared" si="29"/>
        <v>-16.03545738312269</v>
      </c>
      <c r="D58" s="32">
        <f t="shared" si="30"/>
        <v>450.70263134040715</v>
      </c>
      <c r="E58" s="6">
        <f t="shared" si="31"/>
        <v>466.73808872352981</v>
      </c>
      <c r="F58">
        <f t="shared" si="32"/>
        <v>48</v>
      </c>
      <c r="G58">
        <f t="shared" si="33"/>
        <v>0</v>
      </c>
      <c r="O58" t="s">
        <v>188</v>
      </c>
    </row>
    <row r="59" spans="1:22" x14ac:dyDescent="0.75">
      <c r="A59" s="19">
        <f t="shared" si="27"/>
        <v>4.799999999999998</v>
      </c>
      <c r="B59" s="32">
        <f t="shared" si="28"/>
        <v>90.477868423386028</v>
      </c>
      <c r="C59" s="33">
        <f t="shared" si="29"/>
        <v>-22.520679966991025</v>
      </c>
      <c r="D59" s="32">
        <f t="shared" si="30"/>
        <v>466.54163993132545</v>
      </c>
      <c r="E59" s="6">
        <f t="shared" si="31"/>
        <v>489.06231989831645</v>
      </c>
      <c r="F59">
        <f t="shared" si="32"/>
        <v>49</v>
      </c>
      <c r="G59">
        <f t="shared" si="33"/>
        <v>0</v>
      </c>
      <c r="M59" s="81">
        <v>1</v>
      </c>
      <c r="N59" s="81"/>
      <c r="Q59" s="61">
        <v>0.1</v>
      </c>
      <c r="R59" s="61"/>
    </row>
    <row r="60" spans="1:22" x14ac:dyDescent="0.75">
      <c r="A60" s="19">
        <f t="shared" si="27"/>
        <v>4.8999999999999977</v>
      </c>
      <c r="B60" s="32">
        <f t="shared" si="28"/>
        <v>92.362824015539871</v>
      </c>
      <c r="C60" s="33">
        <f t="shared" si="29"/>
        <v>-29.128127731762248</v>
      </c>
      <c r="D60" s="32">
        <f t="shared" si="30"/>
        <v>482.71410133468419</v>
      </c>
      <c r="E60" s="6">
        <f t="shared" si="31"/>
        <v>511.84222906644641</v>
      </c>
      <c r="F60">
        <f t="shared" si="32"/>
        <v>50</v>
      </c>
      <c r="G60">
        <f t="shared" si="33"/>
        <v>0</v>
      </c>
      <c r="M60" s="81" cm="1">
        <f t="array" aca="1" ref="M60" ca="1">INDIRECT(ADDRESS(MATCH(N60,G11:G66,0) + 10,2,4))</f>
        <v>54.663712172462411</v>
      </c>
      <c r="N60" s="81">
        <f>VLOOKUP(MAX(G11:G66),G11:G66,1,FALSE)</f>
        <v>0.69207962072016338</v>
      </c>
      <c r="Q60" s="61" cm="1">
        <f t="array" aca="1" ref="Q60" ca="1">INDIRECT(ADDRESS(MATCH(R60,N61:N92,0) + 60,COLUMN(M60),4))</f>
        <v>54.663712172462411</v>
      </c>
      <c r="R60" s="61">
        <f ca="1">VLOOKUP(MAX(N61:N92),N61:N92,1,FALSE)</f>
        <v>0.69207962072016338</v>
      </c>
      <c r="V60" s="61">
        <f ca="1">VLOOKUP(MAX(R61:R92),R61:R92,1,FALSE)</f>
        <v>0.69207962072016338</v>
      </c>
    </row>
    <row r="61" spans="1:22" x14ac:dyDescent="0.75">
      <c r="A61" s="19">
        <f t="shared" si="27"/>
        <v>4.9999999999999973</v>
      </c>
      <c r="B61" s="32">
        <f t="shared" si="28"/>
        <v>94.247779607693744</v>
      </c>
      <c r="C61" s="33">
        <f t="shared" si="29"/>
        <v>-35.857800677436671</v>
      </c>
      <c r="D61" s="32">
        <f t="shared" si="30"/>
        <v>499.22001555048325</v>
      </c>
      <c r="E61" s="6">
        <f t="shared" si="31"/>
        <v>535.07781622791993</v>
      </c>
      <c r="F61">
        <f t="shared" si="32"/>
        <v>51</v>
      </c>
      <c r="G61">
        <f t="shared" si="33"/>
        <v>0</v>
      </c>
      <c r="M61">
        <f t="shared" ref="M61:M74" ca="1" si="34">M62 - M$59</f>
        <v>40.663712172462411</v>
      </c>
      <c r="N61">
        <f t="shared" ref="N61:N92" ca="1" si="35">IF(M61 &gt; $B$6, 0, 1.2*$J$5*((EXP(M61/$B$6) - 1 - 1.72*((M61/$B$6)^4))^($J$6)))</f>
        <v>0.65545251797185355</v>
      </c>
      <c r="Q61">
        <f t="shared" ref="Q61:Q74" ca="1" si="36">Q62 - Q$59</f>
        <v>53.263712172462391</v>
      </c>
      <c r="R61">
        <f t="shared" ref="R61:R92" ca="1" si="37">IF(Q61 &gt; $B$6, 0, 1.2*$J$5*((EXP(Q61/$B$6) - 1 - 1.72*((Q61/$B$6)^4))^($J$6)))</f>
        <v>0.69159770453080693</v>
      </c>
    </row>
    <row r="62" spans="1:22" x14ac:dyDescent="0.75">
      <c r="A62" s="19">
        <f t="shared" si="27"/>
        <v>5.099999999999997</v>
      </c>
      <c r="B62" s="32">
        <f t="shared" si="28"/>
        <v>96.132735199847616</v>
      </c>
      <c r="C62" s="33">
        <f t="shared" si="29"/>
        <v>-42.709698804014238</v>
      </c>
      <c r="D62" s="32">
        <f t="shared" si="30"/>
        <v>516.05938257872276</v>
      </c>
      <c r="E62" s="6">
        <f t="shared" si="31"/>
        <v>558.769081382737</v>
      </c>
      <c r="F62">
        <f t="shared" si="32"/>
        <v>52</v>
      </c>
      <c r="G62">
        <f t="shared" si="33"/>
        <v>0</v>
      </c>
      <c r="M62">
        <f t="shared" ca="1" si="34"/>
        <v>41.663712172462411</v>
      </c>
      <c r="N62">
        <f t="shared" ca="1" si="35"/>
        <v>0.66014253122498812</v>
      </c>
      <c r="Q62">
        <f t="shared" ca="1" si="36"/>
        <v>53.363712172462392</v>
      </c>
      <c r="R62">
        <f t="shared" ca="1" si="37"/>
        <v>0.6916592940260331</v>
      </c>
    </row>
    <row r="63" spans="1:22" x14ac:dyDescent="0.75">
      <c r="A63" s="19">
        <f t="shared" si="27"/>
        <v>5.1999999999999966</v>
      </c>
      <c r="B63" s="32">
        <f t="shared" si="28"/>
        <v>98.017690792001488</v>
      </c>
      <c r="C63" s="33">
        <f t="shared" si="29"/>
        <v>-49.683822111494834</v>
      </c>
      <c r="D63" s="32">
        <f t="shared" si="30"/>
        <v>533.2322024194026</v>
      </c>
      <c r="E63" s="6">
        <f t="shared" si="31"/>
        <v>582.9160245308974</v>
      </c>
      <c r="F63">
        <f t="shared" si="32"/>
        <v>53</v>
      </c>
      <c r="G63">
        <f t="shared" si="33"/>
        <v>0</v>
      </c>
      <c r="M63">
        <f t="shared" ca="1" si="34"/>
        <v>42.663712172462411</v>
      </c>
      <c r="N63">
        <f t="shared" ca="1" si="35"/>
        <v>0.66454793156621017</v>
      </c>
      <c r="Q63">
        <f t="shared" ca="1" si="36"/>
        <v>53.463712172462394</v>
      </c>
      <c r="R63">
        <f t="shared" ca="1" si="37"/>
        <v>0.69171677296572387</v>
      </c>
    </row>
    <row r="64" spans="1:22" x14ac:dyDescent="0.75">
      <c r="A64" s="19">
        <f t="shared" si="27"/>
        <v>5.2999999999999963</v>
      </c>
      <c r="B64" s="32">
        <f t="shared" si="28"/>
        <v>99.902646384155361</v>
      </c>
      <c r="C64" s="33">
        <f t="shared" si="29"/>
        <v>-56.780170599878545</v>
      </c>
      <c r="D64" s="32">
        <f t="shared" si="30"/>
        <v>550.73847507252287</v>
      </c>
      <c r="E64" s="6">
        <f t="shared" si="31"/>
        <v>607.51864567240136</v>
      </c>
      <c r="F64">
        <f t="shared" si="32"/>
        <v>54</v>
      </c>
      <c r="G64">
        <f t="shared" si="33"/>
        <v>0</v>
      </c>
      <c r="M64">
        <f t="shared" ca="1" si="34"/>
        <v>43.663712172462411</v>
      </c>
      <c r="N64">
        <f t="shared" ca="1" si="35"/>
        <v>0.66866207422359902</v>
      </c>
      <c r="Q64">
        <f t="shared" ca="1" si="36"/>
        <v>53.563712172462395</v>
      </c>
      <c r="R64">
        <f t="shared" ca="1" si="37"/>
        <v>0.69177012450792197</v>
      </c>
    </row>
    <row r="65" spans="1:18" x14ac:dyDescent="0.75">
      <c r="A65" s="19">
        <f t="shared" si="27"/>
        <v>5.3999999999999959</v>
      </c>
      <c r="B65" s="32">
        <f t="shared" si="28"/>
        <v>101.78760197630922</v>
      </c>
      <c r="C65" s="33">
        <f t="shared" si="29"/>
        <v>-63.998744269165286</v>
      </c>
      <c r="D65" s="32">
        <f t="shared" si="30"/>
        <v>568.57820053808348</v>
      </c>
      <c r="E65" s="6">
        <f t="shared" si="31"/>
        <v>632.57694480724876</v>
      </c>
      <c r="F65">
        <f t="shared" si="32"/>
        <v>55</v>
      </c>
      <c r="G65">
        <f t="shared" si="33"/>
        <v>0</v>
      </c>
      <c r="M65">
        <f t="shared" ca="1" si="34"/>
        <v>44.663712172462411</v>
      </c>
      <c r="N65">
        <f t="shared" ca="1" si="35"/>
        <v>0.67247767734865049</v>
      </c>
      <c r="Q65">
        <f t="shared" ca="1" si="36"/>
        <v>53.663712172462397</v>
      </c>
      <c r="R65">
        <f t="shared" ca="1" si="37"/>
        <v>0.69181933166822129</v>
      </c>
    </row>
    <row r="66" spans="1:18" x14ac:dyDescent="0.75">
      <c r="A66" s="19">
        <f t="shared" si="27"/>
        <v>5.4999999999999956</v>
      </c>
      <c r="B66" s="32">
        <f t="shared" si="28"/>
        <v>103.67255756846309</v>
      </c>
      <c r="C66" s="33">
        <f t="shared" si="29"/>
        <v>-71.339543119355199</v>
      </c>
      <c r="D66" s="32">
        <f t="shared" si="30"/>
        <v>586.75137881608453</v>
      </c>
      <c r="E66" s="6">
        <f t="shared" si="31"/>
        <v>658.09092193543972</v>
      </c>
      <c r="F66">
        <f t="shared" si="32"/>
        <v>56</v>
      </c>
      <c r="G66">
        <f t="shared" si="33"/>
        <v>0</v>
      </c>
      <c r="M66">
        <f t="shared" ca="1" si="34"/>
        <v>45.663712172462411</v>
      </c>
      <c r="N66">
        <f t="shared" ca="1" si="35"/>
        <v>0.67598679463710609</v>
      </c>
      <c r="Q66">
        <f t="shared" ca="1" si="36"/>
        <v>53.763712172462398</v>
      </c>
      <c r="R66">
        <f t="shared" ca="1" si="37"/>
        <v>0.6918643773182418</v>
      </c>
    </row>
    <row r="67" spans="1:18" x14ac:dyDescent="0.75">
      <c r="M67">
        <f t="shared" ca="1" si="34"/>
        <v>46.663712172462411</v>
      </c>
      <c r="N67">
        <f t="shared" ca="1" si="35"/>
        <v>0.67918078141470106</v>
      </c>
      <c r="Q67">
        <f t="shared" ca="1" si="36"/>
        <v>53.8637121724624</v>
      </c>
      <c r="R67">
        <f t="shared" ca="1" si="37"/>
        <v>0.69190524418408028</v>
      </c>
    </row>
    <row r="68" spans="1:18" x14ac:dyDescent="0.75">
      <c r="M68">
        <f t="shared" ca="1" si="34"/>
        <v>47.663712172462411</v>
      </c>
      <c r="N68">
        <f t="shared" ca="1" si="35"/>
        <v>0.68205025362991989</v>
      </c>
      <c r="Q68">
        <f t="shared" ca="1" si="36"/>
        <v>53.963712172462401</v>
      </c>
      <c r="R68">
        <f t="shared" ca="1" si="37"/>
        <v>0.69194191484473921</v>
      </c>
    </row>
    <row r="69" spans="1:18" x14ac:dyDescent="0.75">
      <c r="M69">
        <f t="shared" ca="1" si="34"/>
        <v>48.663712172462411</v>
      </c>
      <c r="N69">
        <f t="shared" ca="1" si="35"/>
        <v>0.68458503903445467</v>
      </c>
      <c r="Q69">
        <f t="shared" ca="1" si="36"/>
        <v>54.063712172462402</v>
      </c>
      <c r="R69">
        <f t="shared" ca="1" si="37"/>
        <v>0.69197437173052645</v>
      </c>
    </row>
    <row r="70" spans="1:18" x14ac:dyDescent="0.75">
      <c r="M70">
        <f t="shared" ca="1" si="34"/>
        <v>49.663712172462411</v>
      </c>
      <c r="N70">
        <f t="shared" ca="1" si="35"/>
        <v>0.68677411964526414</v>
      </c>
      <c r="Q70">
        <f t="shared" ca="1" si="36"/>
        <v>54.163712172462404</v>
      </c>
      <c r="R70">
        <f t="shared" ca="1" si="37"/>
        <v>0.69200259712143342</v>
      </c>
    </row>
    <row r="71" spans="1:18" x14ac:dyDescent="0.75">
      <c r="M71">
        <f t="shared" ca="1" si="34"/>
        <v>50.663712172462411</v>
      </c>
      <c r="N71">
        <f t="shared" ca="1" si="35"/>
        <v>0.68860556436179254</v>
      </c>
      <c r="Q71">
        <f t="shared" ca="1" si="36"/>
        <v>54.263712172462405</v>
      </c>
      <c r="R71">
        <f t="shared" ca="1" si="37"/>
        <v>0.69202657314548444</v>
      </c>
    </row>
    <row r="72" spans="1:18" x14ac:dyDescent="0.75">
      <c r="M72">
        <f t="shared" ca="1" si="34"/>
        <v>51.663712172462411</v>
      </c>
      <c r="N72">
        <f t="shared" ca="1" si="35"/>
        <v>0.69006645034790448</v>
      </c>
      <c r="Q72">
        <f t="shared" ca="1" si="36"/>
        <v>54.363712172462407</v>
      </c>
      <c r="R72">
        <f t="shared" ca="1" si="37"/>
        <v>0.69204628177706085</v>
      </c>
    </row>
    <row r="73" spans="1:18" x14ac:dyDescent="0.75">
      <c r="M73">
        <f t="shared" ca="1" si="34"/>
        <v>52.663712172462411</v>
      </c>
      <c r="N73">
        <f t="shared" ca="1" si="35"/>
        <v>0.69114277146743408</v>
      </c>
      <c r="Q73">
        <f t="shared" ca="1" si="36"/>
        <v>54.463712172462408</v>
      </c>
      <c r="R73">
        <f t="shared" ca="1" si="37"/>
        <v>0.6920617048351988</v>
      </c>
    </row>
    <row r="74" spans="1:18" x14ac:dyDescent="0.75">
      <c r="M74">
        <f t="shared" ca="1" si="34"/>
        <v>53.663712172462411</v>
      </c>
      <c r="N74">
        <f t="shared" ca="1" si="35"/>
        <v>0.69181933166822129</v>
      </c>
      <c r="Q74">
        <f t="shared" ca="1" si="36"/>
        <v>54.563712172462409</v>
      </c>
      <c r="R74">
        <f t="shared" ca="1" si="37"/>
        <v>0.69207282398185788</v>
      </c>
    </row>
    <row r="75" spans="1:18" x14ac:dyDescent="0.75">
      <c r="M75" s="81">
        <f ca="1">M60</f>
        <v>54.663712172462411</v>
      </c>
      <c r="N75">
        <f t="shared" ca="1" si="35"/>
        <v>0.69207962072016338</v>
      </c>
      <c r="Q75" s="61">
        <f ca="1">Q60</f>
        <v>54.663712172462411</v>
      </c>
      <c r="R75">
        <f t="shared" ca="1" si="37"/>
        <v>0.69207962072016338</v>
      </c>
    </row>
    <row r="76" spans="1:18" x14ac:dyDescent="0.75">
      <c r="M76">
        <f t="shared" ref="M76:M92" ca="1" si="38">M75 + $M$59</f>
        <v>55.663712172462411</v>
      </c>
      <c r="N76">
        <f t="shared" ca="1" si="35"/>
        <v>0.69190566909907414</v>
      </c>
      <c r="Q76">
        <f t="shared" ref="Q76:Q92" ca="1" si="39">Q75 + $M$59</f>
        <v>55.663712172462411</v>
      </c>
      <c r="R76">
        <f t="shared" ca="1" si="37"/>
        <v>0.69190566909907414</v>
      </c>
    </row>
    <row r="77" spans="1:18" x14ac:dyDescent="0.75">
      <c r="M77">
        <f t="shared" ca="1" si="38"/>
        <v>56.663712172462411</v>
      </c>
      <c r="N77">
        <f t="shared" ca="1" si="35"/>
        <v>0.69127787803105789</v>
      </c>
      <c r="Q77">
        <f t="shared" ca="1" si="39"/>
        <v>56.663712172462411</v>
      </c>
      <c r="R77">
        <f t="shared" ca="1" si="37"/>
        <v>0.69127787803105789</v>
      </c>
    </row>
    <row r="78" spans="1:18" x14ac:dyDescent="0.75">
      <c r="M78">
        <f t="shared" ca="1" si="38"/>
        <v>57.663712172462411</v>
      </c>
      <c r="N78">
        <f t="shared" ca="1" si="35"/>
        <v>0.69017481971889227</v>
      </c>
      <c r="Q78">
        <f t="shared" ca="1" si="39"/>
        <v>57.663712172462411</v>
      </c>
      <c r="R78">
        <f t="shared" ca="1" si="37"/>
        <v>0.69017481971889227</v>
      </c>
    </row>
    <row r="79" spans="1:18" x14ac:dyDescent="0.75">
      <c r="M79">
        <f t="shared" ca="1" si="38"/>
        <v>58.663712172462411</v>
      </c>
      <c r="N79">
        <f t="shared" ca="1" si="35"/>
        <v>0.68857300149030176</v>
      </c>
      <c r="Q79">
        <f t="shared" ca="1" si="39"/>
        <v>58.663712172462411</v>
      </c>
      <c r="R79">
        <f t="shared" ca="1" si="37"/>
        <v>0.68857300149030176</v>
      </c>
    </row>
    <row r="80" spans="1:18" x14ac:dyDescent="0.75">
      <c r="M80">
        <f t="shared" ca="1" si="38"/>
        <v>59.663712172462411</v>
      </c>
      <c r="N80">
        <f t="shared" ca="1" si="35"/>
        <v>0.68644658593784325</v>
      </c>
      <c r="Q80">
        <f t="shared" ca="1" si="39"/>
        <v>59.663712172462411</v>
      </c>
      <c r="R80">
        <f t="shared" ca="1" si="37"/>
        <v>0.68644658593784325</v>
      </c>
    </row>
    <row r="81" spans="13:18" x14ac:dyDescent="0.75">
      <c r="M81">
        <f t="shared" ca="1" si="38"/>
        <v>60.663712172462411</v>
      </c>
      <c r="N81">
        <f t="shared" ca="1" si="35"/>
        <v>0.68376705692102235</v>
      </c>
      <c r="Q81">
        <f t="shared" ca="1" si="39"/>
        <v>60.663712172462411</v>
      </c>
      <c r="R81">
        <f t="shared" ca="1" si="37"/>
        <v>0.68376705692102235</v>
      </c>
    </row>
    <row r="82" spans="13:18" x14ac:dyDescent="0.75">
      <c r="M82">
        <f t="shared" ca="1" si="38"/>
        <v>61.663712172462411</v>
      </c>
      <c r="N82">
        <f t="shared" ca="1" si="35"/>
        <v>0.68050281837378668</v>
      </c>
      <c r="Q82">
        <f t="shared" ca="1" si="39"/>
        <v>61.663712172462411</v>
      </c>
      <c r="R82">
        <f t="shared" ca="1" si="37"/>
        <v>0.68050281837378668</v>
      </c>
    </row>
    <row r="83" spans="13:18" x14ac:dyDescent="0.75">
      <c r="M83">
        <f t="shared" ca="1" si="38"/>
        <v>62.663712172462411</v>
      </c>
      <c r="N83">
        <f t="shared" ca="1" si="35"/>
        <v>0.67661870891757103</v>
      </c>
      <c r="Q83">
        <f t="shared" ca="1" si="39"/>
        <v>62.663712172462411</v>
      </c>
      <c r="R83">
        <f t="shared" ca="1" si="37"/>
        <v>0.67661870891757103</v>
      </c>
    </row>
    <row r="84" spans="13:18" x14ac:dyDescent="0.75">
      <c r="M84">
        <f t="shared" ca="1" si="38"/>
        <v>63.663712172462411</v>
      </c>
      <c r="N84">
        <f t="shared" ca="1" si="35"/>
        <v>0.67207540990197834</v>
      </c>
      <c r="Q84">
        <f t="shared" ca="1" si="39"/>
        <v>63.663712172462411</v>
      </c>
      <c r="R84">
        <f t="shared" ca="1" si="37"/>
        <v>0.67207540990197834</v>
      </c>
    </row>
    <row r="85" spans="13:18" x14ac:dyDescent="0.75">
      <c r="M85">
        <f t="shared" ca="1" si="38"/>
        <v>64.663712172462411</v>
      </c>
      <c r="N85">
        <f t="shared" ca="1" si="35"/>
        <v>0.66682871705888191</v>
      </c>
      <c r="Q85">
        <f t="shared" ca="1" si="39"/>
        <v>64.663712172462411</v>
      </c>
      <c r="R85">
        <f t="shared" ca="1" si="37"/>
        <v>0.66682871705888191</v>
      </c>
    </row>
    <row r="86" spans="13:18" x14ac:dyDescent="0.75">
      <c r="M86">
        <f t="shared" ca="1" si="38"/>
        <v>65.663712172462411</v>
      </c>
      <c r="N86">
        <f t="shared" ca="1" si="35"/>
        <v>0.66082863551969562</v>
      </c>
      <c r="Q86">
        <f t="shared" ca="1" si="39"/>
        <v>65.663712172462411</v>
      </c>
      <c r="R86">
        <f t="shared" ca="1" si="37"/>
        <v>0.66082863551969562</v>
      </c>
    </row>
    <row r="87" spans="13:18" x14ac:dyDescent="0.75">
      <c r="M87">
        <f t="shared" ca="1" si="38"/>
        <v>66.663712172462411</v>
      </c>
      <c r="N87">
        <f t="shared" ca="1" si="35"/>
        <v>0.65401824305975653</v>
      </c>
      <c r="Q87">
        <f t="shared" ca="1" si="39"/>
        <v>66.663712172462411</v>
      </c>
      <c r="R87">
        <f t="shared" ca="1" si="37"/>
        <v>0.65401824305975653</v>
      </c>
    </row>
    <row r="88" spans="13:18" x14ac:dyDescent="0.75">
      <c r="M88">
        <f t="shared" ca="1" si="38"/>
        <v>67.663712172462411</v>
      </c>
      <c r="N88">
        <f t="shared" ca="1" si="35"/>
        <v>0.64633224481793039</v>
      </c>
      <c r="Q88">
        <f t="shared" ca="1" si="39"/>
        <v>67.663712172462411</v>
      </c>
      <c r="R88">
        <f t="shared" ca="1" si="37"/>
        <v>0.64633224481793039</v>
      </c>
    </row>
    <row r="89" spans="13:18" x14ac:dyDescent="0.75">
      <c r="M89">
        <f t="shared" ca="1" si="38"/>
        <v>68.663712172462411</v>
      </c>
      <c r="N89">
        <f t="shared" ca="1" si="35"/>
        <v>0.6376951107241452</v>
      </c>
      <c r="Q89">
        <f t="shared" ca="1" si="39"/>
        <v>68.663712172462411</v>
      </c>
      <c r="R89">
        <f t="shared" ca="1" si="37"/>
        <v>0.6376951107241452</v>
      </c>
    </row>
    <row r="90" spans="13:18" x14ac:dyDescent="0.75">
      <c r="M90">
        <f t="shared" ca="1" si="38"/>
        <v>69.663712172462411</v>
      </c>
      <c r="N90">
        <f t="shared" ca="1" si="35"/>
        <v>0.6280186383944002</v>
      </c>
      <c r="Q90">
        <f t="shared" ca="1" si="39"/>
        <v>69.663712172462411</v>
      </c>
      <c r="R90">
        <f t="shared" ca="1" si="37"/>
        <v>0.6280186383944002</v>
      </c>
    </row>
    <row r="91" spans="13:18" x14ac:dyDescent="0.75">
      <c r="M91">
        <f t="shared" ca="1" si="38"/>
        <v>70.663712172462411</v>
      </c>
      <c r="N91">
        <f t="shared" ca="1" si="35"/>
        <v>0.61719870903076168</v>
      </c>
      <c r="Q91">
        <f t="shared" ca="1" si="39"/>
        <v>70.663712172462411</v>
      </c>
      <c r="R91">
        <f t="shared" ca="1" si="37"/>
        <v>0.61719870903076168</v>
      </c>
    </row>
    <row r="92" spans="13:18" x14ac:dyDescent="0.75">
      <c r="M92">
        <f t="shared" ca="1" si="38"/>
        <v>71.663712172462411</v>
      </c>
      <c r="N92">
        <f t="shared" ca="1" si="35"/>
        <v>0.60511088384100642</v>
      </c>
      <c r="Q92">
        <f t="shared" ca="1" si="39"/>
        <v>71.663712172462411</v>
      </c>
      <c r="R92">
        <f t="shared" ca="1" si="37"/>
        <v>0.60511088384100642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00AB8-88FE-4B4F-8A88-D2AA2548D22C}">
  <dimension ref="A1:AQ66"/>
  <sheetViews>
    <sheetView topLeftCell="C1" zoomScale="73" zoomScaleNormal="150" zoomScaleSheetLayoutView="100" workbookViewId="0">
      <selection activeCell="F8" sqref="F8"/>
    </sheetView>
  </sheetViews>
  <sheetFormatPr defaultRowHeight="14.75" x14ac:dyDescent="0.75"/>
  <cols>
    <col min="1" max="1" width="24.7265625" style="19" customWidth="1"/>
    <col min="2" max="2" width="11.54296875" style="19" customWidth="1"/>
    <col min="3" max="3" width="13.81640625" style="28" customWidth="1"/>
    <col min="4" max="4" width="16.54296875" style="19" customWidth="1"/>
    <col min="5" max="5" width="17.81640625" customWidth="1"/>
    <col min="6" max="6" width="7.54296875" customWidth="1"/>
    <col min="7" max="7" width="10.54296875" bestFit="1" customWidth="1"/>
    <col min="8" max="8" width="17.81640625" customWidth="1"/>
    <col min="9" max="9" width="8.54296875" bestFit="1" customWidth="1"/>
    <col min="10" max="10" width="15.54296875" bestFit="1" customWidth="1"/>
    <col min="11" max="12" width="9.1796875" bestFit="1" customWidth="1"/>
    <col min="13" max="13" width="18.81640625" customWidth="1"/>
    <col min="14" max="14" width="15.453125" customWidth="1"/>
    <col min="15" max="15" width="27.81640625" customWidth="1"/>
    <col min="16" max="16" width="27.7265625" customWidth="1"/>
    <col min="17" max="17" width="16.54296875" customWidth="1"/>
    <col min="18" max="38" width="9.1796875" bestFit="1" customWidth="1"/>
    <col min="39" max="39" width="13.81640625" customWidth="1"/>
    <col min="40" max="40" width="11.453125" customWidth="1"/>
    <col min="41" max="41" width="9.1796875" bestFit="1" customWidth="1"/>
    <col min="42" max="42" width="14.7265625" customWidth="1"/>
    <col min="43" max="43" width="10.453125" customWidth="1"/>
  </cols>
  <sheetData>
    <row r="1" spans="1:43" x14ac:dyDescent="0.75">
      <c r="A1" s="149" t="s">
        <v>2</v>
      </c>
      <c r="B1" s="150"/>
      <c r="C1" s="149"/>
      <c r="E1" s="14" t="s">
        <v>145</v>
      </c>
      <c r="F1" s="15"/>
      <c r="G1" s="15"/>
      <c r="J1" s="159" t="s">
        <v>189</v>
      </c>
      <c r="M1" s="88" t="s">
        <v>147</v>
      </c>
      <c r="N1" s="88" t="s">
        <v>148</v>
      </c>
      <c r="O1" s="1"/>
      <c r="P1" s="1"/>
    </row>
    <row r="2" spans="1:43" x14ac:dyDescent="0.75">
      <c r="A2" s="151" t="s">
        <v>151</v>
      </c>
      <c r="B2" s="178">
        <f>Main!C12</f>
        <v>13.138112497615477</v>
      </c>
      <c r="C2" s="149" t="s">
        <v>26</v>
      </c>
      <c r="E2" s="15" t="s">
        <v>152</v>
      </c>
      <c r="F2" s="16">
        <f>Main!C15</f>
        <v>20</v>
      </c>
      <c r="G2" s="14" t="s">
        <v>39</v>
      </c>
      <c r="J2" s="160" t="str">
        <f ca="1">IF(F6&gt;M3, "YES", "NO")</f>
        <v>NO</v>
      </c>
      <c r="M2" s="89" t="s">
        <v>154</v>
      </c>
      <c r="N2" s="89" t="s">
        <v>155</v>
      </c>
      <c r="O2" s="62"/>
      <c r="P2" s="62"/>
      <c r="U2" t="s">
        <v>156</v>
      </c>
      <c r="V2" t="s">
        <v>157</v>
      </c>
    </row>
    <row r="3" spans="1:43" x14ac:dyDescent="0.75">
      <c r="A3" s="151" t="s">
        <v>190</v>
      </c>
      <c r="B3" s="152">
        <f>Main!C8+Main!C13</f>
        <v>6.9</v>
      </c>
      <c r="C3" s="149" t="s">
        <v>26</v>
      </c>
      <c r="E3" s="15" t="s">
        <v>40</v>
      </c>
      <c r="F3" s="16">
        <f>Main!C16</f>
        <v>0.05</v>
      </c>
      <c r="G3" s="14" t="s">
        <v>41</v>
      </c>
      <c r="L3" s="82" t="s">
        <v>160</v>
      </c>
      <c r="M3" s="90">
        <f ca="1">AO10</f>
        <v>67.687645918017012</v>
      </c>
      <c r="N3" s="91">
        <f ca="1">IF(AN10&gt;F6, F6, AN10)</f>
        <v>37.88006757992428</v>
      </c>
      <c r="O3" s="148"/>
      <c r="P3" s="148"/>
      <c r="U3" t="s">
        <v>161</v>
      </c>
      <c r="V3" t="s">
        <v>162</v>
      </c>
    </row>
    <row r="4" spans="1:43" x14ac:dyDescent="0.75">
      <c r="A4" s="153" t="s">
        <v>163</v>
      </c>
      <c r="B4" s="154">
        <v>1000</v>
      </c>
      <c r="C4" s="155" t="s">
        <v>164</v>
      </c>
      <c r="E4" s="15" t="s">
        <v>42</v>
      </c>
      <c r="F4" s="16">
        <f>Main!C17</f>
        <v>10</v>
      </c>
      <c r="G4" s="14" t="s">
        <v>41</v>
      </c>
      <c r="M4" s="87"/>
      <c r="U4" t="s">
        <v>167</v>
      </c>
      <c r="V4" t="s">
        <v>168</v>
      </c>
    </row>
    <row r="5" spans="1:43" x14ac:dyDescent="0.75">
      <c r="A5" s="156" t="s">
        <v>169</v>
      </c>
      <c r="B5" s="157">
        <v>9.81</v>
      </c>
      <c r="C5" s="158" t="s">
        <v>170</v>
      </c>
      <c r="E5" s="144" t="s">
        <v>43</v>
      </c>
      <c r="F5" s="143">
        <f>Main!C18 * IF(Main!C19 = "FROM", 1, 0)</f>
        <v>3536.2010300000002</v>
      </c>
      <c r="G5" s="145" t="str">
        <f>'Filter Life Span'!D2</f>
        <v>[kPa/(m/s)]</v>
      </c>
      <c r="H5" t="str">
        <f>Main!C19</f>
        <v>FROM</v>
      </c>
      <c r="U5" s="87" t="s">
        <v>172</v>
      </c>
    </row>
    <row r="6" spans="1:43" x14ac:dyDescent="0.75">
      <c r="A6"/>
      <c r="B6"/>
      <c r="C6"/>
      <c r="E6" s="146" t="s">
        <v>191</v>
      </c>
      <c r="F6" s="325">
        <f>IF(Main!C23=50, 40, 25)</f>
        <v>40</v>
      </c>
      <c r="G6" s="147" t="s">
        <v>155</v>
      </c>
      <c r="O6">
        <f>COLUMN(O6)</f>
        <v>15</v>
      </c>
      <c r="W6">
        <f>COLUMN(W6)</f>
        <v>23</v>
      </c>
    </row>
    <row r="7" spans="1:43" x14ac:dyDescent="0.75">
      <c r="A7"/>
      <c r="B7"/>
      <c r="C7"/>
      <c r="N7" t="s">
        <v>174</v>
      </c>
      <c r="Q7" s="82" t="s">
        <v>175</v>
      </c>
    </row>
    <row r="8" spans="1:43" ht="29.5" x14ac:dyDescent="0.75">
      <c r="N8" t="s">
        <v>176</v>
      </c>
      <c r="P8" t="s">
        <v>290</v>
      </c>
      <c r="Q8" t="s">
        <v>192</v>
      </c>
      <c r="R8" t="s">
        <v>193</v>
      </c>
      <c r="V8" t="s">
        <v>176</v>
      </c>
      <c r="X8" t="s">
        <v>291</v>
      </c>
      <c r="Y8" t="s">
        <v>192</v>
      </c>
      <c r="AM8" s="20" t="s">
        <v>179</v>
      </c>
      <c r="AN8" s="20" t="s">
        <v>148</v>
      </c>
      <c r="AO8" s="21" t="s">
        <v>180</v>
      </c>
      <c r="AP8" s="20" t="s">
        <v>181</v>
      </c>
    </row>
    <row r="9" spans="1:43" x14ac:dyDescent="0.75">
      <c r="A9" s="20" t="s">
        <v>179</v>
      </c>
      <c r="B9" s="20" t="s">
        <v>148</v>
      </c>
      <c r="C9" s="136" t="s">
        <v>192</v>
      </c>
      <c r="D9" s="92" t="s">
        <v>193</v>
      </c>
      <c r="E9" s="92" t="s">
        <v>182</v>
      </c>
      <c r="F9" s="138"/>
      <c r="G9" s="139" t="s">
        <v>183</v>
      </c>
      <c r="N9" s="66" t="s">
        <v>184</v>
      </c>
      <c r="O9" s="66">
        <v>0.01</v>
      </c>
      <c r="P9" s="66"/>
      <c r="Q9" s="66"/>
      <c r="R9" s="66"/>
      <c r="S9" t="s">
        <v>185</v>
      </c>
      <c r="V9" s="83"/>
      <c r="W9" s="83">
        <v>1E-3</v>
      </c>
      <c r="X9" s="83"/>
      <c r="Y9" s="83"/>
      <c r="Z9" s="83"/>
      <c r="AD9" s="84"/>
      <c r="AE9" s="84">
        <v>1E-4</v>
      </c>
      <c r="AF9" s="84"/>
      <c r="AG9" s="84"/>
      <c r="AH9" s="84"/>
      <c r="AM9" s="22" t="s">
        <v>186</v>
      </c>
      <c r="AN9" s="23" t="s">
        <v>155</v>
      </c>
      <c r="AO9" s="24" t="s">
        <v>184</v>
      </c>
      <c r="AP9" s="31" t="s">
        <v>184</v>
      </c>
    </row>
    <row r="10" spans="1:43" x14ac:dyDescent="0.75">
      <c r="A10" s="22" t="s">
        <v>186</v>
      </c>
      <c r="B10" s="23" t="s">
        <v>155</v>
      </c>
      <c r="C10" s="137" t="s">
        <v>184</v>
      </c>
      <c r="D10" s="92" t="s">
        <v>184</v>
      </c>
      <c r="E10" s="92" t="s">
        <v>184</v>
      </c>
      <c r="F10" s="138"/>
      <c r="G10" s="138"/>
      <c r="H10" s="82"/>
      <c r="N10" s="65">
        <f>VLOOKUP(MIN(E11:E66),E11:F66,1,FALSE)</f>
        <v>0.64481740892260575</v>
      </c>
      <c r="O10" s="66" cm="1">
        <f t="array" aca="1" ref="O10" ca="1">INDIRECT(ADDRESS(MATCH(N10,E11:E66,0) + 10,1,4))</f>
        <v>2</v>
      </c>
      <c r="P10" s="66" cm="1">
        <f t="array" aca="1" ref="P10" ca="1">INDIRECT(ADDRESS(MATCH(N10,E11:E66,0) + 10,2,4))</f>
        <v>37.699111843077517</v>
      </c>
      <c r="Q10" s="66" cm="1">
        <f t="array" aca="1" ref="Q10" ca="1">INDIRECT(ADDRESS(MATCH(N10,E11:E66,0) + 10,3,4))</f>
        <v>67.044182591077387</v>
      </c>
      <c r="R10" s="66" cm="1">
        <f t="array" aca="1" ref="R10" ca="1">INDIRECT(ADDRESS(MATCH(N10,E11:E66,0) + 10,4,4))</f>
        <v>67.688999999999993</v>
      </c>
      <c r="V10" s="65">
        <f ca="1">VLOOKUP(MIN(S11:S45),S11:S45,1,FALSE)</f>
        <v>2.5523580535349311E-2</v>
      </c>
      <c r="W10" s="83" cm="1">
        <f t="array" aca="1" ref="W10" ca="1">INDIRECT(ADDRESS(MATCH(V10,S11:S45,0) + 10,15,4))</f>
        <v>2.0099999999999998</v>
      </c>
      <c r="X10" s="83" cm="1">
        <f t="array" aca="1" ref="X10" ca="1">INDIRECT(ADDRESS(MATCH(V10,S11:S45,0) + 10,16,4))</f>
        <v>37.887607402292907</v>
      </c>
      <c r="Y10" s="83" cm="1">
        <f t="array" aca="1" ref="Y10" ca="1">INDIRECT(ADDRESS(MATCH(V10,S11:S45,0) + 10,17,4))</f>
        <v>67.714523580535342</v>
      </c>
      <c r="Z10" s="83" cm="1">
        <f t="array" aca="1" ref="Z10" ca="1">INDIRECT(ADDRESS(MATCH(V10,S11:S45,0) + 10,18,4))</f>
        <v>67.688999999999993</v>
      </c>
      <c r="AD10" s="85">
        <f ca="1">VLOOKUP(MIN(AA11:AA45),AA11:AA45,1,FALSE)</f>
        <v>2.5523580535349311E-2</v>
      </c>
      <c r="AE10" s="83" cm="1">
        <f t="array" aca="1" ref="AE10" ca="1">INDIRECT(ADDRESS(MATCH(AD10,AA11:AA45,0) + 10,COLUMN(W10),4))</f>
        <v>2.0099999999999998</v>
      </c>
      <c r="AF10" s="84"/>
      <c r="AG10" s="84"/>
      <c r="AH10" s="84"/>
      <c r="AL10" s="85">
        <f ca="1">VLOOKUP(MIN(AI11:AI45),AI11:AI45,1,FALSE)</f>
        <v>1.3540819829813699E-3</v>
      </c>
      <c r="AM10" s="86" cm="1">
        <f t="array" aca="1" ref="AM10" ca="1">INDIRECT(ADDRESS(MATCH(AL10,AI11:AI45,0) + 10,COLUMN(AE10),4))</f>
        <v>2.0095999999999989</v>
      </c>
      <c r="AN10" s="86" cm="1">
        <f t="array" aca="1" ref="AN10" ca="1">INDIRECT(ADDRESS(MATCH(AL10,AI11:AI45,0) + 10,COLUMN(AF10),4))</f>
        <v>37.88006757992428</v>
      </c>
      <c r="AO10" s="86" cm="1">
        <f t="array" aca="1" ref="AO10" ca="1">INDIRECT(ADDRESS(MATCH(AL10,AI11:AI45,0) + 10,COLUMN(AG10),4))</f>
        <v>67.687645918017012</v>
      </c>
      <c r="AP10" s="86" cm="1">
        <f t="array" aca="1" ref="AP10" ca="1">INDIRECT(ADDRESS(MATCH(AL10,AI11:AI45,0) + 10,COLUMN(AH10),4))</f>
        <v>67.688999999999993</v>
      </c>
      <c r="AQ10" cm="1">
        <f t="array" aca="1" ref="AQ10" ca="1">INDIRECT(ADDRESS(MATCH(AL10,AI11:AI45,0) + 10,COLUMN(AJ10),4))</f>
        <v>0</v>
      </c>
    </row>
    <row r="11" spans="1:43" x14ac:dyDescent="0.75">
      <c r="A11" s="19">
        <v>0</v>
      </c>
      <c r="B11" s="32">
        <f t="shared" ref="B11:B42" si="0">A11*PI()*($F$2/2000)^2*60*1000</f>
        <v>0</v>
      </c>
      <c r="C11" s="33">
        <f>($F$3*($B$2/($F$2/1000)*($B$4*A11^2/2)+$F$4*$B$4*A11^2/2+$F$5*A11))/1000</f>
        <v>0</v>
      </c>
      <c r="D11" s="32">
        <f>$B$4*$B$5*$B$3/1000</f>
        <v>67.688999999999993</v>
      </c>
      <c r="E11" s="6">
        <f>ABS(C11-D11)</f>
        <v>67.688999999999993</v>
      </c>
      <c r="F11">
        <f t="shared" ref="F11:F42" si="1">ROW(F11) - 10</f>
        <v>1</v>
      </c>
      <c r="O11">
        <f ca="1">O12 - $O$9</f>
        <v>1.8599999999999999</v>
      </c>
      <c r="P11" s="32">
        <f ca="1">O11*PI()*($F$2/2000)^2*60*1000</f>
        <v>35.060174014062092</v>
      </c>
      <c r="Q11" s="33">
        <f t="shared" ref="Q11:Q45" ca="1" si="2">($F$3*($B$2/($F$2/1000)*($B$4*O11^2/2)+$F$4*$B$4*O11^2/2+$F$5*O11))/1000</f>
        <v>58.009534191728136</v>
      </c>
      <c r="R11" s="32">
        <f t="shared" ref="R11:R45" si="3">$B$4*$B$5*$B$3/1000</f>
        <v>67.688999999999993</v>
      </c>
      <c r="S11" s="6">
        <f ca="1">ABS(Q11 - R11)</f>
        <v>9.679465808271857</v>
      </c>
      <c r="W11">
        <f t="shared" ref="W11:W24" ca="1" si="4">W12 - W$9</f>
        <v>1.9960000000000013</v>
      </c>
      <c r="X11" s="32">
        <f t="shared" ref="X11:X45" ca="1" si="5">W11*PI()*($F$2/2000)^2*60*1000</f>
        <v>37.623713619391388</v>
      </c>
      <c r="Y11" s="33">
        <f t="shared" ref="Y11:Y45" ca="1" si="6">($F$3*($B$2/($F$2/1000)*($B$4*W11^2/2)+$F$4*$B$4*W11^2/2+$F$5*W11))/1000</f>
        <v>66.776979863169117</v>
      </c>
      <c r="Z11" s="32">
        <f t="shared" ref="Z11:Z45" si="7">$B$4*$B$5*$B$3/1000</f>
        <v>67.688999999999993</v>
      </c>
      <c r="AA11" s="6">
        <f t="shared" ref="AA11:AA45" ca="1" si="8">ABS(Y11 - Z11)</f>
        <v>0.91202013683087557</v>
      </c>
      <c r="AE11">
        <f t="shared" ref="AE11:AE24" ca="1" si="9">AE12 - AE$9</f>
        <v>2.0085999999999968</v>
      </c>
      <c r="AF11" s="32">
        <f t="shared" ref="AF11:AF45" ca="1" si="10">AE11*PI()*($F$2/2000)^2*60*1000</f>
        <v>37.861218024002689</v>
      </c>
      <c r="AG11" s="33">
        <f t="shared" ref="AG11:AG45" ca="1" si="11">($F$3*($B$2/($F$2/1000)*($B$4*AE11^2/2)+$F$4*$B$4*AE11^2/2+$F$5*AE11))/1000</f>
        <v>67.620475103417945</v>
      </c>
      <c r="AH11" s="32">
        <f t="shared" ref="AH11:AH45" si="12">$B$4*$B$5*$B$3/1000</f>
        <v>67.688999999999993</v>
      </c>
      <c r="AI11" s="6">
        <f t="shared" ref="AI11:AI45" ca="1" si="13">ABS(AG11 - AH11)</f>
        <v>6.8524896582047745E-2</v>
      </c>
      <c r="AL11" s="87" t="s">
        <v>187</v>
      </c>
    </row>
    <row r="12" spans="1:43" x14ac:dyDescent="0.75">
      <c r="A12" s="19">
        <v>0.1</v>
      </c>
      <c r="B12" s="32">
        <f>A12*PI()*($F$2/2000)^2*60*1000</f>
        <v>1.8849555921538761</v>
      </c>
      <c r="C12" s="33">
        <f t="shared" ref="C12:C66" si="14">($F$3*($B$2/($F$2/1000)*($B$4*A12^2/2)+$F$4*$B$4*A12^2/2+$F$5*A12))/1000</f>
        <v>0.18440741137019354</v>
      </c>
      <c r="D12" s="32">
        <f t="shared" ref="D12:D66" si="15">$B$4*$B$5*$B$3/1000</f>
        <v>67.688999999999993</v>
      </c>
      <c r="E12" s="6">
        <f t="shared" ref="E12:E42" si="16">ABS(C12-D12)</f>
        <v>67.504592588629805</v>
      </c>
      <c r="F12">
        <f t="shared" si="1"/>
        <v>2</v>
      </c>
      <c r="O12">
        <f t="shared" ref="O12:O23" ca="1" si="17">O13 - $O$9</f>
        <v>1.8699999999999999</v>
      </c>
      <c r="P12" s="32">
        <f ca="1">O12*PI()*($F$2/2000)^2*60*1000</f>
        <v>35.248669573277475</v>
      </c>
      <c r="Q12" s="33">
        <f t="shared" ca="1" si="2"/>
        <v>58.633191787444453</v>
      </c>
      <c r="R12" s="32">
        <f t="shared" si="3"/>
        <v>67.688999999999993</v>
      </c>
      <c r="S12" s="6">
        <f t="shared" ref="S12:S45" ca="1" si="18">ABS(Q12 - R12)</f>
        <v>9.0558082125555401</v>
      </c>
      <c r="W12">
        <f t="shared" ca="1" si="4"/>
        <v>1.9970000000000012</v>
      </c>
      <c r="X12" s="32">
        <f t="shared" ca="1" si="5"/>
        <v>37.64256317531293</v>
      </c>
      <c r="Y12" s="33">
        <f t="shared" ca="1" si="6"/>
        <v>66.843730527224338</v>
      </c>
      <c r="Z12" s="32">
        <f t="shared" si="7"/>
        <v>67.688999999999993</v>
      </c>
      <c r="AA12" s="6">
        <f t="shared" ca="1" si="8"/>
        <v>0.84526947277565512</v>
      </c>
      <c r="AE12">
        <f t="shared" ca="1" si="9"/>
        <v>2.008699999999997</v>
      </c>
      <c r="AF12" s="32">
        <f t="shared" ca="1" si="10"/>
        <v>37.863102979594849</v>
      </c>
      <c r="AG12" s="33">
        <f t="shared" ca="1" si="11"/>
        <v>67.627190684340192</v>
      </c>
      <c r="AH12" s="32">
        <f t="shared" si="12"/>
        <v>67.688999999999993</v>
      </c>
      <c r="AI12" s="6">
        <f t="shared" ca="1" si="13"/>
        <v>6.1809315659800745E-2</v>
      </c>
    </row>
    <row r="13" spans="1:43" x14ac:dyDescent="0.75">
      <c r="A13" s="19">
        <v>0.2</v>
      </c>
      <c r="B13" s="32">
        <f t="shared" si="0"/>
        <v>3.7699111843077522</v>
      </c>
      <c r="C13" s="33">
        <f>($F$3*($B$2/($F$2/1000)*($B$4*A13^2/2)+$F$4*$B$4*A13^2/2+$F$5*A13))/1000</f>
        <v>0.70226763518077406</v>
      </c>
      <c r="D13" s="32">
        <f t="shared" si="15"/>
        <v>67.688999999999993</v>
      </c>
      <c r="E13" s="6">
        <f t="shared" si="16"/>
        <v>66.986732364819218</v>
      </c>
      <c r="F13">
        <f t="shared" si="1"/>
        <v>3</v>
      </c>
      <c r="O13">
        <f t="shared" ca="1" si="17"/>
        <v>1.88</v>
      </c>
      <c r="P13" s="32">
        <f t="shared" ref="P13:P45" ca="1" si="19">O13*PI()*($F$2/2000)^2*60*1000</f>
        <v>35.437165132492865</v>
      </c>
      <c r="Q13" s="33">
        <f t="shared" ca="1" si="2"/>
        <v>59.260183911285168</v>
      </c>
      <c r="R13" s="32">
        <f t="shared" si="3"/>
        <v>67.688999999999993</v>
      </c>
      <c r="S13" s="6">
        <f t="shared" ca="1" si="18"/>
        <v>8.4288160887148251</v>
      </c>
      <c r="W13">
        <f t="shared" ca="1" si="4"/>
        <v>1.9980000000000011</v>
      </c>
      <c r="X13" s="32">
        <f t="shared" ca="1" si="5"/>
        <v>37.661412731234464</v>
      </c>
      <c r="Y13" s="33">
        <f t="shared" ca="1" si="6"/>
        <v>66.910514536560783</v>
      </c>
      <c r="Z13" s="32">
        <f t="shared" si="7"/>
        <v>67.688999999999993</v>
      </c>
      <c r="AA13" s="6">
        <f t="shared" ca="1" si="8"/>
        <v>0.77848546343921043</v>
      </c>
      <c r="AE13">
        <f t="shared" ca="1" si="9"/>
        <v>2.0087999999999973</v>
      </c>
      <c r="AF13" s="32">
        <f t="shared" ca="1" si="10"/>
        <v>37.864987935187003</v>
      </c>
      <c r="AG13" s="33">
        <f t="shared" ca="1" si="11"/>
        <v>67.633906598715257</v>
      </c>
      <c r="AH13" s="32">
        <f t="shared" si="12"/>
        <v>67.688999999999993</v>
      </c>
      <c r="AI13" s="6">
        <f t="shared" ca="1" si="13"/>
        <v>5.5093401284736387E-2</v>
      </c>
    </row>
    <row r="14" spans="1:43" x14ac:dyDescent="0.75">
      <c r="A14" s="19">
        <v>0.3</v>
      </c>
      <c r="B14" s="32">
        <f t="shared" si="0"/>
        <v>5.6548667764616285</v>
      </c>
      <c r="C14" s="33">
        <f>($F$3*($B$2/($F$2/1000)*($B$4*A14^2/2)+$F$4*$B$4*A14^2/2+$F$5*A14))/1000</f>
        <v>1.5535806714317415</v>
      </c>
      <c r="D14" s="32">
        <f>$B$4*$B$5*$B$3/1000</f>
        <v>67.688999999999993</v>
      </c>
      <c r="E14" s="6">
        <f t="shared" si="16"/>
        <v>66.135419328568247</v>
      </c>
      <c r="F14">
        <f t="shared" si="1"/>
        <v>4</v>
      </c>
      <c r="O14">
        <f t="shared" ca="1" si="17"/>
        <v>1.89</v>
      </c>
      <c r="P14" s="32">
        <f t="shared" ca="1" si="19"/>
        <v>35.625660691708248</v>
      </c>
      <c r="Q14" s="33">
        <f t="shared" ca="1" si="2"/>
        <v>59.890510563250317</v>
      </c>
      <c r="R14" s="32">
        <f t="shared" si="3"/>
        <v>67.688999999999993</v>
      </c>
      <c r="S14" s="6">
        <f t="shared" ca="1" si="18"/>
        <v>7.7984894367496764</v>
      </c>
      <c r="W14">
        <f t="shared" ca="1" si="4"/>
        <v>1.999000000000001</v>
      </c>
      <c r="X14" s="32">
        <f t="shared" ca="1" si="5"/>
        <v>37.680262287155998</v>
      </c>
      <c r="Y14" s="33">
        <f t="shared" ca="1" si="6"/>
        <v>66.977331891178508</v>
      </c>
      <c r="Z14" s="32">
        <f t="shared" si="7"/>
        <v>67.688999999999993</v>
      </c>
      <c r="AA14" s="6">
        <f t="shared" ca="1" si="8"/>
        <v>0.71166810882148468</v>
      </c>
      <c r="AE14">
        <f t="shared" ca="1" si="9"/>
        <v>2.0088999999999975</v>
      </c>
      <c r="AF14" s="32">
        <f t="shared" ca="1" si="10"/>
        <v>37.86687289077917</v>
      </c>
      <c r="AG14" s="33">
        <f t="shared" ca="1" si="11"/>
        <v>67.640622846543138</v>
      </c>
      <c r="AH14" s="32">
        <f t="shared" si="12"/>
        <v>67.688999999999993</v>
      </c>
      <c r="AI14" s="6">
        <f t="shared" ca="1" si="13"/>
        <v>4.8377153456854671E-2</v>
      </c>
    </row>
    <row r="15" spans="1:43" x14ac:dyDescent="0.75">
      <c r="A15" s="19">
        <v>0.4</v>
      </c>
      <c r="B15" s="32">
        <f t="shared" si="0"/>
        <v>7.5398223686155044</v>
      </c>
      <c r="C15" s="33">
        <f>($F$3*($B$2/($F$2/1000)*($B$4*A15^2/2)+$F$4*$B$4*A15^2/2+$F$5*A15))/1000</f>
        <v>2.7383465201230961</v>
      </c>
      <c r="D15" s="32">
        <f t="shared" si="15"/>
        <v>67.688999999999993</v>
      </c>
      <c r="E15" s="6">
        <f t="shared" si="16"/>
        <v>64.950653479876891</v>
      </c>
      <c r="F15">
        <f t="shared" si="1"/>
        <v>5</v>
      </c>
      <c r="O15">
        <f t="shared" ca="1" si="17"/>
        <v>1.9</v>
      </c>
      <c r="P15" s="32">
        <f t="shared" ca="1" si="19"/>
        <v>35.814156250923645</v>
      </c>
      <c r="Q15" s="33">
        <f t="shared" ca="1" si="2"/>
        <v>60.524171743339849</v>
      </c>
      <c r="R15" s="32">
        <f t="shared" si="3"/>
        <v>67.688999999999993</v>
      </c>
      <c r="S15" s="6">
        <f t="shared" ca="1" si="18"/>
        <v>7.1648282566601438</v>
      </c>
      <c r="W15">
        <f t="shared" ca="1" si="4"/>
        <v>2.0000000000000009</v>
      </c>
      <c r="X15" s="32">
        <f t="shared" ca="1" si="5"/>
        <v>37.699111843077539</v>
      </c>
      <c r="Y15" s="33">
        <f t="shared" ca="1" si="6"/>
        <v>67.044182591077444</v>
      </c>
      <c r="Z15" s="32">
        <f t="shared" si="7"/>
        <v>67.688999999999993</v>
      </c>
      <c r="AA15" s="6">
        <f t="shared" ca="1" si="8"/>
        <v>0.64481740892254891</v>
      </c>
      <c r="AE15">
        <f t="shared" ca="1" si="9"/>
        <v>2.0089999999999977</v>
      </c>
      <c r="AF15" s="32">
        <f t="shared" ca="1" si="10"/>
        <v>37.868757846371324</v>
      </c>
      <c r="AG15" s="33">
        <f t="shared" ca="1" si="11"/>
        <v>67.647339427823809</v>
      </c>
      <c r="AH15" s="32">
        <f t="shared" si="12"/>
        <v>67.688999999999993</v>
      </c>
      <c r="AI15" s="6">
        <f t="shared" ca="1" si="13"/>
        <v>4.1660572176184019E-2</v>
      </c>
    </row>
    <row r="16" spans="1:43" x14ac:dyDescent="0.75">
      <c r="A16" s="19">
        <v>0.5</v>
      </c>
      <c r="B16" s="32">
        <f t="shared" si="0"/>
        <v>9.4247779607693793</v>
      </c>
      <c r="C16" s="33">
        <f t="shared" si="14"/>
        <v>4.2565651812548371</v>
      </c>
      <c r="D16" s="32">
        <f t="shared" si="15"/>
        <v>67.688999999999993</v>
      </c>
      <c r="E16" s="6">
        <f t="shared" si="16"/>
        <v>63.432434818745158</v>
      </c>
      <c r="F16">
        <f t="shared" si="1"/>
        <v>6</v>
      </c>
      <c r="O16">
        <f t="shared" ca="1" si="17"/>
        <v>1.91</v>
      </c>
      <c r="P16" s="32">
        <f t="shared" ca="1" si="19"/>
        <v>36.002651810139028</v>
      </c>
      <c r="Q16" s="33">
        <f t="shared" ca="1" si="2"/>
        <v>61.16116745155378</v>
      </c>
      <c r="R16" s="32">
        <f t="shared" si="3"/>
        <v>67.688999999999993</v>
      </c>
      <c r="S16" s="6">
        <f t="shared" ca="1" si="18"/>
        <v>6.527832548446213</v>
      </c>
      <c r="W16">
        <f t="shared" ca="1" si="4"/>
        <v>2.0010000000000008</v>
      </c>
      <c r="X16" s="32">
        <f t="shared" ca="1" si="5"/>
        <v>37.717961398999073</v>
      </c>
      <c r="Y16" s="33">
        <f t="shared" ca="1" si="6"/>
        <v>67.111066636257661</v>
      </c>
      <c r="Z16" s="32">
        <f t="shared" si="7"/>
        <v>67.688999999999993</v>
      </c>
      <c r="AA16" s="6">
        <f t="shared" ca="1" si="8"/>
        <v>0.57793336374233206</v>
      </c>
      <c r="AE16">
        <f t="shared" ca="1" si="9"/>
        <v>2.0090999999999979</v>
      </c>
      <c r="AF16" s="32">
        <f t="shared" ca="1" si="10"/>
        <v>37.870642801963484</v>
      </c>
      <c r="AG16" s="33">
        <f t="shared" ca="1" si="11"/>
        <v>67.654056342557325</v>
      </c>
      <c r="AH16" s="32">
        <f t="shared" si="12"/>
        <v>67.688999999999993</v>
      </c>
      <c r="AI16" s="6">
        <f t="shared" ca="1" si="13"/>
        <v>3.4943657442667586E-2</v>
      </c>
    </row>
    <row r="17" spans="1:35" x14ac:dyDescent="0.75">
      <c r="A17" s="19">
        <v>0.6</v>
      </c>
      <c r="B17" s="32">
        <f t="shared" si="0"/>
        <v>11.309733552923257</v>
      </c>
      <c r="C17" s="33">
        <f t="shared" si="14"/>
        <v>6.1082366548269658</v>
      </c>
      <c r="D17" s="32">
        <f t="shared" si="15"/>
        <v>67.688999999999993</v>
      </c>
      <c r="E17" s="6">
        <f t="shared" si="16"/>
        <v>61.580763345173025</v>
      </c>
      <c r="F17">
        <f t="shared" si="1"/>
        <v>7</v>
      </c>
      <c r="O17">
        <f t="shared" ca="1" si="17"/>
        <v>1.92</v>
      </c>
      <c r="P17" s="32">
        <f t="shared" ca="1" si="19"/>
        <v>36.191147369354418</v>
      </c>
      <c r="Q17" s="33">
        <f t="shared" ca="1" si="2"/>
        <v>61.80149768789213</v>
      </c>
      <c r="R17" s="32">
        <f t="shared" si="3"/>
        <v>67.688999999999993</v>
      </c>
      <c r="S17" s="6">
        <f t="shared" ca="1" si="18"/>
        <v>5.8875023121078627</v>
      </c>
      <c r="W17">
        <f t="shared" ca="1" si="4"/>
        <v>2.0020000000000007</v>
      </c>
      <c r="X17" s="32">
        <f t="shared" ca="1" si="5"/>
        <v>37.736810954920614</v>
      </c>
      <c r="Y17" s="33">
        <f t="shared" ca="1" si="6"/>
        <v>67.177984026719074</v>
      </c>
      <c r="Z17" s="32">
        <f t="shared" si="7"/>
        <v>67.688999999999993</v>
      </c>
      <c r="AA17" s="6">
        <f t="shared" ca="1" si="8"/>
        <v>0.51101597328091941</v>
      </c>
      <c r="AE17">
        <f t="shared" ca="1" si="9"/>
        <v>2.0091999999999981</v>
      </c>
      <c r="AF17" s="32">
        <f t="shared" ca="1" si="10"/>
        <v>37.872527757555638</v>
      </c>
      <c r="AG17" s="33">
        <f t="shared" ca="1" si="11"/>
        <v>67.660773590743617</v>
      </c>
      <c r="AH17" s="32">
        <f t="shared" si="12"/>
        <v>67.688999999999993</v>
      </c>
      <c r="AI17" s="6">
        <f t="shared" ca="1" si="13"/>
        <v>2.8226409256376428E-2</v>
      </c>
    </row>
    <row r="18" spans="1:35" x14ac:dyDescent="0.75">
      <c r="A18" s="19">
        <v>0.7</v>
      </c>
      <c r="B18" s="32">
        <f t="shared" si="0"/>
        <v>13.194689145077131</v>
      </c>
      <c r="C18" s="33">
        <f t="shared" si="14"/>
        <v>8.2933609408394791</v>
      </c>
      <c r="D18" s="32">
        <f t="shared" si="15"/>
        <v>67.688999999999993</v>
      </c>
      <c r="E18" s="6">
        <f t="shared" si="16"/>
        <v>59.395639059160516</v>
      </c>
      <c r="F18">
        <f t="shared" si="1"/>
        <v>8</v>
      </c>
      <c r="O18">
        <f t="shared" ca="1" si="17"/>
        <v>1.93</v>
      </c>
      <c r="P18" s="32">
        <f t="shared" ca="1" si="19"/>
        <v>36.379642928569801</v>
      </c>
      <c r="Q18" s="33">
        <f t="shared" ca="1" si="2"/>
        <v>62.445162452354865</v>
      </c>
      <c r="R18" s="32">
        <f t="shared" si="3"/>
        <v>67.688999999999993</v>
      </c>
      <c r="S18" s="6">
        <f t="shared" ca="1" si="18"/>
        <v>5.2438375476451284</v>
      </c>
      <c r="W18">
        <f t="shared" ca="1" si="4"/>
        <v>2.0030000000000006</v>
      </c>
      <c r="X18" s="32">
        <f t="shared" ca="1" si="5"/>
        <v>37.755660510842148</v>
      </c>
      <c r="Y18" s="33">
        <f t="shared" ca="1" si="6"/>
        <v>67.244934762461767</v>
      </c>
      <c r="Z18" s="32">
        <f t="shared" si="7"/>
        <v>67.688999999999993</v>
      </c>
      <c r="AA18" s="6">
        <f t="shared" ca="1" si="8"/>
        <v>0.44406523753822569</v>
      </c>
      <c r="AE18">
        <f t="shared" ca="1" si="9"/>
        <v>2.0092999999999983</v>
      </c>
      <c r="AF18" s="32">
        <f t="shared" ca="1" si="10"/>
        <v>37.874412713147791</v>
      </c>
      <c r="AG18" s="33">
        <f t="shared" ca="1" si="11"/>
        <v>67.667491172382753</v>
      </c>
      <c r="AH18" s="32">
        <f t="shared" si="12"/>
        <v>67.688999999999993</v>
      </c>
      <c r="AI18" s="6">
        <f t="shared" ca="1" si="13"/>
        <v>2.150882761723949E-2</v>
      </c>
    </row>
    <row r="19" spans="1:35" x14ac:dyDescent="0.75">
      <c r="A19" s="19">
        <v>0.8</v>
      </c>
      <c r="B19" s="32">
        <f t="shared" si="0"/>
        <v>15.079644737231009</v>
      </c>
      <c r="C19" s="33">
        <f t="shared" si="14"/>
        <v>10.811938039292384</v>
      </c>
      <c r="D19" s="32">
        <f t="shared" si="15"/>
        <v>67.688999999999993</v>
      </c>
      <c r="E19" s="6">
        <f t="shared" si="16"/>
        <v>56.877061960707607</v>
      </c>
      <c r="F19">
        <f t="shared" si="1"/>
        <v>9</v>
      </c>
      <c r="O19">
        <f t="shared" ca="1" si="17"/>
        <v>1.94</v>
      </c>
      <c r="P19" s="32">
        <f t="shared" ca="1" si="19"/>
        <v>36.568138487785198</v>
      </c>
      <c r="Q19" s="33">
        <f t="shared" ca="1" si="2"/>
        <v>63.092161744942018</v>
      </c>
      <c r="R19" s="32">
        <f t="shared" si="3"/>
        <v>67.688999999999993</v>
      </c>
      <c r="S19" s="6">
        <f t="shared" ca="1" si="18"/>
        <v>4.5968382550579747</v>
      </c>
      <c r="W19">
        <f t="shared" ca="1" si="4"/>
        <v>2.0040000000000004</v>
      </c>
      <c r="X19" s="32">
        <f t="shared" ca="1" si="5"/>
        <v>37.774510066763682</v>
      </c>
      <c r="Y19" s="33">
        <f t="shared" ca="1" si="6"/>
        <v>67.311918843485685</v>
      </c>
      <c r="Z19" s="32">
        <f t="shared" si="7"/>
        <v>67.688999999999993</v>
      </c>
      <c r="AA19" s="6">
        <f t="shared" ca="1" si="8"/>
        <v>0.37708115651430774</v>
      </c>
      <c r="AE19">
        <f t="shared" ca="1" si="9"/>
        <v>2.0093999999999985</v>
      </c>
      <c r="AF19" s="32">
        <f t="shared" ca="1" si="10"/>
        <v>37.876297668739959</v>
      </c>
      <c r="AG19" s="33">
        <f t="shared" ca="1" si="11"/>
        <v>67.674209087474694</v>
      </c>
      <c r="AH19" s="32">
        <f t="shared" si="12"/>
        <v>67.688999999999993</v>
      </c>
      <c r="AI19" s="6">
        <f t="shared" ca="1" si="13"/>
        <v>1.4790912525299404E-2</v>
      </c>
    </row>
    <row r="20" spans="1:35" x14ac:dyDescent="0.75">
      <c r="A20" s="19">
        <v>0.9</v>
      </c>
      <c r="B20" s="32">
        <f t="shared" si="0"/>
        <v>16.964600329384883</v>
      </c>
      <c r="C20" s="33">
        <f t="shared" si="14"/>
        <v>13.663967950185672</v>
      </c>
      <c r="D20" s="32">
        <f t="shared" si="15"/>
        <v>67.688999999999993</v>
      </c>
      <c r="E20" s="6">
        <f t="shared" si="16"/>
        <v>54.025032049814321</v>
      </c>
      <c r="F20">
        <f t="shared" si="1"/>
        <v>10</v>
      </c>
      <c r="O20">
        <f t="shared" ca="1" si="17"/>
        <v>1.95</v>
      </c>
      <c r="P20" s="32">
        <f t="shared" ca="1" si="19"/>
        <v>36.756634047000581</v>
      </c>
      <c r="Q20" s="33">
        <f t="shared" ca="1" si="2"/>
        <v>63.742495565653563</v>
      </c>
      <c r="R20" s="32">
        <f t="shared" si="3"/>
        <v>67.688999999999993</v>
      </c>
      <c r="S20" s="6">
        <f t="shared" ca="1" si="18"/>
        <v>3.9465044343464299</v>
      </c>
      <c r="W20">
        <f t="shared" ca="1" si="4"/>
        <v>2.0050000000000003</v>
      </c>
      <c r="X20" s="32">
        <f t="shared" ca="1" si="5"/>
        <v>37.793359622685216</v>
      </c>
      <c r="Y20" s="33">
        <f t="shared" ca="1" si="6"/>
        <v>67.378936269790856</v>
      </c>
      <c r="Z20" s="32">
        <f t="shared" si="7"/>
        <v>67.688999999999993</v>
      </c>
      <c r="AA20" s="6">
        <f t="shared" ca="1" si="8"/>
        <v>0.31006373020913713</v>
      </c>
      <c r="AE20">
        <f t="shared" ca="1" si="9"/>
        <v>2.0094999999999987</v>
      </c>
      <c r="AF20" s="32">
        <f t="shared" ca="1" si="10"/>
        <v>37.878182624332119</v>
      </c>
      <c r="AG20" s="33">
        <f t="shared" ca="1" si="11"/>
        <v>67.680927336019423</v>
      </c>
      <c r="AH20" s="32">
        <f t="shared" si="12"/>
        <v>67.688999999999993</v>
      </c>
      <c r="AI20" s="6">
        <f t="shared" ca="1" si="13"/>
        <v>8.0726639805703826E-3</v>
      </c>
    </row>
    <row r="21" spans="1:35" x14ac:dyDescent="0.75">
      <c r="A21" s="19">
        <v>1</v>
      </c>
      <c r="B21" s="32">
        <f t="shared" si="0"/>
        <v>18.849555921538759</v>
      </c>
      <c r="C21" s="33">
        <f t="shared" si="14"/>
        <v>16.849450673519346</v>
      </c>
      <c r="D21" s="32">
        <f t="shared" si="15"/>
        <v>67.688999999999993</v>
      </c>
      <c r="E21" s="6">
        <f t="shared" si="16"/>
        <v>50.83954932648065</v>
      </c>
      <c r="F21">
        <f t="shared" si="1"/>
        <v>11</v>
      </c>
      <c r="O21">
        <f t="shared" ca="1" si="17"/>
        <v>1.96</v>
      </c>
      <c r="P21" s="32">
        <f t="shared" ca="1" si="19"/>
        <v>36.945129606215964</v>
      </c>
      <c r="Q21" s="33">
        <f t="shared" ca="1" si="2"/>
        <v>64.39616391448952</v>
      </c>
      <c r="R21" s="32">
        <f t="shared" si="3"/>
        <v>67.688999999999993</v>
      </c>
      <c r="S21" s="6">
        <f t="shared" ca="1" si="18"/>
        <v>3.2928360855104728</v>
      </c>
      <c r="W21">
        <f t="shared" ca="1" si="4"/>
        <v>2.0060000000000002</v>
      </c>
      <c r="X21" s="32">
        <f t="shared" ca="1" si="5"/>
        <v>37.812209178606757</v>
      </c>
      <c r="Y21" s="33">
        <f t="shared" ca="1" si="6"/>
        <v>67.445987041377265</v>
      </c>
      <c r="Z21" s="32">
        <f t="shared" si="7"/>
        <v>67.688999999999993</v>
      </c>
      <c r="AA21" s="6">
        <f t="shared" ca="1" si="8"/>
        <v>0.24301295862272809</v>
      </c>
      <c r="AE21">
        <f t="shared" ca="1" si="9"/>
        <v>2.0095999999999989</v>
      </c>
      <c r="AF21" s="32">
        <f t="shared" ca="1" si="10"/>
        <v>37.88006757992428</v>
      </c>
      <c r="AG21" s="33">
        <f t="shared" ca="1" si="11"/>
        <v>67.687645918017012</v>
      </c>
      <c r="AH21" s="32">
        <f t="shared" si="12"/>
        <v>67.688999999999993</v>
      </c>
      <c r="AI21" s="6">
        <f t="shared" ca="1" si="13"/>
        <v>1.3540819829813699E-3</v>
      </c>
    </row>
    <row r="22" spans="1:35" x14ac:dyDescent="0.75">
      <c r="A22" s="19">
        <v>1.1000000000000001</v>
      </c>
      <c r="B22" s="32">
        <f t="shared" si="0"/>
        <v>20.734511513692638</v>
      </c>
      <c r="C22" s="33">
        <f t="shared" si="14"/>
        <v>20.368386209293416</v>
      </c>
      <c r="D22" s="32">
        <f t="shared" si="15"/>
        <v>67.688999999999993</v>
      </c>
      <c r="E22" s="6">
        <f t="shared" si="16"/>
        <v>47.320613790706574</v>
      </c>
      <c r="F22">
        <f t="shared" si="1"/>
        <v>12</v>
      </c>
      <c r="O22">
        <f t="shared" ca="1" si="17"/>
        <v>1.97</v>
      </c>
      <c r="P22" s="32">
        <f t="shared" ca="1" si="19"/>
        <v>37.133625165431361</v>
      </c>
      <c r="Q22" s="33">
        <f t="shared" ca="1" si="2"/>
        <v>65.053166791449883</v>
      </c>
      <c r="R22" s="32">
        <f t="shared" si="3"/>
        <v>67.688999999999993</v>
      </c>
      <c r="S22" s="6">
        <f t="shared" ca="1" si="18"/>
        <v>2.6358332085501104</v>
      </c>
      <c r="W22">
        <f t="shared" ca="1" si="4"/>
        <v>2.0070000000000001</v>
      </c>
      <c r="X22" s="32">
        <f t="shared" ca="1" si="5"/>
        <v>37.831058734528291</v>
      </c>
      <c r="Y22" s="33">
        <f t="shared" ca="1" si="6"/>
        <v>67.513071158244927</v>
      </c>
      <c r="Z22" s="32">
        <f t="shared" si="7"/>
        <v>67.688999999999993</v>
      </c>
      <c r="AA22" s="6">
        <f t="shared" ca="1" si="8"/>
        <v>0.1759288417550664</v>
      </c>
      <c r="AE22">
        <f t="shared" ca="1" si="9"/>
        <v>2.0096999999999992</v>
      </c>
      <c r="AF22" s="32">
        <f t="shared" ca="1" si="10"/>
        <v>37.881952535516426</v>
      </c>
      <c r="AG22" s="33">
        <f t="shared" ca="1" si="11"/>
        <v>67.694364833467361</v>
      </c>
      <c r="AH22" s="32">
        <f t="shared" si="12"/>
        <v>67.688999999999993</v>
      </c>
      <c r="AI22" s="6">
        <f t="shared" ca="1" si="13"/>
        <v>5.3648334673681575E-3</v>
      </c>
    </row>
    <row r="23" spans="1:35" x14ac:dyDescent="0.75">
      <c r="A23" s="19">
        <v>1.2</v>
      </c>
      <c r="B23" s="32">
        <f t="shared" si="0"/>
        <v>22.619467105846514</v>
      </c>
      <c r="C23" s="33">
        <f t="shared" si="14"/>
        <v>24.220774557507859</v>
      </c>
      <c r="D23" s="32">
        <f t="shared" si="15"/>
        <v>67.688999999999993</v>
      </c>
      <c r="E23" s="6">
        <f t="shared" si="16"/>
        <v>43.468225442492134</v>
      </c>
      <c r="F23">
        <f t="shared" si="1"/>
        <v>13</v>
      </c>
      <c r="O23">
        <f t="shared" ca="1" si="17"/>
        <v>1.98</v>
      </c>
      <c r="P23" s="32">
        <f t="shared" ca="1" si="19"/>
        <v>37.322120724646744</v>
      </c>
      <c r="Q23" s="33">
        <f t="shared" ca="1" si="2"/>
        <v>65.713504196534643</v>
      </c>
      <c r="R23" s="32">
        <f t="shared" si="3"/>
        <v>67.688999999999993</v>
      </c>
      <c r="S23" s="6">
        <f t="shared" ca="1" si="18"/>
        <v>1.9754958034653498</v>
      </c>
      <c r="W23">
        <f t="shared" ca="1" si="4"/>
        <v>2.008</v>
      </c>
      <c r="X23" s="32">
        <f t="shared" ca="1" si="5"/>
        <v>37.849908290449825</v>
      </c>
      <c r="Y23" s="33">
        <f t="shared" ca="1" si="6"/>
        <v>67.580188620393812</v>
      </c>
      <c r="Z23" s="32">
        <f t="shared" si="7"/>
        <v>67.688999999999993</v>
      </c>
      <c r="AA23" s="6">
        <f t="shared" ca="1" si="8"/>
        <v>0.10881137960618048</v>
      </c>
      <c r="AE23">
        <f t="shared" ca="1" si="9"/>
        <v>2.0097999999999994</v>
      </c>
      <c r="AF23" s="32">
        <f t="shared" ca="1" si="10"/>
        <v>37.883837491108586</v>
      </c>
      <c r="AG23" s="33">
        <f t="shared" ca="1" si="11"/>
        <v>67.701084082370542</v>
      </c>
      <c r="AH23" s="32">
        <f t="shared" si="12"/>
        <v>67.688999999999993</v>
      </c>
      <c r="AI23" s="6">
        <f t="shared" ca="1" si="13"/>
        <v>1.2084082370549254E-2</v>
      </c>
    </row>
    <row r="24" spans="1:35" x14ac:dyDescent="0.75">
      <c r="A24" s="19">
        <v>1.3</v>
      </c>
      <c r="B24" s="32">
        <f t="shared" si="0"/>
        <v>24.504422698000386</v>
      </c>
      <c r="C24" s="33">
        <f t="shared" si="14"/>
        <v>28.406615718162701</v>
      </c>
      <c r="D24" s="32">
        <f t="shared" si="15"/>
        <v>67.688999999999993</v>
      </c>
      <c r="E24" s="6">
        <f t="shared" si="16"/>
        <v>39.282384281837295</v>
      </c>
      <c r="F24">
        <f t="shared" si="1"/>
        <v>14</v>
      </c>
      <c r="O24">
        <f ca="1">O25 - O$9</f>
        <v>1.99</v>
      </c>
      <c r="P24" s="32">
        <f t="shared" ca="1" si="19"/>
        <v>37.510616283862134</v>
      </c>
      <c r="Q24" s="33">
        <f t="shared" ca="1" si="2"/>
        <v>66.37717612974383</v>
      </c>
      <c r="R24" s="32">
        <f t="shared" si="3"/>
        <v>67.688999999999993</v>
      </c>
      <c r="S24" s="6">
        <f t="shared" ca="1" si="18"/>
        <v>1.3118238702561626</v>
      </c>
      <c r="W24">
        <f t="shared" ca="1" si="4"/>
        <v>2.0089999999999999</v>
      </c>
      <c r="X24" s="32">
        <f t="shared" ca="1" si="5"/>
        <v>37.868757846371366</v>
      </c>
      <c r="Y24" s="33">
        <f t="shared" ca="1" si="6"/>
        <v>67.647339427823937</v>
      </c>
      <c r="Z24" s="32">
        <f t="shared" si="7"/>
        <v>67.688999999999993</v>
      </c>
      <c r="AA24" s="6">
        <f t="shared" ca="1" si="8"/>
        <v>4.1660572176056121E-2</v>
      </c>
      <c r="AE24">
        <f t="shared" ca="1" si="9"/>
        <v>2.0098999999999996</v>
      </c>
      <c r="AF24" s="32">
        <f t="shared" ca="1" si="10"/>
        <v>37.88572244670074</v>
      </c>
      <c r="AG24" s="33">
        <f t="shared" ca="1" si="11"/>
        <v>67.707803664726541</v>
      </c>
      <c r="AH24" s="32">
        <f t="shared" si="12"/>
        <v>67.688999999999993</v>
      </c>
      <c r="AI24" s="6">
        <f t="shared" ca="1" si="13"/>
        <v>1.8803664726547709E-2</v>
      </c>
    </row>
    <row r="25" spans="1:35" x14ac:dyDescent="0.75">
      <c r="A25" s="19">
        <v>1.4</v>
      </c>
      <c r="B25" s="32">
        <f t="shared" si="0"/>
        <v>26.389378290154262</v>
      </c>
      <c r="C25" s="33">
        <f t="shared" si="14"/>
        <v>32.925909691257921</v>
      </c>
      <c r="D25" s="32">
        <f t="shared" si="15"/>
        <v>67.688999999999993</v>
      </c>
      <c r="E25" s="6">
        <f t="shared" si="16"/>
        <v>34.763090308742072</v>
      </c>
      <c r="F25">
        <f t="shared" si="1"/>
        <v>15</v>
      </c>
      <c r="N25" s="82"/>
      <c r="O25" s="66">
        <f ca="1">O10</f>
        <v>2</v>
      </c>
      <c r="P25" s="32">
        <f t="shared" ca="1" si="19"/>
        <v>37.699111843077517</v>
      </c>
      <c r="Q25" s="33">
        <f t="shared" ca="1" si="2"/>
        <v>67.044182591077387</v>
      </c>
      <c r="R25" s="32">
        <f t="shared" si="3"/>
        <v>67.688999999999993</v>
      </c>
      <c r="S25" s="6">
        <f t="shared" ca="1" si="18"/>
        <v>0.64481740892260575</v>
      </c>
      <c r="W25" s="83">
        <f ca="1">W10</f>
        <v>2.0099999999999998</v>
      </c>
      <c r="X25" s="32">
        <f t="shared" ca="1" si="5"/>
        <v>37.887607402292907</v>
      </c>
      <c r="Y25" s="33">
        <f t="shared" ca="1" si="6"/>
        <v>67.714523580535342</v>
      </c>
      <c r="Z25" s="32">
        <f t="shared" si="7"/>
        <v>67.688999999999993</v>
      </c>
      <c r="AA25" s="6">
        <f t="shared" ca="1" si="8"/>
        <v>2.5523580535349311E-2</v>
      </c>
      <c r="AE25" s="86">
        <f ca="1">AE10</f>
        <v>2.0099999999999998</v>
      </c>
      <c r="AF25" s="32">
        <f t="shared" ca="1" si="10"/>
        <v>37.887607402292907</v>
      </c>
      <c r="AG25" s="33">
        <f t="shared" ca="1" si="11"/>
        <v>67.714523580535342</v>
      </c>
      <c r="AH25" s="32">
        <f t="shared" si="12"/>
        <v>67.688999999999993</v>
      </c>
      <c r="AI25" s="6">
        <f t="shared" ca="1" si="13"/>
        <v>2.5523580535349311E-2</v>
      </c>
    </row>
    <row r="26" spans="1:35" x14ac:dyDescent="0.75">
      <c r="A26" s="19">
        <v>1.5</v>
      </c>
      <c r="B26" s="32">
        <f t="shared" si="0"/>
        <v>28.274333882308138</v>
      </c>
      <c r="C26" s="33">
        <f t="shared" si="14"/>
        <v>37.778656476793536</v>
      </c>
      <c r="D26" s="32">
        <f t="shared" si="15"/>
        <v>67.688999999999993</v>
      </c>
      <c r="E26" s="6">
        <f t="shared" si="16"/>
        <v>29.910343523206457</v>
      </c>
      <c r="F26">
        <f t="shared" si="1"/>
        <v>16</v>
      </c>
      <c r="O26">
        <f ca="1">O25 + O$9</f>
        <v>2.0099999999999998</v>
      </c>
      <c r="P26" s="32">
        <f t="shared" ca="1" si="19"/>
        <v>37.887607402292907</v>
      </c>
      <c r="Q26" s="33">
        <f t="shared" ca="1" si="2"/>
        <v>67.714523580535342</v>
      </c>
      <c r="R26" s="32">
        <f t="shared" si="3"/>
        <v>67.688999999999993</v>
      </c>
      <c r="S26" s="6">
        <f t="shared" ca="1" si="18"/>
        <v>2.5523580535349311E-2</v>
      </c>
      <c r="W26">
        <f t="shared" ref="W26:W45" ca="1" si="20">W25 + W$9</f>
        <v>2.0109999999999997</v>
      </c>
      <c r="X26" s="32">
        <f t="shared" ca="1" si="5"/>
        <v>37.906456958214441</v>
      </c>
      <c r="Y26" s="33">
        <f t="shared" ca="1" si="6"/>
        <v>67.781741078527972</v>
      </c>
      <c r="Z26" s="32">
        <f t="shared" si="7"/>
        <v>67.688999999999993</v>
      </c>
      <c r="AA26" s="6">
        <f t="shared" ca="1" si="8"/>
        <v>9.2741078527978971E-2</v>
      </c>
      <c r="AE26">
        <f t="shared" ref="AE26:AE45" ca="1" si="21">AE25 + AE$9</f>
        <v>2.0101</v>
      </c>
      <c r="AF26" s="32">
        <f t="shared" ca="1" si="10"/>
        <v>37.889492357885061</v>
      </c>
      <c r="AG26" s="33">
        <f t="shared" ca="1" si="11"/>
        <v>67.721243829796975</v>
      </c>
      <c r="AH26" s="32">
        <f t="shared" si="12"/>
        <v>67.688999999999993</v>
      </c>
      <c r="AI26" s="6">
        <f t="shared" ca="1" si="13"/>
        <v>3.2243829796982482E-2</v>
      </c>
    </row>
    <row r="27" spans="1:35" x14ac:dyDescent="0.75">
      <c r="A27" s="19">
        <v>1.6</v>
      </c>
      <c r="B27" s="32">
        <f t="shared" si="0"/>
        <v>30.159289474462017</v>
      </c>
      <c r="C27" s="33">
        <f t="shared" si="14"/>
        <v>42.964856074769543</v>
      </c>
      <c r="D27" s="32">
        <f t="shared" si="15"/>
        <v>67.688999999999993</v>
      </c>
      <c r="E27" s="6">
        <f t="shared" si="16"/>
        <v>24.72414392523045</v>
      </c>
      <c r="F27">
        <f t="shared" si="1"/>
        <v>17</v>
      </c>
      <c r="O27">
        <f t="shared" ref="O27:O45" ca="1" si="22">O26 + $O$9</f>
        <v>2.0199999999999996</v>
      </c>
      <c r="P27" s="32">
        <f t="shared" ca="1" si="19"/>
        <v>38.076102961508283</v>
      </c>
      <c r="Q27" s="33">
        <f t="shared" ca="1" si="2"/>
        <v>68.388199098117724</v>
      </c>
      <c r="R27" s="32">
        <f t="shared" si="3"/>
        <v>67.688999999999993</v>
      </c>
      <c r="S27" s="6">
        <f t="shared" ca="1" si="18"/>
        <v>0.69919909811773095</v>
      </c>
      <c r="W27">
        <f t="shared" ca="1" si="20"/>
        <v>2.0119999999999996</v>
      </c>
      <c r="X27" s="32">
        <f t="shared" ca="1" si="5"/>
        <v>37.925306514135976</v>
      </c>
      <c r="Y27" s="33">
        <f t="shared" ca="1" si="6"/>
        <v>67.848991921801868</v>
      </c>
      <c r="Z27" s="32">
        <f t="shared" si="7"/>
        <v>67.688999999999993</v>
      </c>
      <c r="AA27" s="6">
        <f t="shared" ca="1" si="8"/>
        <v>0.15999192180187549</v>
      </c>
      <c r="AE27">
        <f t="shared" ca="1" si="21"/>
        <v>2.0102000000000002</v>
      </c>
      <c r="AF27" s="32">
        <f t="shared" ca="1" si="10"/>
        <v>37.891377313477221</v>
      </c>
      <c r="AG27" s="33">
        <f t="shared" ca="1" si="11"/>
        <v>67.727964412511412</v>
      </c>
      <c r="AH27" s="32">
        <f t="shared" si="12"/>
        <v>67.688999999999993</v>
      </c>
      <c r="AI27" s="6">
        <f t="shared" ca="1" si="13"/>
        <v>3.89644125114188E-2</v>
      </c>
    </row>
    <row r="28" spans="1:35" x14ac:dyDescent="0.75">
      <c r="A28" s="19">
        <v>1.7</v>
      </c>
      <c r="B28" s="32">
        <f t="shared" si="0"/>
        <v>32.044245066615893</v>
      </c>
      <c r="C28" s="33">
        <f t="shared" si="14"/>
        <v>48.484508485185906</v>
      </c>
      <c r="D28" s="32">
        <f t="shared" si="15"/>
        <v>67.688999999999993</v>
      </c>
      <c r="E28" s="6">
        <f t="shared" si="16"/>
        <v>19.204491514814087</v>
      </c>
      <c r="F28">
        <f t="shared" si="1"/>
        <v>18</v>
      </c>
      <c r="O28">
        <f t="shared" ca="1" si="22"/>
        <v>2.0299999999999994</v>
      </c>
      <c r="P28" s="32">
        <f t="shared" ca="1" si="19"/>
        <v>38.264598520723666</v>
      </c>
      <c r="Q28" s="33">
        <f t="shared" ca="1" si="2"/>
        <v>69.06520914382449</v>
      </c>
      <c r="R28" s="32">
        <f t="shared" si="3"/>
        <v>67.688999999999993</v>
      </c>
      <c r="S28" s="6">
        <f t="shared" ca="1" si="18"/>
        <v>1.3762091438244966</v>
      </c>
      <c r="W28">
        <f t="shared" ca="1" si="20"/>
        <v>2.0129999999999995</v>
      </c>
      <c r="X28" s="32">
        <f t="shared" ca="1" si="5"/>
        <v>37.944156070057517</v>
      </c>
      <c r="Y28" s="33">
        <f t="shared" ca="1" si="6"/>
        <v>67.916276110356975</v>
      </c>
      <c r="Z28" s="32">
        <f t="shared" si="7"/>
        <v>67.688999999999993</v>
      </c>
      <c r="AA28" s="6">
        <f t="shared" ca="1" si="8"/>
        <v>0.22727611035698203</v>
      </c>
      <c r="AE28">
        <f t="shared" ca="1" si="21"/>
        <v>2.0103000000000004</v>
      </c>
      <c r="AF28" s="32">
        <f t="shared" ca="1" si="10"/>
        <v>37.893262269069375</v>
      </c>
      <c r="AG28" s="33">
        <f t="shared" ca="1" si="11"/>
        <v>67.734685328678651</v>
      </c>
      <c r="AH28" s="32">
        <f t="shared" si="12"/>
        <v>67.688999999999993</v>
      </c>
      <c r="AI28" s="6">
        <f t="shared" ca="1" si="13"/>
        <v>4.5685328678658266E-2</v>
      </c>
    </row>
    <row r="29" spans="1:35" x14ac:dyDescent="0.75">
      <c r="A29" s="19">
        <v>1.8</v>
      </c>
      <c r="B29" s="32">
        <f t="shared" si="0"/>
        <v>33.929200658769766</v>
      </c>
      <c r="C29" s="33">
        <f t="shared" si="14"/>
        <v>54.337613708042696</v>
      </c>
      <c r="D29" s="32">
        <f t="shared" si="15"/>
        <v>67.688999999999993</v>
      </c>
      <c r="E29" s="6">
        <f t="shared" si="16"/>
        <v>13.351386291957297</v>
      </c>
      <c r="F29">
        <f t="shared" si="1"/>
        <v>19</v>
      </c>
      <c r="O29">
        <f t="shared" ca="1" si="22"/>
        <v>2.0399999999999991</v>
      </c>
      <c r="P29" s="32">
        <f t="shared" ca="1" si="19"/>
        <v>38.453094079939056</v>
      </c>
      <c r="Q29" s="33">
        <f t="shared" ca="1" si="2"/>
        <v>69.745553717655653</v>
      </c>
      <c r="R29" s="32">
        <f t="shared" si="3"/>
        <v>67.688999999999993</v>
      </c>
      <c r="S29" s="6">
        <f t="shared" ca="1" si="18"/>
        <v>2.0565537176556603</v>
      </c>
      <c r="W29">
        <f t="shared" ca="1" si="20"/>
        <v>2.0139999999999993</v>
      </c>
      <c r="X29" s="32">
        <f t="shared" ca="1" si="5"/>
        <v>37.963005625979058</v>
      </c>
      <c r="Y29" s="33">
        <f t="shared" ca="1" si="6"/>
        <v>67.983593644193348</v>
      </c>
      <c r="Z29" s="32">
        <f t="shared" si="7"/>
        <v>67.688999999999993</v>
      </c>
      <c r="AA29" s="6">
        <f t="shared" ca="1" si="8"/>
        <v>0.29459364419335543</v>
      </c>
      <c r="AE29">
        <f t="shared" ca="1" si="21"/>
        <v>2.0104000000000006</v>
      </c>
      <c r="AF29" s="32">
        <f t="shared" ca="1" si="10"/>
        <v>37.895147224661535</v>
      </c>
      <c r="AG29" s="33">
        <f t="shared" ca="1" si="11"/>
        <v>67.741406578298722</v>
      </c>
      <c r="AH29" s="32">
        <f t="shared" si="12"/>
        <v>67.688999999999993</v>
      </c>
      <c r="AI29" s="6">
        <f t="shared" ca="1" si="13"/>
        <v>5.2406578298729301E-2</v>
      </c>
    </row>
    <row r="30" spans="1:35" x14ac:dyDescent="0.75">
      <c r="A30" s="19">
        <v>1.9</v>
      </c>
      <c r="B30" s="32">
        <f t="shared" si="0"/>
        <v>35.814156250923645</v>
      </c>
      <c r="C30" s="33">
        <f t="shared" si="14"/>
        <v>60.524171743339849</v>
      </c>
      <c r="D30" s="32">
        <f t="shared" si="15"/>
        <v>67.688999999999993</v>
      </c>
      <c r="E30" s="6">
        <f t="shared" si="16"/>
        <v>7.1648282566601438</v>
      </c>
      <c r="F30">
        <f t="shared" si="1"/>
        <v>20</v>
      </c>
      <c r="O30">
        <f t="shared" ca="1" si="22"/>
        <v>2.0499999999999989</v>
      </c>
      <c r="P30" s="32">
        <f t="shared" ca="1" si="19"/>
        <v>38.641589639154439</v>
      </c>
      <c r="Q30" s="33">
        <f t="shared" ca="1" si="2"/>
        <v>70.429232819611229</v>
      </c>
      <c r="R30" s="32">
        <f t="shared" si="3"/>
        <v>67.688999999999993</v>
      </c>
      <c r="S30" s="6">
        <f t="shared" ca="1" si="18"/>
        <v>2.7402328196112364</v>
      </c>
      <c r="W30">
        <f t="shared" ca="1" si="20"/>
        <v>2.0149999999999992</v>
      </c>
      <c r="X30" s="32">
        <f t="shared" ca="1" si="5"/>
        <v>37.981855181900585</v>
      </c>
      <c r="Y30" s="33">
        <f t="shared" ca="1" si="6"/>
        <v>68.05094452331096</v>
      </c>
      <c r="Z30" s="32">
        <f t="shared" si="7"/>
        <v>67.688999999999993</v>
      </c>
      <c r="AA30" s="6">
        <f t="shared" ca="1" si="8"/>
        <v>0.36194452331096727</v>
      </c>
      <c r="AE30">
        <f t="shared" ca="1" si="21"/>
        <v>2.0105000000000008</v>
      </c>
      <c r="AF30" s="32">
        <f t="shared" ca="1" si="10"/>
        <v>37.897032180253682</v>
      </c>
      <c r="AG30" s="33">
        <f t="shared" ca="1" si="11"/>
        <v>67.748128161371568</v>
      </c>
      <c r="AH30" s="32">
        <f t="shared" si="12"/>
        <v>67.688999999999993</v>
      </c>
      <c r="AI30" s="6">
        <f t="shared" ca="1" si="13"/>
        <v>5.9128161371575061E-2</v>
      </c>
    </row>
    <row r="31" spans="1:35" x14ac:dyDescent="0.75">
      <c r="A31" s="19">
        <v>2</v>
      </c>
      <c r="B31" s="32">
        <f t="shared" si="0"/>
        <v>37.699111843077517</v>
      </c>
      <c r="C31" s="33">
        <f t="shared" si="14"/>
        <v>67.044182591077387</v>
      </c>
      <c r="D31" s="32">
        <f t="shared" si="15"/>
        <v>67.688999999999993</v>
      </c>
      <c r="E31" s="6">
        <f t="shared" si="16"/>
        <v>0.64481740892260575</v>
      </c>
      <c r="F31">
        <f t="shared" si="1"/>
        <v>21</v>
      </c>
      <c r="O31">
        <f t="shared" ca="1" si="22"/>
        <v>2.0599999999999987</v>
      </c>
      <c r="P31" s="32">
        <f t="shared" ca="1" si="19"/>
        <v>38.830085198369822</v>
      </c>
      <c r="Q31" s="33">
        <f t="shared" ca="1" si="2"/>
        <v>71.116246449691232</v>
      </c>
      <c r="R31" s="32">
        <f t="shared" si="3"/>
        <v>67.688999999999993</v>
      </c>
      <c r="S31" s="6">
        <f t="shared" ca="1" si="18"/>
        <v>3.4272464496912391</v>
      </c>
      <c r="W31">
        <f t="shared" ca="1" si="20"/>
        <v>2.0159999999999991</v>
      </c>
      <c r="X31" s="32">
        <f t="shared" ca="1" si="5"/>
        <v>38.000704737822119</v>
      </c>
      <c r="Y31" s="33">
        <f t="shared" ca="1" si="6"/>
        <v>68.118328747709811</v>
      </c>
      <c r="Z31" s="32">
        <f t="shared" si="7"/>
        <v>67.688999999999993</v>
      </c>
      <c r="AA31" s="6">
        <f t="shared" ca="1" si="8"/>
        <v>0.42932874770981755</v>
      </c>
      <c r="AE31">
        <f t="shared" ca="1" si="21"/>
        <v>2.0106000000000011</v>
      </c>
      <c r="AF31" s="32">
        <f t="shared" ca="1" si="10"/>
        <v>37.898917135845849</v>
      </c>
      <c r="AG31" s="33">
        <f t="shared" ca="1" si="11"/>
        <v>67.754850077897288</v>
      </c>
      <c r="AH31" s="32">
        <f t="shared" si="12"/>
        <v>67.688999999999993</v>
      </c>
      <c r="AI31" s="6">
        <f t="shared" ca="1" si="13"/>
        <v>6.5850077897295023E-2</v>
      </c>
    </row>
    <row r="32" spans="1:35" x14ac:dyDescent="0.75">
      <c r="A32" s="19">
        <v>2.1</v>
      </c>
      <c r="B32" s="32">
        <f t="shared" si="0"/>
        <v>39.58406743523139</v>
      </c>
      <c r="C32" s="33">
        <f t="shared" si="14"/>
        <v>73.897646251255324</v>
      </c>
      <c r="D32" s="32">
        <f t="shared" si="15"/>
        <v>67.688999999999993</v>
      </c>
      <c r="E32" s="6">
        <f t="shared" si="16"/>
        <v>6.2086462512553311</v>
      </c>
      <c r="F32">
        <f t="shared" si="1"/>
        <v>22</v>
      </c>
      <c r="O32">
        <f t="shared" ca="1" si="22"/>
        <v>2.0699999999999985</v>
      </c>
      <c r="P32" s="32">
        <f t="shared" ca="1" si="19"/>
        <v>39.018580757585198</v>
      </c>
      <c r="Q32" s="33">
        <f t="shared" ca="1" si="2"/>
        <v>71.806594607895605</v>
      </c>
      <c r="R32" s="32">
        <f t="shared" si="3"/>
        <v>67.688999999999993</v>
      </c>
      <c r="S32" s="6">
        <f t="shared" ca="1" si="18"/>
        <v>4.1175946078956116</v>
      </c>
      <c r="W32">
        <f t="shared" ca="1" si="20"/>
        <v>2.016999999999999</v>
      </c>
      <c r="X32" s="32">
        <f t="shared" ca="1" si="5"/>
        <v>38.01955429374366</v>
      </c>
      <c r="Y32" s="33">
        <f t="shared" ca="1" si="6"/>
        <v>68.185746317389899</v>
      </c>
      <c r="Z32" s="32">
        <f t="shared" si="7"/>
        <v>67.688999999999993</v>
      </c>
      <c r="AA32" s="6">
        <f t="shared" ca="1" si="8"/>
        <v>0.49674631738990627</v>
      </c>
      <c r="AE32">
        <f t="shared" ca="1" si="21"/>
        <v>2.0107000000000013</v>
      </c>
      <c r="AF32" s="32">
        <f t="shared" ca="1" si="10"/>
        <v>37.90080209143801</v>
      </c>
      <c r="AG32" s="33">
        <f t="shared" ca="1" si="11"/>
        <v>67.761572327875768</v>
      </c>
      <c r="AH32" s="32">
        <f t="shared" si="12"/>
        <v>67.688999999999993</v>
      </c>
      <c r="AI32" s="6">
        <f t="shared" ca="1" si="13"/>
        <v>7.25723278757755E-2</v>
      </c>
    </row>
    <row r="33" spans="1:35" x14ac:dyDescent="0.75">
      <c r="A33" s="19">
        <v>2.2000000000000002</v>
      </c>
      <c r="B33" s="32">
        <f t="shared" si="0"/>
        <v>41.469023027385276</v>
      </c>
      <c r="C33" s="33">
        <f t="shared" si="14"/>
        <v>81.084562723873645</v>
      </c>
      <c r="D33" s="32">
        <f t="shared" si="15"/>
        <v>67.688999999999993</v>
      </c>
      <c r="E33" s="6">
        <f t="shared" si="16"/>
        <v>13.395562723873653</v>
      </c>
      <c r="F33">
        <f t="shared" si="1"/>
        <v>23</v>
      </c>
      <c r="O33">
        <f t="shared" ca="1" si="22"/>
        <v>2.0799999999999983</v>
      </c>
      <c r="P33" s="32">
        <f t="shared" ca="1" si="19"/>
        <v>39.207076316800595</v>
      </c>
      <c r="Q33" s="33">
        <f t="shared" ca="1" si="2"/>
        <v>72.500277294224389</v>
      </c>
      <c r="R33" s="32">
        <f t="shared" si="3"/>
        <v>67.688999999999993</v>
      </c>
      <c r="S33" s="6">
        <f t="shared" ca="1" si="18"/>
        <v>4.8112772942243964</v>
      </c>
      <c r="W33">
        <f t="shared" ca="1" si="20"/>
        <v>2.0179999999999989</v>
      </c>
      <c r="X33" s="32">
        <f t="shared" ca="1" si="5"/>
        <v>38.038403849665194</v>
      </c>
      <c r="Y33" s="33">
        <f t="shared" ca="1" si="6"/>
        <v>68.253197232351241</v>
      </c>
      <c r="Z33" s="32">
        <f t="shared" si="7"/>
        <v>67.688999999999993</v>
      </c>
      <c r="AA33" s="6">
        <f t="shared" ca="1" si="8"/>
        <v>0.56419723235124764</v>
      </c>
      <c r="AE33">
        <f t="shared" ca="1" si="21"/>
        <v>2.0108000000000015</v>
      </c>
      <c r="AF33" s="32">
        <f t="shared" ca="1" si="10"/>
        <v>37.90268704703017</v>
      </c>
      <c r="AG33" s="33">
        <f t="shared" ca="1" si="11"/>
        <v>67.76829491130708</v>
      </c>
      <c r="AH33" s="32">
        <f t="shared" si="12"/>
        <v>67.688999999999993</v>
      </c>
      <c r="AI33" s="6">
        <f t="shared" ca="1" si="13"/>
        <v>7.9294911307087546E-2</v>
      </c>
    </row>
    <row r="34" spans="1:35" x14ac:dyDescent="0.75">
      <c r="A34" s="19">
        <v>2.2999999999999998</v>
      </c>
      <c r="B34" s="32">
        <f t="shared" si="0"/>
        <v>43.353978619539141</v>
      </c>
      <c r="C34" s="33">
        <f t="shared" si="14"/>
        <v>88.604932008932323</v>
      </c>
      <c r="D34" s="32">
        <f t="shared" si="15"/>
        <v>67.688999999999993</v>
      </c>
      <c r="E34" s="6">
        <f t="shared" si="16"/>
        <v>20.91593200893233</v>
      </c>
      <c r="F34">
        <f t="shared" si="1"/>
        <v>24</v>
      </c>
      <c r="O34">
        <f t="shared" ca="1" si="22"/>
        <v>2.0899999999999981</v>
      </c>
      <c r="P34" s="32">
        <f t="shared" ca="1" si="19"/>
        <v>39.395571876015971</v>
      </c>
      <c r="Q34" s="33">
        <f t="shared" ca="1" si="2"/>
        <v>73.197294508677587</v>
      </c>
      <c r="R34" s="32">
        <f t="shared" si="3"/>
        <v>67.688999999999993</v>
      </c>
      <c r="S34" s="6">
        <f t="shared" ca="1" si="18"/>
        <v>5.5082945086775936</v>
      </c>
      <c r="W34">
        <f t="shared" ca="1" si="20"/>
        <v>2.0189999999999988</v>
      </c>
      <c r="X34" s="32">
        <f t="shared" ca="1" si="5"/>
        <v>38.057253405586728</v>
      </c>
      <c r="Y34" s="33">
        <f t="shared" ca="1" si="6"/>
        <v>68.32068149259382</v>
      </c>
      <c r="Z34" s="32">
        <f t="shared" si="7"/>
        <v>67.688999999999993</v>
      </c>
      <c r="AA34" s="6">
        <f t="shared" ca="1" si="8"/>
        <v>0.63168149259382744</v>
      </c>
      <c r="AE34">
        <f t="shared" ca="1" si="21"/>
        <v>2.0109000000000017</v>
      </c>
      <c r="AF34" s="32">
        <f t="shared" ca="1" si="10"/>
        <v>37.904572002622324</v>
      </c>
      <c r="AG34" s="33">
        <f t="shared" ca="1" si="11"/>
        <v>67.775017828191196</v>
      </c>
      <c r="AH34" s="32">
        <f t="shared" si="12"/>
        <v>67.688999999999993</v>
      </c>
      <c r="AI34" s="6">
        <f t="shared" ca="1" si="13"/>
        <v>8.6017828191202739E-2</v>
      </c>
    </row>
    <row r="35" spans="1:35" x14ac:dyDescent="0.75">
      <c r="A35" s="19">
        <v>2.4</v>
      </c>
      <c r="B35" s="32">
        <f t="shared" si="0"/>
        <v>45.238934211693028</v>
      </c>
      <c r="C35" s="33">
        <f t="shared" si="14"/>
        <v>96.458754106431442</v>
      </c>
      <c r="D35" s="32">
        <f t="shared" si="15"/>
        <v>67.688999999999993</v>
      </c>
      <c r="E35" s="6">
        <f t="shared" si="16"/>
        <v>28.769754106431449</v>
      </c>
      <c r="F35">
        <f t="shared" si="1"/>
        <v>25</v>
      </c>
      <c r="O35">
        <f t="shared" ca="1" si="22"/>
        <v>2.0999999999999979</v>
      </c>
      <c r="P35" s="32">
        <f t="shared" ca="1" si="19"/>
        <v>39.584067435231354</v>
      </c>
      <c r="Q35" s="33">
        <f t="shared" ca="1" si="2"/>
        <v>73.897646251255168</v>
      </c>
      <c r="R35" s="32">
        <f t="shared" si="3"/>
        <v>67.688999999999993</v>
      </c>
      <c r="S35" s="6">
        <f t="shared" ca="1" si="18"/>
        <v>6.2086462512551748</v>
      </c>
      <c r="W35">
        <f t="shared" ca="1" si="20"/>
        <v>2.0199999999999987</v>
      </c>
      <c r="X35" s="32">
        <f t="shared" ca="1" si="5"/>
        <v>38.076102961508276</v>
      </c>
      <c r="Y35" s="33">
        <f t="shared" ca="1" si="6"/>
        <v>68.388199098117667</v>
      </c>
      <c r="Z35" s="32">
        <f t="shared" si="7"/>
        <v>67.688999999999993</v>
      </c>
      <c r="AA35" s="6">
        <f t="shared" ca="1" si="8"/>
        <v>0.69919909811767411</v>
      </c>
      <c r="AE35">
        <f t="shared" ca="1" si="21"/>
        <v>2.0110000000000019</v>
      </c>
      <c r="AF35" s="32">
        <f t="shared" ca="1" si="10"/>
        <v>37.906456958214477</v>
      </c>
      <c r="AG35" s="33">
        <f t="shared" ca="1" si="11"/>
        <v>67.781741078528128</v>
      </c>
      <c r="AH35" s="32">
        <f t="shared" si="12"/>
        <v>67.688999999999993</v>
      </c>
      <c r="AI35" s="6">
        <f t="shared" ca="1" si="13"/>
        <v>9.274107852813529E-2</v>
      </c>
    </row>
    <row r="36" spans="1:35" x14ac:dyDescent="0.75">
      <c r="A36" s="19">
        <v>2.5</v>
      </c>
      <c r="B36" s="32">
        <f t="shared" si="0"/>
        <v>47.1238898038469</v>
      </c>
      <c r="C36" s="33">
        <f t="shared" si="14"/>
        <v>104.64602901637093</v>
      </c>
      <c r="D36" s="32">
        <f t="shared" si="15"/>
        <v>67.688999999999993</v>
      </c>
      <c r="E36" s="6">
        <f t="shared" si="16"/>
        <v>36.957029016370939</v>
      </c>
      <c r="F36">
        <f t="shared" si="1"/>
        <v>26</v>
      </c>
      <c r="O36">
        <f t="shared" ca="1" si="22"/>
        <v>2.1099999999999977</v>
      </c>
      <c r="P36" s="32">
        <f t="shared" ca="1" si="19"/>
        <v>39.772562994446737</v>
      </c>
      <c r="Q36" s="33">
        <f t="shared" ca="1" si="2"/>
        <v>74.601332521957175</v>
      </c>
      <c r="R36" s="32">
        <f t="shared" si="3"/>
        <v>67.688999999999993</v>
      </c>
      <c r="S36" s="6">
        <f t="shared" ca="1" si="18"/>
        <v>6.9123325219571825</v>
      </c>
      <c r="W36">
        <f t="shared" ca="1" si="20"/>
        <v>2.0209999999999986</v>
      </c>
      <c r="X36" s="32">
        <f t="shared" ca="1" si="5"/>
        <v>38.09495251742981</v>
      </c>
      <c r="Y36" s="33">
        <f t="shared" ca="1" si="6"/>
        <v>68.455750048922752</v>
      </c>
      <c r="Z36" s="32">
        <f t="shared" si="7"/>
        <v>67.688999999999993</v>
      </c>
      <c r="AA36" s="6">
        <f t="shared" ca="1" si="8"/>
        <v>0.76675004892275922</v>
      </c>
      <c r="AE36">
        <f t="shared" ca="1" si="21"/>
        <v>2.0111000000000021</v>
      </c>
      <c r="AF36" s="32">
        <f t="shared" ca="1" si="10"/>
        <v>37.908341913806638</v>
      </c>
      <c r="AG36" s="33">
        <f t="shared" ca="1" si="11"/>
        <v>67.788464662317878</v>
      </c>
      <c r="AH36" s="32">
        <f t="shared" si="12"/>
        <v>67.688999999999993</v>
      </c>
      <c r="AI36" s="6">
        <f t="shared" ca="1" si="13"/>
        <v>9.94646623178852E-2</v>
      </c>
    </row>
    <row r="37" spans="1:35" x14ac:dyDescent="0.75">
      <c r="A37" s="19">
        <v>2.6</v>
      </c>
      <c r="B37" s="32">
        <f t="shared" si="0"/>
        <v>49.008845396000773</v>
      </c>
      <c r="C37" s="33">
        <f t="shared" si="14"/>
        <v>113.16675673875081</v>
      </c>
      <c r="D37" s="32">
        <f t="shared" si="15"/>
        <v>67.688999999999993</v>
      </c>
      <c r="E37" s="6">
        <f t="shared" si="16"/>
        <v>45.477756738750813</v>
      </c>
      <c r="F37">
        <f t="shared" si="1"/>
        <v>27</v>
      </c>
      <c r="O37">
        <f t="shared" ca="1" si="22"/>
        <v>2.1199999999999974</v>
      </c>
      <c r="P37" s="32">
        <f t="shared" ca="1" si="19"/>
        <v>39.961058553662127</v>
      </c>
      <c r="Q37" s="33">
        <f t="shared" ca="1" si="2"/>
        <v>75.308353320783567</v>
      </c>
      <c r="R37" s="32">
        <f t="shared" si="3"/>
        <v>67.688999999999993</v>
      </c>
      <c r="S37" s="6">
        <f t="shared" ca="1" si="18"/>
        <v>7.6193533207835742</v>
      </c>
      <c r="W37">
        <f t="shared" ca="1" si="20"/>
        <v>2.0219999999999985</v>
      </c>
      <c r="X37" s="32">
        <f t="shared" ca="1" si="5"/>
        <v>38.113802073351344</v>
      </c>
      <c r="Y37" s="33">
        <f t="shared" ca="1" si="6"/>
        <v>68.523334345009047</v>
      </c>
      <c r="Z37" s="32">
        <f t="shared" si="7"/>
        <v>67.688999999999993</v>
      </c>
      <c r="AA37" s="6">
        <f t="shared" ca="1" si="8"/>
        <v>0.83433434500905435</v>
      </c>
      <c r="AE37">
        <f t="shared" ca="1" si="21"/>
        <v>2.0112000000000023</v>
      </c>
      <c r="AF37" s="32">
        <f t="shared" ca="1" si="10"/>
        <v>37.910226869398791</v>
      </c>
      <c r="AG37" s="33">
        <f t="shared" ca="1" si="11"/>
        <v>67.795188579560417</v>
      </c>
      <c r="AH37" s="32">
        <f t="shared" si="12"/>
        <v>67.688999999999993</v>
      </c>
      <c r="AI37" s="6">
        <f t="shared" ca="1" si="13"/>
        <v>0.10618857956042405</v>
      </c>
    </row>
    <row r="38" spans="1:35" x14ac:dyDescent="0.75">
      <c r="A38" s="19">
        <v>2.7</v>
      </c>
      <c r="B38" s="32">
        <f t="shared" si="0"/>
        <v>50.893800988154652</v>
      </c>
      <c r="C38" s="33">
        <f t="shared" si="14"/>
        <v>122.02093727357106</v>
      </c>
      <c r="D38" s="32">
        <f t="shared" si="15"/>
        <v>67.688999999999993</v>
      </c>
      <c r="E38" s="6">
        <f t="shared" si="16"/>
        <v>54.331937273571072</v>
      </c>
      <c r="F38">
        <f t="shared" si="1"/>
        <v>28</v>
      </c>
      <c r="O38">
        <f t="shared" ca="1" si="22"/>
        <v>2.1299999999999972</v>
      </c>
      <c r="P38" s="32">
        <f t="shared" ca="1" si="19"/>
        <v>40.14955411287751</v>
      </c>
      <c r="Q38" s="33">
        <f t="shared" ca="1" si="2"/>
        <v>76.0187086477344</v>
      </c>
      <c r="R38" s="32">
        <f t="shared" si="3"/>
        <v>67.688999999999993</v>
      </c>
      <c r="S38" s="6">
        <f t="shared" ca="1" si="18"/>
        <v>8.3297086477344067</v>
      </c>
      <c r="W38">
        <f t="shared" ca="1" si="20"/>
        <v>2.0229999999999984</v>
      </c>
      <c r="X38" s="32">
        <f t="shared" ca="1" si="5"/>
        <v>38.132651629272878</v>
      </c>
      <c r="Y38" s="33">
        <f t="shared" ca="1" si="6"/>
        <v>68.590951986376609</v>
      </c>
      <c r="Z38" s="32">
        <f t="shared" si="7"/>
        <v>67.688999999999993</v>
      </c>
      <c r="AA38" s="6">
        <f t="shared" ca="1" si="8"/>
        <v>0.90195198637661633</v>
      </c>
      <c r="AE38">
        <f t="shared" ca="1" si="21"/>
        <v>2.0113000000000025</v>
      </c>
      <c r="AF38" s="32">
        <f t="shared" ca="1" si="10"/>
        <v>37.912111824990966</v>
      </c>
      <c r="AG38" s="33">
        <f t="shared" ca="1" si="11"/>
        <v>67.801912830255816</v>
      </c>
      <c r="AH38" s="32">
        <f t="shared" si="12"/>
        <v>67.688999999999993</v>
      </c>
      <c r="AI38" s="6">
        <f t="shared" ca="1" si="13"/>
        <v>0.11291283025582288</v>
      </c>
    </row>
    <row r="39" spans="1:35" x14ac:dyDescent="0.75">
      <c r="A39" s="19">
        <v>2.8</v>
      </c>
      <c r="B39" s="32">
        <f t="shared" si="0"/>
        <v>52.778756580308524</v>
      </c>
      <c r="C39" s="33">
        <f t="shared" si="14"/>
        <v>131.20857062083167</v>
      </c>
      <c r="D39" s="32">
        <f t="shared" si="15"/>
        <v>67.688999999999993</v>
      </c>
      <c r="E39" s="6">
        <f t="shared" si="16"/>
        <v>63.519570620831672</v>
      </c>
      <c r="F39">
        <f t="shared" si="1"/>
        <v>29</v>
      </c>
      <c r="O39">
        <f t="shared" ca="1" si="22"/>
        <v>2.139999999999997</v>
      </c>
      <c r="P39" s="32">
        <f t="shared" ca="1" si="19"/>
        <v>40.338049672092879</v>
      </c>
      <c r="Q39" s="33">
        <f t="shared" ca="1" si="2"/>
        <v>76.732398502809573</v>
      </c>
      <c r="R39" s="32">
        <f t="shared" si="3"/>
        <v>67.688999999999993</v>
      </c>
      <c r="S39" s="6">
        <f t="shared" ca="1" si="18"/>
        <v>9.0433985028095805</v>
      </c>
      <c r="W39">
        <f t="shared" ca="1" si="20"/>
        <v>2.0239999999999982</v>
      </c>
      <c r="X39" s="32">
        <f t="shared" ca="1" si="5"/>
        <v>38.151501185194419</v>
      </c>
      <c r="Y39" s="33">
        <f t="shared" ca="1" si="6"/>
        <v>68.658602973025395</v>
      </c>
      <c r="Z39" s="32">
        <f t="shared" si="7"/>
        <v>67.688999999999993</v>
      </c>
      <c r="AA39" s="6">
        <f t="shared" ca="1" si="8"/>
        <v>0.96960297302540255</v>
      </c>
      <c r="AE39">
        <f t="shared" ca="1" si="21"/>
        <v>2.0114000000000027</v>
      </c>
      <c r="AF39" s="32">
        <f t="shared" ca="1" si="10"/>
        <v>37.913996780583112</v>
      </c>
      <c r="AG39" s="33">
        <f t="shared" ca="1" si="11"/>
        <v>67.808637414403989</v>
      </c>
      <c r="AH39" s="32">
        <f t="shared" si="12"/>
        <v>67.688999999999993</v>
      </c>
      <c r="AI39" s="6">
        <f t="shared" ca="1" si="13"/>
        <v>0.11963741440399644</v>
      </c>
    </row>
    <row r="40" spans="1:35" x14ac:dyDescent="0.75">
      <c r="A40" s="19">
        <v>2.9</v>
      </c>
      <c r="B40" s="32">
        <f t="shared" si="0"/>
        <v>54.663712172462411</v>
      </c>
      <c r="C40" s="33">
        <f t="shared" si="14"/>
        <v>140.72965678053274</v>
      </c>
      <c r="D40" s="32">
        <f t="shared" si="15"/>
        <v>67.688999999999993</v>
      </c>
      <c r="E40" s="6">
        <f t="shared" si="16"/>
        <v>73.040656780532743</v>
      </c>
      <c r="F40">
        <f t="shared" si="1"/>
        <v>30</v>
      </c>
      <c r="O40">
        <f t="shared" ca="1" si="22"/>
        <v>2.1499999999999968</v>
      </c>
      <c r="P40" s="32">
        <f t="shared" ca="1" si="19"/>
        <v>40.526545231308276</v>
      </c>
      <c r="Q40" s="33">
        <f t="shared" ca="1" si="2"/>
        <v>77.449422886009216</v>
      </c>
      <c r="R40" s="32">
        <f t="shared" si="3"/>
        <v>67.688999999999993</v>
      </c>
      <c r="S40" s="6">
        <f t="shared" ca="1" si="18"/>
        <v>9.7604228860092235</v>
      </c>
      <c r="W40">
        <f t="shared" ca="1" si="20"/>
        <v>2.0249999999999981</v>
      </c>
      <c r="X40" s="32">
        <f t="shared" ca="1" si="5"/>
        <v>38.170350741115953</v>
      </c>
      <c r="Y40" s="33">
        <f t="shared" ca="1" si="6"/>
        <v>68.726287304955463</v>
      </c>
      <c r="Z40" s="32">
        <f t="shared" si="7"/>
        <v>67.688999999999993</v>
      </c>
      <c r="AA40" s="6">
        <f t="shared" ca="1" si="8"/>
        <v>1.0372873049554698</v>
      </c>
      <c r="AE40">
        <f t="shared" ca="1" si="21"/>
        <v>2.011500000000003</v>
      </c>
      <c r="AF40" s="32">
        <f t="shared" ca="1" si="10"/>
        <v>37.915881736175272</v>
      </c>
      <c r="AG40" s="33">
        <f t="shared" ca="1" si="11"/>
        <v>67.81536233200498</v>
      </c>
      <c r="AH40" s="32">
        <f t="shared" si="12"/>
        <v>67.688999999999993</v>
      </c>
      <c r="AI40" s="6">
        <f t="shared" ca="1" si="13"/>
        <v>0.12636233200498737</v>
      </c>
    </row>
    <row r="41" spans="1:35" x14ac:dyDescent="0.75">
      <c r="A41" s="19">
        <v>3</v>
      </c>
      <c r="B41" s="32">
        <f t="shared" si="0"/>
        <v>56.548667764616276</v>
      </c>
      <c r="C41" s="33">
        <f t="shared" si="14"/>
        <v>150.58419575267411</v>
      </c>
      <c r="D41" s="32">
        <f t="shared" si="15"/>
        <v>67.688999999999993</v>
      </c>
      <c r="E41" s="6">
        <f t="shared" si="16"/>
        <v>82.895195752674113</v>
      </c>
      <c r="F41">
        <f t="shared" si="1"/>
        <v>31</v>
      </c>
      <c r="O41">
        <f t="shared" ca="1" si="22"/>
        <v>2.1599999999999966</v>
      </c>
      <c r="P41" s="32">
        <f t="shared" ca="1" si="19"/>
        <v>40.715040790523652</v>
      </c>
      <c r="Q41" s="33">
        <f t="shared" ca="1" si="2"/>
        <v>78.169781797333215</v>
      </c>
      <c r="R41" s="32">
        <f t="shared" si="3"/>
        <v>67.688999999999993</v>
      </c>
      <c r="S41" s="6">
        <f t="shared" ca="1" si="18"/>
        <v>10.480781797333222</v>
      </c>
      <c r="W41">
        <f t="shared" ca="1" si="20"/>
        <v>2.025999999999998</v>
      </c>
      <c r="X41" s="32">
        <f t="shared" ca="1" si="5"/>
        <v>38.189200297037495</v>
      </c>
      <c r="Y41" s="33">
        <f t="shared" ca="1" si="6"/>
        <v>68.79400498216674</v>
      </c>
      <c r="Z41" s="32">
        <f t="shared" si="7"/>
        <v>67.688999999999993</v>
      </c>
      <c r="AA41" s="6">
        <f t="shared" ca="1" si="8"/>
        <v>1.1050049821667471</v>
      </c>
      <c r="AE41">
        <f t="shared" ca="1" si="21"/>
        <v>2.0116000000000032</v>
      </c>
      <c r="AF41" s="32">
        <f t="shared" ca="1" si="10"/>
        <v>37.917766691767426</v>
      </c>
      <c r="AG41" s="33">
        <f t="shared" ca="1" si="11"/>
        <v>67.822087583058789</v>
      </c>
      <c r="AH41" s="32">
        <f t="shared" si="12"/>
        <v>67.688999999999993</v>
      </c>
      <c r="AI41" s="6">
        <f t="shared" ca="1" si="13"/>
        <v>0.13308758305879564</v>
      </c>
    </row>
    <row r="42" spans="1:35" x14ac:dyDescent="0.75">
      <c r="A42" s="19">
        <f t="shared" ref="A42:A66" si="23">A41 + 0.1</f>
        <v>3.1</v>
      </c>
      <c r="B42" s="32">
        <f t="shared" si="0"/>
        <v>58.433623356770156</v>
      </c>
      <c r="C42" s="33">
        <f t="shared" si="14"/>
        <v>160.77218753725595</v>
      </c>
      <c r="D42" s="32">
        <f t="shared" si="15"/>
        <v>67.688999999999993</v>
      </c>
      <c r="E42" s="6">
        <f t="shared" si="16"/>
        <v>93.083187537255952</v>
      </c>
      <c r="F42">
        <f t="shared" si="1"/>
        <v>32</v>
      </c>
      <c r="O42">
        <f t="shared" ca="1" si="22"/>
        <v>2.1699999999999964</v>
      </c>
      <c r="P42" s="32">
        <f t="shared" ca="1" si="19"/>
        <v>40.903536349739049</v>
      </c>
      <c r="Q42" s="33">
        <f t="shared" ca="1" si="2"/>
        <v>78.89347523678164</v>
      </c>
      <c r="R42" s="32">
        <f t="shared" si="3"/>
        <v>67.688999999999993</v>
      </c>
      <c r="S42" s="6">
        <f t="shared" ca="1" si="18"/>
        <v>11.204475236781647</v>
      </c>
      <c r="W42">
        <f t="shared" ca="1" si="20"/>
        <v>2.0269999999999979</v>
      </c>
      <c r="X42" s="32">
        <f t="shared" ca="1" si="5"/>
        <v>38.208049852959029</v>
      </c>
      <c r="Y42" s="33">
        <f t="shared" ca="1" si="6"/>
        <v>68.861756004659284</v>
      </c>
      <c r="Z42" s="32">
        <f t="shared" si="7"/>
        <v>67.688999999999993</v>
      </c>
      <c r="AA42" s="6">
        <f t="shared" ca="1" si="8"/>
        <v>1.1727560046592913</v>
      </c>
      <c r="AE42">
        <f t="shared" ca="1" si="21"/>
        <v>2.0117000000000034</v>
      </c>
      <c r="AF42" s="32">
        <f t="shared" ca="1" si="10"/>
        <v>37.919651647359586</v>
      </c>
      <c r="AG42" s="33">
        <f t="shared" ca="1" si="11"/>
        <v>67.828813167565414</v>
      </c>
      <c r="AH42" s="32">
        <f t="shared" si="12"/>
        <v>67.688999999999993</v>
      </c>
      <c r="AI42" s="6">
        <f t="shared" ca="1" si="13"/>
        <v>0.13981316756542128</v>
      </c>
    </row>
    <row r="43" spans="1:35" x14ac:dyDescent="0.75">
      <c r="A43" s="19">
        <f t="shared" si="23"/>
        <v>3.2</v>
      </c>
      <c r="B43" s="32">
        <f t="shared" ref="B43:B66" si="24">A43*PI()*($F$2/2000)^2*60*1000</f>
        <v>60.318578948924035</v>
      </c>
      <c r="C43" s="33">
        <f t="shared" si="14"/>
        <v>171.29363213427817</v>
      </c>
      <c r="D43" s="32">
        <f t="shared" si="15"/>
        <v>67.688999999999993</v>
      </c>
      <c r="E43" s="6">
        <f t="shared" ref="E43:E66" si="25">ABS(C43-D43)</f>
        <v>103.60463213427818</v>
      </c>
      <c r="F43">
        <f t="shared" ref="F43:F66" si="26">ROW(F43) - 10</f>
        <v>33</v>
      </c>
      <c r="O43">
        <f t="shared" ca="1" si="22"/>
        <v>2.1799999999999962</v>
      </c>
      <c r="P43" s="32">
        <f t="shared" ca="1" si="19"/>
        <v>41.092031908954425</v>
      </c>
      <c r="Q43" s="33">
        <f t="shared" ca="1" si="2"/>
        <v>79.620503204354478</v>
      </c>
      <c r="R43" s="32">
        <f t="shared" si="3"/>
        <v>67.688999999999993</v>
      </c>
      <c r="S43" s="6">
        <f t="shared" ca="1" si="18"/>
        <v>11.931503204354485</v>
      </c>
      <c r="W43">
        <f t="shared" ca="1" si="20"/>
        <v>2.0279999999999978</v>
      </c>
      <c r="X43" s="32">
        <f t="shared" ca="1" si="5"/>
        <v>38.226899408880556</v>
      </c>
      <c r="Y43" s="33">
        <f t="shared" ca="1" si="6"/>
        <v>68.929540372433067</v>
      </c>
      <c r="Z43" s="32">
        <f t="shared" si="7"/>
        <v>67.688999999999993</v>
      </c>
      <c r="AA43" s="6">
        <f t="shared" ca="1" si="8"/>
        <v>1.2405403724330739</v>
      </c>
      <c r="AE43">
        <f t="shared" ca="1" si="21"/>
        <v>2.0118000000000036</v>
      </c>
      <c r="AF43" s="32">
        <f t="shared" ca="1" si="10"/>
        <v>37.921536602951733</v>
      </c>
      <c r="AG43" s="33">
        <f t="shared" ca="1" si="11"/>
        <v>67.835539085524857</v>
      </c>
      <c r="AH43" s="32">
        <f t="shared" si="12"/>
        <v>67.688999999999993</v>
      </c>
      <c r="AI43" s="6">
        <f t="shared" ca="1" si="13"/>
        <v>0.14653908552486428</v>
      </c>
    </row>
    <row r="44" spans="1:35" x14ac:dyDescent="0.75">
      <c r="A44" s="19">
        <f t="shared" si="23"/>
        <v>3.3000000000000003</v>
      </c>
      <c r="B44" s="32">
        <f t="shared" si="24"/>
        <v>62.2035345410779</v>
      </c>
      <c r="C44" s="33">
        <f t="shared" si="14"/>
        <v>182.14852954374072</v>
      </c>
      <c r="D44" s="32">
        <f t="shared" si="15"/>
        <v>67.688999999999993</v>
      </c>
      <c r="E44" s="6">
        <f t="shared" si="25"/>
        <v>114.45952954374073</v>
      </c>
      <c r="F44">
        <f t="shared" si="26"/>
        <v>34</v>
      </c>
      <c r="O44">
        <f t="shared" ca="1" si="22"/>
        <v>2.1899999999999959</v>
      </c>
      <c r="P44" s="32">
        <f t="shared" ca="1" si="19"/>
        <v>41.280527468169808</v>
      </c>
      <c r="Q44" s="33">
        <f t="shared" ca="1" si="2"/>
        <v>80.350865700051713</v>
      </c>
      <c r="R44" s="32">
        <f t="shared" si="3"/>
        <v>67.688999999999993</v>
      </c>
      <c r="S44" s="6">
        <f t="shared" ca="1" si="18"/>
        <v>12.66186570005172</v>
      </c>
      <c r="W44">
        <f t="shared" ca="1" si="20"/>
        <v>2.0289999999999977</v>
      </c>
      <c r="X44" s="32">
        <f t="shared" ca="1" si="5"/>
        <v>38.245748964802097</v>
      </c>
      <c r="Y44" s="33">
        <f t="shared" ca="1" si="6"/>
        <v>68.997358085488088</v>
      </c>
      <c r="Z44" s="32">
        <f t="shared" si="7"/>
        <v>67.688999999999993</v>
      </c>
      <c r="AA44" s="6">
        <f t="shared" ca="1" si="8"/>
        <v>1.308358085488095</v>
      </c>
      <c r="AE44">
        <f t="shared" ca="1" si="21"/>
        <v>2.0119000000000038</v>
      </c>
      <c r="AF44" s="32">
        <f t="shared" ca="1" si="10"/>
        <v>37.923421558543907</v>
      </c>
      <c r="AG44" s="33">
        <f t="shared" ca="1" si="11"/>
        <v>67.842265336937103</v>
      </c>
      <c r="AH44" s="32">
        <f t="shared" si="12"/>
        <v>67.688999999999993</v>
      </c>
      <c r="AI44" s="6">
        <f t="shared" ca="1" si="13"/>
        <v>0.15326533693711042</v>
      </c>
    </row>
    <row r="45" spans="1:35" x14ac:dyDescent="0.75">
      <c r="A45" s="19">
        <f t="shared" si="23"/>
        <v>3.4000000000000004</v>
      </c>
      <c r="B45" s="32">
        <f t="shared" si="24"/>
        <v>64.088490133231787</v>
      </c>
      <c r="C45" s="33">
        <f t="shared" si="14"/>
        <v>193.33687976564372</v>
      </c>
      <c r="D45" s="32">
        <f t="shared" si="15"/>
        <v>67.688999999999993</v>
      </c>
      <c r="E45" s="6">
        <f t="shared" si="25"/>
        <v>125.64787976564372</v>
      </c>
      <c r="F45">
        <f t="shared" si="26"/>
        <v>35</v>
      </c>
      <c r="O45">
        <f t="shared" ca="1" si="22"/>
        <v>2.1999999999999957</v>
      </c>
      <c r="P45" s="32">
        <f t="shared" ca="1" si="19"/>
        <v>41.469023027385191</v>
      </c>
      <c r="Q45" s="33">
        <f t="shared" ca="1" si="2"/>
        <v>81.084562723873333</v>
      </c>
      <c r="R45" s="32">
        <f t="shared" si="3"/>
        <v>67.688999999999993</v>
      </c>
      <c r="S45" s="6">
        <f t="shared" ca="1" si="18"/>
        <v>13.39556272387334</v>
      </c>
      <c r="W45">
        <f t="shared" ca="1" si="20"/>
        <v>2.0299999999999976</v>
      </c>
      <c r="X45" s="32">
        <f t="shared" ca="1" si="5"/>
        <v>38.264598520723638</v>
      </c>
      <c r="Y45" s="33">
        <f t="shared" ca="1" si="6"/>
        <v>69.065209143824347</v>
      </c>
      <c r="Z45" s="32">
        <f t="shared" si="7"/>
        <v>67.688999999999993</v>
      </c>
      <c r="AA45" s="6">
        <f t="shared" ca="1" si="8"/>
        <v>1.3762091438243544</v>
      </c>
      <c r="AE45">
        <f t="shared" ca="1" si="21"/>
        <v>2.012000000000004</v>
      </c>
      <c r="AF45" s="32">
        <f t="shared" ca="1" si="10"/>
        <v>37.925306514136061</v>
      </c>
      <c r="AG45" s="33">
        <f t="shared" ca="1" si="11"/>
        <v>67.848991921802153</v>
      </c>
      <c r="AH45" s="32">
        <f t="shared" si="12"/>
        <v>67.688999999999993</v>
      </c>
      <c r="AI45" s="6">
        <f t="shared" ca="1" si="13"/>
        <v>0.15999192180215971</v>
      </c>
    </row>
    <row r="46" spans="1:35" x14ac:dyDescent="0.75">
      <c r="A46" s="19">
        <f t="shared" si="23"/>
        <v>3.5000000000000004</v>
      </c>
      <c r="B46" s="32">
        <f t="shared" si="24"/>
        <v>65.973445725385673</v>
      </c>
      <c r="C46" s="33">
        <f t="shared" si="14"/>
        <v>204.85868279998706</v>
      </c>
      <c r="D46" s="32">
        <f t="shared" si="15"/>
        <v>67.688999999999993</v>
      </c>
      <c r="E46" s="6">
        <f t="shared" si="25"/>
        <v>137.16968279998707</v>
      </c>
      <c r="F46">
        <f t="shared" si="26"/>
        <v>36</v>
      </c>
    </row>
    <row r="47" spans="1:35" x14ac:dyDescent="0.75">
      <c r="A47" s="19">
        <f t="shared" si="23"/>
        <v>3.6000000000000005</v>
      </c>
      <c r="B47" s="32">
        <f t="shared" si="24"/>
        <v>67.858401317539531</v>
      </c>
      <c r="C47" s="33">
        <f t="shared" si="14"/>
        <v>216.71393864677077</v>
      </c>
      <c r="D47" s="32">
        <f t="shared" si="15"/>
        <v>67.688999999999993</v>
      </c>
      <c r="E47" s="6">
        <f t="shared" si="25"/>
        <v>149.02493864677078</v>
      </c>
      <c r="F47">
        <f t="shared" si="26"/>
        <v>37</v>
      </c>
    </row>
    <row r="48" spans="1:35" x14ac:dyDescent="0.75">
      <c r="A48" s="19">
        <f t="shared" si="23"/>
        <v>3.7000000000000006</v>
      </c>
      <c r="B48" s="32">
        <f t="shared" si="24"/>
        <v>69.743356909693418</v>
      </c>
      <c r="C48" s="33">
        <f t="shared" si="14"/>
        <v>228.90264730599498</v>
      </c>
      <c r="D48" s="32">
        <f t="shared" si="15"/>
        <v>67.688999999999993</v>
      </c>
      <c r="E48" s="6">
        <f t="shared" si="25"/>
        <v>161.21364730599498</v>
      </c>
      <c r="F48">
        <f t="shared" si="26"/>
        <v>38</v>
      </c>
    </row>
    <row r="49" spans="1:6" x14ac:dyDescent="0.75">
      <c r="A49" s="19">
        <f t="shared" si="23"/>
        <v>3.8000000000000007</v>
      </c>
      <c r="B49" s="32">
        <f t="shared" si="24"/>
        <v>71.628312501847304</v>
      </c>
      <c r="C49" s="33">
        <f t="shared" si="14"/>
        <v>241.42480877765948</v>
      </c>
      <c r="D49" s="32">
        <f t="shared" si="15"/>
        <v>67.688999999999993</v>
      </c>
      <c r="E49" s="6">
        <f t="shared" si="25"/>
        <v>173.73580877765949</v>
      </c>
      <c r="F49">
        <f t="shared" si="26"/>
        <v>39</v>
      </c>
    </row>
    <row r="50" spans="1:6" x14ac:dyDescent="0.75">
      <c r="A50" s="19">
        <f t="shared" si="23"/>
        <v>3.9000000000000008</v>
      </c>
      <c r="B50" s="32">
        <f t="shared" si="24"/>
        <v>73.513268094001177</v>
      </c>
      <c r="C50" s="33">
        <f t="shared" si="14"/>
        <v>254.28042306176434</v>
      </c>
      <c r="D50" s="32">
        <f t="shared" si="15"/>
        <v>67.688999999999993</v>
      </c>
      <c r="E50" s="6">
        <f t="shared" si="25"/>
        <v>186.59142306176435</v>
      </c>
      <c r="F50">
        <f t="shared" si="26"/>
        <v>40</v>
      </c>
    </row>
    <row r="51" spans="1:6" x14ac:dyDescent="0.75">
      <c r="A51" s="19">
        <f t="shared" si="23"/>
        <v>4.0000000000000009</v>
      </c>
      <c r="B51" s="32">
        <f t="shared" si="24"/>
        <v>75.398223686155063</v>
      </c>
      <c r="C51" s="33">
        <f t="shared" si="14"/>
        <v>267.46949015830967</v>
      </c>
      <c r="D51" s="32">
        <f t="shared" si="15"/>
        <v>67.688999999999993</v>
      </c>
      <c r="E51" s="6">
        <f t="shared" si="25"/>
        <v>199.78049015830968</v>
      </c>
      <c r="F51">
        <f t="shared" si="26"/>
        <v>41</v>
      </c>
    </row>
    <row r="52" spans="1:6" x14ac:dyDescent="0.75">
      <c r="A52" s="19">
        <f t="shared" si="23"/>
        <v>4.1000000000000005</v>
      </c>
      <c r="B52" s="32">
        <f t="shared" si="24"/>
        <v>77.283179278308921</v>
      </c>
      <c r="C52" s="33">
        <f t="shared" si="14"/>
        <v>280.99201006729533</v>
      </c>
      <c r="D52" s="32">
        <f t="shared" si="15"/>
        <v>67.688999999999993</v>
      </c>
      <c r="E52" s="6">
        <f t="shared" si="25"/>
        <v>213.30301006729533</v>
      </c>
      <c r="F52">
        <f t="shared" si="26"/>
        <v>42</v>
      </c>
    </row>
    <row r="53" spans="1:6" x14ac:dyDescent="0.75">
      <c r="A53" s="19">
        <f t="shared" si="23"/>
        <v>4.2</v>
      </c>
      <c r="B53" s="32">
        <f t="shared" si="24"/>
        <v>79.168134870462779</v>
      </c>
      <c r="C53" s="33">
        <f t="shared" si="14"/>
        <v>294.84798278872125</v>
      </c>
      <c r="D53" s="32">
        <f t="shared" si="15"/>
        <v>67.688999999999993</v>
      </c>
      <c r="E53" s="6">
        <f t="shared" si="25"/>
        <v>227.15898278872126</v>
      </c>
      <c r="F53">
        <f t="shared" si="26"/>
        <v>43</v>
      </c>
    </row>
    <row r="54" spans="1:6" x14ac:dyDescent="0.75">
      <c r="A54" s="19">
        <f t="shared" si="23"/>
        <v>4.3</v>
      </c>
      <c r="B54" s="32">
        <f t="shared" si="24"/>
        <v>81.05309046261668</v>
      </c>
      <c r="C54" s="33">
        <f t="shared" si="14"/>
        <v>309.03740832258774</v>
      </c>
      <c r="D54" s="32">
        <f t="shared" si="15"/>
        <v>67.688999999999993</v>
      </c>
      <c r="E54" s="6">
        <f t="shared" si="25"/>
        <v>241.34840832258774</v>
      </c>
      <c r="F54">
        <f t="shared" si="26"/>
        <v>44</v>
      </c>
    </row>
    <row r="55" spans="1:6" x14ac:dyDescent="0.75">
      <c r="A55" s="19">
        <f t="shared" si="23"/>
        <v>4.3999999999999995</v>
      </c>
      <c r="B55" s="32">
        <f t="shared" si="24"/>
        <v>82.938046054770524</v>
      </c>
      <c r="C55" s="33">
        <f t="shared" si="14"/>
        <v>323.56028666889455</v>
      </c>
      <c r="D55" s="32">
        <f t="shared" si="15"/>
        <v>67.688999999999993</v>
      </c>
      <c r="E55" s="6">
        <f t="shared" si="25"/>
        <v>255.87128666889456</v>
      </c>
      <c r="F55">
        <f t="shared" si="26"/>
        <v>45</v>
      </c>
    </row>
    <row r="56" spans="1:6" x14ac:dyDescent="0.75">
      <c r="A56" s="19">
        <f t="shared" si="23"/>
        <v>4.4999999999999991</v>
      </c>
      <c r="B56" s="32">
        <f t="shared" si="24"/>
        <v>84.823001646924396</v>
      </c>
      <c r="C56" s="33">
        <f t="shared" si="14"/>
        <v>338.41661782764169</v>
      </c>
      <c r="D56" s="32">
        <f t="shared" si="15"/>
        <v>67.688999999999993</v>
      </c>
      <c r="E56" s="6">
        <f t="shared" si="25"/>
        <v>270.72761782764167</v>
      </c>
      <c r="F56">
        <f t="shared" si="26"/>
        <v>46</v>
      </c>
    </row>
    <row r="57" spans="1:6" x14ac:dyDescent="0.75">
      <c r="A57" s="19">
        <f t="shared" si="23"/>
        <v>4.5999999999999988</v>
      </c>
      <c r="B57" s="32">
        <f t="shared" si="24"/>
        <v>86.707957239078269</v>
      </c>
      <c r="C57" s="33">
        <f t="shared" si="14"/>
        <v>353.60640179882921</v>
      </c>
      <c r="D57" s="32">
        <f t="shared" si="15"/>
        <v>67.688999999999993</v>
      </c>
      <c r="E57" s="6">
        <f t="shared" si="25"/>
        <v>285.91740179882925</v>
      </c>
      <c r="F57">
        <f t="shared" si="26"/>
        <v>47</v>
      </c>
    </row>
    <row r="58" spans="1:6" x14ac:dyDescent="0.75">
      <c r="A58" s="19">
        <f t="shared" si="23"/>
        <v>4.6999999999999984</v>
      </c>
      <c r="B58" s="32">
        <f t="shared" si="24"/>
        <v>88.592912831232141</v>
      </c>
      <c r="C58" s="33">
        <f t="shared" si="14"/>
        <v>369.12963858245718</v>
      </c>
      <c r="D58" s="32">
        <f t="shared" si="15"/>
        <v>67.688999999999993</v>
      </c>
      <c r="E58" s="6">
        <f t="shared" si="25"/>
        <v>301.44063858245715</v>
      </c>
      <c r="F58">
        <f t="shared" si="26"/>
        <v>48</v>
      </c>
    </row>
    <row r="59" spans="1:6" x14ac:dyDescent="0.75">
      <c r="A59" s="19">
        <f t="shared" si="23"/>
        <v>4.799999999999998</v>
      </c>
      <c r="B59" s="32">
        <f t="shared" si="24"/>
        <v>90.477868423386028</v>
      </c>
      <c r="C59" s="33">
        <f t="shared" si="14"/>
        <v>384.98632817852541</v>
      </c>
      <c r="D59" s="32">
        <f t="shared" si="15"/>
        <v>67.688999999999993</v>
      </c>
      <c r="E59" s="6">
        <f t="shared" si="25"/>
        <v>317.29732817852539</v>
      </c>
      <c r="F59">
        <f t="shared" si="26"/>
        <v>49</v>
      </c>
    </row>
    <row r="60" spans="1:6" x14ac:dyDescent="0.75">
      <c r="A60" s="19">
        <f t="shared" si="23"/>
        <v>4.8999999999999977</v>
      </c>
      <c r="B60" s="32">
        <f t="shared" si="24"/>
        <v>92.362824015539871</v>
      </c>
      <c r="C60" s="33">
        <f t="shared" si="14"/>
        <v>401.1764705870342</v>
      </c>
      <c r="D60" s="32">
        <f t="shared" si="15"/>
        <v>67.688999999999993</v>
      </c>
      <c r="E60" s="6">
        <f t="shared" si="25"/>
        <v>333.48747058703418</v>
      </c>
      <c r="F60">
        <f t="shared" si="26"/>
        <v>50</v>
      </c>
    </row>
    <row r="61" spans="1:6" x14ac:dyDescent="0.75">
      <c r="A61" s="19">
        <f t="shared" si="23"/>
        <v>4.9999999999999973</v>
      </c>
      <c r="B61" s="32">
        <f t="shared" si="24"/>
        <v>94.247779607693744</v>
      </c>
      <c r="C61" s="33">
        <f t="shared" si="14"/>
        <v>417.70006580798321</v>
      </c>
      <c r="D61" s="32">
        <f t="shared" si="15"/>
        <v>67.688999999999993</v>
      </c>
      <c r="E61" s="6">
        <f t="shared" si="25"/>
        <v>350.01106580798319</v>
      </c>
      <c r="F61">
        <f t="shared" si="26"/>
        <v>51</v>
      </c>
    </row>
    <row r="62" spans="1:6" x14ac:dyDescent="0.75">
      <c r="A62" s="19">
        <f t="shared" si="23"/>
        <v>5.099999999999997</v>
      </c>
      <c r="B62" s="32">
        <f t="shared" si="24"/>
        <v>96.132735199847616</v>
      </c>
      <c r="C62" s="33">
        <f t="shared" si="14"/>
        <v>434.55711384137277</v>
      </c>
      <c r="D62" s="32">
        <f t="shared" si="15"/>
        <v>67.688999999999993</v>
      </c>
      <c r="E62" s="6">
        <f t="shared" si="25"/>
        <v>366.86811384137275</v>
      </c>
      <c r="F62">
        <f t="shared" si="26"/>
        <v>52</v>
      </c>
    </row>
    <row r="63" spans="1:6" x14ac:dyDescent="0.75">
      <c r="A63" s="19">
        <f t="shared" si="23"/>
        <v>5.1999999999999966</v>
      </c>
      <c r="B63" s="32">
        <f t="shared" si="24"/>
        <v>98.017690792001488</v>
      </c>
      <c r="C63" s="33">
        <f t="shared" si="14"/>
        <v>451.74761468720249</v>
      </c>
      <c r="D63" s="32">
        <f t="shared" si="15"/>
        <v>67.688999999999993</v>
      </c>
      <c r="E63" s="6">
        <f t="shared" si="25"/>
        <v>384.05861468720252</v>
      </c>
      <c r="F63">
        <f t="shared" si="26"/>
        <v>53</v>
      </c>
    </row>
    <row r="64" spans="1:6" x14ac:dyDescent="0.75">
      <c r="A64" s="19">
        <f t="shared" si="23"/>
        <v>5.2999999999999963</v>
      </c>
      <c r="B64" s="32">
        <f t="shared" si="24"/>
        <v>99.902646384155361</v>
      </c>
      <c r="C64" s="33">
        <f t="shared" si="14"/>
        <v>469.27156834547293</v>
      </c>
      <c r="D64" s="32">
        <f t="shared" si="15"/>
        <v>67.688999999999993</v>
      </c>
      <c r="E64" s="6">
        <f t="shared" si="25"/>
        <v>401.58256834547296</v>
      </c>
      <c r="F64">
        <f t="shared" si="26"/>
        <v>54</v>
      </c>
    </row>
    <row r="65" spans="1:6" x14ac:dyDescent="0.75">
      <c r="A65" s="19">
        <f t="shared" si="23"/>
        <v>5.3999999999999959</v>
      </c>
      <c r="B65" s="32">
        <f t="shared" si="24"/>
        <v>101.78760197630922</v>
      </c>
      <c r="C65" s="33">
        <f t="shared" si="14"/>
        <v>487.12897481618353</v>
      </c>
      <c r="D65" s="32">
        <f t="shared" si="15"/>
        <v>67.688999999999993</v>
      </c>
      <c r="E65" s="6">
        <f t="shared" si="25"/>
        <v>419.43997481618351</v>
      </c>
      <c r="F65">
        <f t="shared" si="26"/>
        <v>55</v>
      </c>
    </row>
    <row r="66" spans="1:6" x14ac:dyDescent="0.75">
      <c r="A66" s="19">
        <f t="shared" si="23"/>
        <v>5.4999999999999956</v>
      </c>
      <c r="B66" s="32">
        <f t="shared" si="24"/>
        <v>103.67255756846309</v>
      </c>
      <c r="C66" s="33">
        <f t="shared" si="14"/>
        <v>505.31983409933446</v>
      </c>
      <c r="D66" s="32">
        <f t="shared" si="15"/>
        <v>67.688999999999993</v>
      </c>
      <c r="E66" s="6">
        <f t="shared" si="25"/>
        <v>437.63083409933449</v>
      </c>
      <c r="F66">
        <f t="shared" si="26"/>
        <v>56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C038F-17AE-4EDB-8617-7D5D965608A3}">
  <dimension ref="A1:K6"/>
  <sheetViews>
    <sheetView workbookViewId="0">
      <selection activeCell="D22" sqref="D22"/>
    </sheetView>
  </sheetViews>
  <sheetFormatPr defaultRowHeight="14.75" x14ac:dyDescent="0.75"/>
  <cols>
    <col min="2" max="2" width="16.1796875" bestFit="1" customWidth="1"/>
    <col min="3" max="3" width="13.54296875" bestFit="1" customWidth="1"/>
    <col min="4" max="4" width="10.7265625" customWidth="1"/>
    <col min="5" max="5" width="15.453125" bestFit="1" customWidth="1"/>
    <col min="6" max="6" width="12.1796875" bestFit="1" customWidth="1"/>
    <col min="8" max="8" width="11.26953125" bestFit="1" customWidth="1"/>
  </cols>
  <sheetData>
    <row r="1" spans="1:11" ht="14.5" customHeight="1" x14ac:dyDescent="0.75">
      <c r="A1" s="353" t="s">
        <v>242</v>
      </c>
      <c r="B1" s="187"/>
      <c r="C1" s="188" t="s">
        <v>243</v>
      </c>
      <c r="D1" s="189" t="s">
        <v>244</v>
      </c>
      <c r="E1" s="190" t="s">
        <v>245</v>
      </c>
      <c r="F1" s="356" t="s">
        <v>246</v>
      </c>
      <c r="G1" s="356"/>
      <c r="H1" s="357"/>
      <c r="J1" s="204" t="s">
        <v>247</v>
      </c>
      <c r="K1" s="206">
        <v>20659</v>
      </c>
    </row>
    <row r="2" spans="1:11" ht="14.5" customHeight="1" x14ac:dyDescent="0.75">
      <c r="A2" s="354"/>
      <c r="B2" s="191" t="s">
        <v>248</v>
      </c>
      <c r="C2" s="192" t="s">
        <v>249</v>
      </c>
      <c r="D2" s="193" t="s">
        <v>253</v>
      </c>
      <c r="E2" s="193" t="s">
        <v>133</v>
      </c>
      <c r="F2" s="194" t="s">
        <v>250</v>
      </c>
      <c r="G2" s="194" t="s">
        <v>251</v>
      </c>
      <c r="H2" s="195" t="s">
        <v>252</v>
      </c>
    </row>
    <row r="3" spans="1:11" ht="14.5" customHeight="1" x14ac:dyDescent="0.75">
      <c r="A3" s="354"/>
      <c r="B3" s="196" t="s">
        <v>47</v>
      </c>
      <c r="C3" s="197" t="b">
        <f>Main!$C20</f>
        <v>1</v>
      </c>
      <c r="D3" s="198">
        <f>0.167*K1</f>
        <v>3450.0530000000003</v>
      </c>
      <c r="E3" s="196">
        <f>IF($C$3, IF($C$4, $G$3, IF($C$5, $H$3, $F$3)), "FILTER REQUIRED")</f>
        <v>15000</v>
      </c>
      <c r="F3" s="199">
        <v>5000</v>
      </c>
      <c r="G3" s="199">
        <v>20000</v>
      </c>
      <c r="H3" s="200">
        <v>15000</v>
      </c>
    </row>
    <row r="4" spans="1:11" ht="14.5" customHeight="1" x14ac:dyDescent="0.75">
      <c r="A4" s="354"/>
      <c r="B4" s="196" t="s">
        <v>49</v>
      </c>
      <c r="C4" s="197" t="b">
        <f>Main!$C21</f>
        <v>0</v>
      </c>
      <c r="D4" s="198">
        <f>0.0833*K1</f>
        <v>1720.8947000000001</v>
      </c>
      <c r="E4" s="196" t="str">
        <f>IF($C$4,IF($C$5, $H$4, $F$4 ),"")</f>
        <v/>
      </c>
      <c r="F4" s="199">
        <v>10000</v>
      </c>
      <c r="G4" s="199"/>
      <c r="H4" s="200">
        <v>20000</v>
      </c>
    </row>
    <row r="5" spans="1:11" ht="14.5" customHeight="1" x14ac:dyDescent="0.75">
      <c r="A5" s="354"/>
      <c r="B5" s="196" t="s">
        <v>50</v>
      </c>
      <c r="C5" s="197" t="b">
        <f>Main!$C22</f>
        <v>1</v>
      </c>
      <c r="D5" s="198">
        <f>0.00417*K1</f>
        <v>86.148030000000006</v>
      </c>
      <c r="E5" s="201">
        <f>IF($C$5, $F$5, "")</f>
        <v>20000</v>
      </c>
      <c r="F5" s="202">
        <v>20000</v>
      </c>
      <c r="G5" s="202"/>
      <c r="H5" s="203"/>
    </row>
    <row r="6" spans="1:11" ht="14.5" customHeight="1" x14ac:dyDescent="0.75">
      <c r="A6" s="355"/>
      <c r="B6" s="204" t="s">
        <v>31</v>
      </c>
      <c r="C6" s="205"/>
      <c r="D6" s="206" cm="1">
        <f t="array" ref="D6">SUM(D3:D5*C3:C5)</f>
        <v>3536.2010300000002</v>
      </c>
    </row>
  </sheetData>
  <mergeCells count="2">
    <mergeCell ref="A1:A6"/>
    <mergeCell ref="F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07C6F-1222-9949-B18E-3D165A351230}">
  <dimension ref="A1:Z377"/>
  <sheetViews>
    <sheetView topLeftCell="F1" zoomScale="81" zoomScaleNormal="115" workbookViewId="0">
      <selection activeCell="V7" sqref="V7"/>
    </sheetView>
  </sheetViews>
  <sheetFormatPr defaultColWidth="9.1796875" defaultRowHeight="14.75" outlineLevelRow="1" x14ac:dyDescent="0.75"/>
  <cols>
    <col min="1" max="1" width="18.7265625" customWidth="1"/>
    <col min="2" max="3" width="16.1796875" customWidth="1"/>
    <col min="4" max="5" width="12.81640625" hidden="1" customWidth="1"/>
    <col min="6" max="7" width="15.1796875" customWidth="1"/>
    <col min="8" max="9" width="12.81640625" customWidth="1"/>
    <col min="10" max="10" width="13.81640625" bestFit="1" customWidth="1"/>
    <col min="11" max="11" width="12.81640625" customWidth="1"/>
    <col min="12" max="12" width="14.54296875" customWidth="1"/>
    <col min="13" max="13" width="22.81640625" customWidth="1"/>
    <col min="14" max="14" width="16.26953125" customWidth="1"/>
    <col min="15" max="15" width="18.7265625" customWidth="1"/>
    <col min="16" max="16" width="22.81640625" bestFit="1" customWidth="1"/>
    <col min="17" max="17" width="14.81640625" bestFit="1" customWidth="1"/>
    <col min="18" max="18" width="18.1796875" customWidth="1"/>
    <col min="19" max="19" width="20.453125" bestFit="1" customWidth="1"/>
    <col min="20" max="20" width="20.1796875" bestFit="1" customWidth="1"/>
    <col min="21" max="21" width="21" customWidth="1"/>
    <col min="22" max="22" width="23.7265625" customWidth="1"/>
    <col min="23" max="24" width="21.1796875" bestFit="1" customWidth="1"/>
    <col min="25" max="25" width="22.81640625" bestFit="1" customWidth="1"/>
  </cols>
  <sheetData>
    <row r="1" spans="1:26" ht="20.25" customHeight="1" x14ac:dyDescent="0.75">
      <c r="A1" s="358" t="s">
        <v>194</v>
      </c>
      <c r="B1" s="359"/>
      <c r="C1" s="360"/>
      <c r="G1" s="2" t="s">
        <v>195</v>
      </c>
      <c r="H1" s="126">
        <f ca="1">'Pump Main'!$O$3</f>
        <v>0.58889419643639229</v>
      </c>
      <c r="I1" s="3" t="s">
        <v>196</v>
      </c>
      <c r="J1" s="4" t="s">
        <v>197</v>
      </c>
      <c r="K1" s="125">
        <v>10</v>
      </c>
      <c r="L1" s="5" t="s">
        <v>198</v>
      </c>
      <c r="M1" s="250" t="s">
        <v>199</v>
      </c>
      <c r="N1" s="246">
        <f>Main!$C$23</f>
        <v>50</v>
      </c>
      <c r="O1" s="247" t="s">
        <v>52</v>
      </c>
      <c r="P1" s="257" t="s">
        <v>220</v>
      </c>
      <c r="Q1" s="258" t="b">
        <f>Main!$C$27</f>
        <v>1</v>
      </c>
      <c r="R1" s="259" t="s">
        <v>48</v>
      </c>
      <c r="S1" s="268" t="s">
        <v>260</v>
      </c>
      <c r="T1" s="269">
        <v>100</v>
      </c>
      <c r="U1" s="270" t="s">
        <v>261</v>
      </c>
      <c r="V1" s="276" t="s">
        <v>58</v>
      </c>
      <c r="W1" s="277">
        <f>Main!$C$26</f>
        <v>1</v>
      </c>
      <c r="X1" s="278" t="s">
        <v>202</v>
      </c>
    </row>
    <row r="2" spans="1:26" ht="16.75" x14ac:dyDescent="0.75">
      <c r="A2" s="130" t="s">
        <v>203</v>
      </c>
      <c r="B2" s="131">
        <f>Main!$C$5 + Main!$C$3 * IF((Main!$C$4) = "N", 0, IF(Main!$C$4 = "H", 0.5, 1))</f>
        <v>100</v>
      </c>
      <c r="C2" s="132" t="s">
        <v>204</v>
      </c>
      <c r="E2">
        <f>IF(B12/1000*$B$2&lt;=$B$3,B12/1000*$B$2,$B$3)</f>
        <v>0</v>
      </c>
      <c r="J2" s="4" t="s">
        <v>205</v>
      </c>
      <c r="K2" s="125">
        <v>50</v>
      </c>
      <c r="L2" s="5" t="s">
        <v>206</v>
      </c>
      <c r="M2" s="251" t="s">
        <v>207</v>
      </c>
      <c r="N2" s="248">
        <v>24</v>
      </c>
      <c r="O2" s="249" t="s">
        <v>208</v>
      </c>
      <c r="P2" s="257" t="s">
        <v>216</v>
      </c>
      <c r="Q2" s="260">
        <v>350</v>
      </c>
      <c r="R2" s="259" t="s">
        <v>217</v>
      </c>
      <c r="S2" s="266" t="s">
        <v>197</v>
      </c>
      <c r="T2" s="267">
        <v>10</v>
      </c>
      <c r="U2" s="275" t="s">
        <v>198</v>
      </c>
      <c r="V2" s="279" t="s">
        <v>219</v>
      </c>
      <c r="W2" s="280">
        <v>0.96</v>
      </c>
      <c r="X2" s="281" t="s">
        <v>202</v>
      </c>
    </row>
    <row r="3" spans="1:26" x14ac:dyDescent="0.75">
      <c r="F3" s="244"/>
      <c r="J3" s="4" t="s">
        <v>213</v>
      </c>
      <c r="K3" s="142">
        <v>2</v>
      </c>
      <c r="L3" s="5" t="s">
        <v>214</v>
      </c>
      <c r="M3" s="273" t="s">
        <v>200</v>
      </c>
      <c r="N3" s="274" t="b">
        <f>Main!$C$31</f>
        <v>0</v>
      </c>
      <c r="O3" s="321" t="s">
        <v>48</v>
      </c>
      <c r="P3" s="257" t="s">
        <v>222</v>
      </c>
      <c r="Q3" s="258">
        <f>IF((Main!C28="SW-80"),0.62, IF((Main!C28="HES-260"), 1.6, 2))</f>
        <v>1.6</v>
      </c>
      <c r="R3" s="259" t="s">
        <v>11</v>
      </c>
      <c r="S3" s="266" t="s">
        <v>263</v>
      </c>
      <c r="T3" s="267">
        <f>5%</f>
        <v>0.05</v>
      </c>
      <c r="U3" s="275" t="s">
        <v>202</v>
      </c>
      <c r="V3" s="282" t="s">
        <v>264</v>
      </c>
      <c r="W3" s="271">
        <v>2000</v>
      </c>
      <c r="X3" s="283" t="s">
        <v>221</v>
      </c>
    </row>
    <row r="4" spans="1:26" x14ac:dyDescent="0.75">
      <c r="A4" s="128" t="s">
        <v>78</v>
      </c>
      <c r="B4" s="127">
        <f>Main!$C$2</f>
        <v>219</v>
      </c>
      <c r="C4" s="129" t="s">
        <v>8</v>
      </c>
      <c r="I4" s="1"/>
      <c r="J4" s="4" t="s">
        <v>218</v>
      </c>
      <c r="K4" s="252" t="b">
        <f>IF(Main!$C$24 = "Oz", TRUE, FALSE)</f>
        <v>1</v>
      </c>
      <c r="L4" s="5" t="s">
        <v>270</v>
      </c>
      <c r="M4" s="253" t="s">
        <v>209</v>
      </c>
      <c r="N4" s="180">
        <f>40</f>
        <v>40</v>
      </c>
      <c r="O4" s="254" t="s">
        <v>210</v>
      </c>
      <c r="P4" s="257" t="s">
        <v>258</v>
      </c>
      <c r="Q4" s="258">
        <f>Main!$C$29</f>
        <v>4</v>
      </c>
      <c r="R4" s="259" t="s">
        <v>202</v>
      </c>
      <c r="S4" s="266" t="s">
        <v>271</v>
      </c>
      <c r="T4" s="322" t="b">
        <f>IF(Main!$C$24 = "Cl", TRUE,FALSE)</f>
        <v>0</v>
      </c>
      <c r="U4" s="275" t="s">
        <v>48</v>
      </c>
      <c r="V4" s="284" t="s">
        <v>268</v>
      </c>
      <c r="W4" s="285">
        <v>0</v>
      </c>
      <c r="X4" s="286" t="s">
        <v>221</v>
      </c>
    </row>
    <row r="5" spans="1:26" x14ac:dyDescent="0.75">
      <c r="F5" s="245"/>
      <c r="I5" s="1"/>
      <c r="M5" s="255" t="s">
        <v>215</v>
      </c>
      <c r="N5" s="124">
        <v>0.35</v>
      </c>
      <c r="O5" s="256" t="s">
        <v>196</v>
      </c>
      <c r="P5" s="257" t="s">
        <v>201</v>
      </c>
      <c r="Q5" s="261">
        <f>IF((Main!C28="SW-80"),15%, IF((Main!C28="HES-260"), 17%, 13%))</f>
        <v>0.17</v>
      </c>
      <c r="R5" s="262" t="s">
        <v>202</v>
      </c>
    </row>
    <row r="6" spans="1:26" x14ac:dyDescent="0.75">
      <c r="P6" s="263" t="s">
        <v>211</v>
      </c>
      <c r="Q6" s="264">
        <v>0.92</v>
      </c>
      <c r="R6" s="265" t="s">
        <v>202</v>
      </c>
    </row>
    <row r="9" spans="1:26" ht="16.399999999999999" customHeight="1" x14ac:dyDescent="0.75">
      <c r="C9" s="245"/>
      <c r="P9" s="245"/>
      <c r="Q9" t="s">
        <v>282</v>
      </c>
    </row>
    <row r="10" spans="1:26" ht="36.65" customHeight="1" x14ac:dyDescent="0.75">
      <c r="A10" s="298" t="s">
        <v>224</v>
      </c>
      <c r="B10" s="299" t="s">
        <v>225</v>
      </c>
      <c r="C10" s="299" t="s">
        <v>273</v>
      </c>
      <c r="D10" s="299" t="s">
        <v>78</v>
      </c>
      <c r="E10" s="299" t="s">
        <v>226</v>
      </c>
      <c r="F10" s="300" t="s">
        <v>180</v>
      </c>
      <c r="G10" s="301" t="s">
        <v>227</v>
      </c>
      <c r="H10" s="300" t="s">
        <v>228</v>
      </c>
      <c r="I10" s="300" t="s">
        <v>229</v>
      </c>
      <c r="J10" s="302" t="s">
        <v>230</v>
      </c>
      <c r="K10" s="302" t="s">
        <v>230</v>
      </c>
      <c r="L10" s="302" t="s">
        <v>213</v>
      </c>
      <c r="M10" s="302" t="s">
        <v>213</v>
      </c>
      <c r="N10" s="287" t="s">
        <v>231</v>
      </c>
      <c r="O10" s="288" t="s">
        <v>257</v>
      </c>
      <c r="P10" s="289" t="s">
        <v>281</v>
      </c>
      <c r="Q10" s="289" t="s">
        <v>126</v>
      </c>
      <c r="R10" s="290" t="s">
        <v>232</v>
      </c>
      <c r="S10" s="290" t="s">
        <v>259</v>
      </c>
      <c r="T10" s="290" t="s">
        <v>267</v>
      </c>
      <c r="U10" s="291" t="s">
        <v>262</v>
      </c>
      <c r="V10" s="292" t="s">
        <v>265</v>
      </c>
      <c r="W10" s="292" t="s">
        <v>266</v>
      </c>
      <c r="X10" s="293" t="s">
        <v>269</v>
      </c>
      <c r="Y10" s="294" t="s">
        <v>254</v>
      </c>
    </row>
    <row r="11" spans="1:26" ht="17.5" thickBot="1" x14ac:dyDescent="0.9">
      <c r="A11" s="303" t="s">
        <v>233</v>
      </c>
      <c r="B11" s="64" t="s">
        <v>39</v>
      </c>
      <c r="C11" s="64" t="s">
        <v>272</v>
      </c>
      <c r="D11" s="64" t="s">
        <v>212</v>
      </c>
      <c r="E11" s="64" t="s">
        <v>212</v>
      </c>
      <c r="F11" s="7" t="s">
        <v>235</v>
      </c>
      <c r="G11" s="63" t="s">
        <v>234</v>
      </c>
      <c r="H11" s="7" t="s">
        <v>234</v>
      </c>
      <c r="I11" s="7" t="s">
        <v>221</v>
      </c>
      <c r="J11" s="8" t="s">
        <v>237</v>
      </c>
      <c r="K11" s="8" t="s">
        <v>238</v>
      </c>
      <c r="L11" s="8" t="s">
        <v>236</v>
      </c>
      <c r="M11" s="8" t="s">
        <v>221</v>
      </c>
      <c r="N11" s="9" t="s">
        <v>221</v>
      </c>
      <c r="O11" s="10" t="s">
        <v>221</v>
      </c>
      <c r="P11" s="11" t="s">
        <v>221</v>
      </c>
      <c r="Q11" s="11" t="s">
        <v>133</v>
      </c>
      <c r="R11" s="176" t="s">
        <v>239</v>
      </c>
      <c r="S11" s="176" t="s">
        <v>221</v>
      </c>
      <c r="T11" s="177" t="s">
        <v>221</v>
      </c>
      <c r="U11" s="182" t="s">
        <v>241</v>
      </c>
      <c r="V11" s="272" t="s">
        <v>221</v>
      </c>
      <c r="W11" s="272" t="s">
        <v>221</v>
      </c>
      <c r="X11" s="272" t="s">
        <v>221</v>
      </c>
      <c r="Y11" s="295" t="s">
        <v>240</v>
      </c>
    </row>
    <row r="12" spans="1:26" outlineLevel="1" x14ac:dyDescent="0.75">
      <c r="A12" s="304">
        <f>Consumption!A12</f>
        <v>41275</v>
      </c>
      <c r="B12" s="305">
        <f>Consumption!B12</f>
        <v>0</v>
      </c>
      <c r="C12" s="41">
        <f ca="1">Consumption!C12</f>
        <v>0</v>
      </c>
      <c r="D12" s="41">
        <f t="shared" ref="D12:D75" si="0">$B$4/1000</f>
        <v>0.219</v>
      </c>
      <c r="E12" s="41">
        <f ca="1">B5+C12-D12</f>
        <v>-0.219</v>
      </c>
      <c r="F12" s="306">
        <f ca="1">'Pump Main'!$M$3*1000</f>
        <v>124614.17111887744</v>
      </c>
      <c r="G12" s="41">
        <f t="shared" ref="G12:G75" ca="1" si="1">C12*F12</f>
        <v>0</v>
      </c>
      <c r="H12" s="6">
        <f ca="1">G12/$H$1</f>
        <v>0</v>
      </c>
      <c r="I12" s="6">
        <f ca="1">H12/3600</f>
        <v>0</v>
      </c>
      <c r="J12" s="6">
        <f ca="1">$K$4*$K$2/$K$1*C12*1000</f>
        <v>0</v>
      </c>
      <c r="K12" s="6">
        <f ca="1">J12/1000</f>
        <v>0</v>
      </c>
      <c r="L12" s="6">
        <f t="shared" ref="L12:L75" ca="1" si="2">$K$3*K12</f>
        <v>0</v>
      </c>
      <c r="M12">
        <f ca="1">L12*10^6/3600</f>
        <v>0</v>
      </c>
      <c r="N12" s="6">
        <f>$N$1*$N$2</f>
        <v>1200</v>
      </c>
      <c r="O12" s="6">
        <f ca="1">I12+M12+N12</f>
        <v>1200</v>
      </c>
      <c r="P12">
        <f>IF($N$3, O12-N12+V12, 0)</f>
        <v>0</v>
      </c>
      <c r="Q12" s="6">
        <f>IF($N$3,P12*3600/10^6 / $N$5 / $N$4, 0)</f>
        <v>0</v>
      </c>
      <c r="R12" s="296">
        <v>8.5</v>
      </c>
      <c r="S12">
        <f t="shared" ref="S12:S75" si="3">IF($Q$1, $Q$2 * $Q$3 * R12 * $Q$4 * $Q$5, 0)</f>
        <v>3236.8</v>
      </c>
      <c r="T12">
        <f>S12*$Q$6</f>
        <v>2977.8560000000002</v>
      </c>
      <c r="U12">
        <f t="shared" ref="U12:U75" ca="1" si="4">$T$1/$T$2*C12/$T$3/1000*$T$4</f>
        <v>0</v>
      </c>
      <c r="V12">
        <f>IF($N$3, (X12-$W$4+W12/$W$2)/$W$2, T12)</f>
        <v>2977.8560000000002</v>
      </c>
      <c r="W12">
        <f ca="1">IF($N$3, N12, MIN(O12, $W$2 * ($W$4+V12*$W$2)))</f>
        <v>1200</v>
      </c>
      <c r="X12">
        <f ca="1">IF($N$3, 0, MIN($W$4+V12*$W$2 - W12 / $W$2, $W$1*$W$3))</f>
        <v>1608.7417599999999</v>
      </c>
      <c r="Y12" s="297" t="str">
        <f t="shared" ref="Y12:Y75" ca="1" si="5">IF(IF($N$3, FALSE, W12 &lt; O12),"No", "Yes")</f>
        <v>Yes</v>
      </c>
      <c r="Z12" t="s">
        <v>283</v>
      </c>
    </row>
    <row r="13" spans="1:26" outlineLevel="1" x14ac:dyDescent="0.75">
      <c r="A13" s="304">
        <f>Consumption!A13</f>
        <v>41276</v>
      </c>
      <c r="B13" s="305">
        <f>Consumption!B13</f>
        <v>0</v>
      </c>
      <c r="C13" s="41">
        <f ca="1">Consumption!C13</f>
        <v>0</v>
      </c>
      <c r="D13" s="41">
        <f t="shared" si="0"/>
        <v>0.219</v>
      </c>
      <c r="E13" s="41">
        <f t="shared" ref="E13:E76" ca="1" si="6">E12+C13-D13</f>
        <v>-0.438</v>
      </c>
      <c r="F13" s="306">
        <f ca="1">'Pump Main'!$M$3*1000</f>
        <v>124614.17111887744</v>
      </c>
      <c r="G13" s="41">
        <f t="shared" ca="1" si="1"/>
        <v>0</v>
      </c>
      <c r="H13" s="6">
        <f t="shared" ref="H13:H75" ca="1" si="7">G13/$H$1</f>
        <v>0</v>
      </c>
      <c r="I13" s="6">
        <f t="shared" ref="I13:I76" ca="1" si="8">H13/3600</f>
        <v>0</v>
      </c>
      <c r="J13" s="6">
        <f ca="1">$K$4*$K$2/$K$1*C13*1000</f>
        <v>0</v>
      </c>
      <c r="K13" s="6">
        <f ca="1">J13/1000</f>
        <v>0</v>
      </c>
      <c r="L13" s="6">
        <f t="shared" ca="1" si="2"/>
        <v>0</v>
      </c>
      <c r="M13">
        <f ca="1">L13*10^6/3600</f>
        <v>0</v>
      </c>
      <c r="N13" s="6">
        <f>$N$1*$N$2</f>
        <v>1200</v>
      </c>
      <c r="O13" s="6">
        <f t="shared" ref="O13:O76" ca="1" si="9">I13+M13+N13</f>
        <v>1200</v>
      </c>
      <c r="P13">
        <f t="shared" ref="P13:P76" si="10">IF($N$3, O13-N13+V13, 0)</f>
        <v>0</v>
      </c>
      <c r="Q13" s="6">
        <f>IF($N$3,P13*3600/10^6 / $N$5 / $N$4, 0)</f>
        <v>0</v>
      </c>
      <c r="R13" s="296">
        <v>8.5</v>
      </c>
      <c r="S13">
        <f t="shared" si="3"/>
        <v>3236.8</v>
      </c>
      <c r="T13">
        <f t="shared" ref="T13:T75" si="11">S13*$Q$6</f>
        <v>2977.8560000000002</v>
      </c>
      <c r="U13">
        <f t="shared" ca="1" si="4"/>
        <v>0</v>
      </c>
      <c r="V13">
        <f t="shared" ref="V13:V76" si="12">IF($N$3, (X13-X12+W13/$W$2)/$W$2, T13)</f>
        <v>2977.8560000000002</v>
      </c>
      <c r="W13">
        <f ca="1">IF($N$3, N13, MIN(O13, $W$2 * (X12+V13*$W$2)))</f>
        <v>1200</v>
      </c>
      <c r="X13">
        <f t="shared" ref="X13:X76" ca="1" si="13">IF($N$3, 0, MIN(X12+V13*$W$2 - W13 / $W$2, $W$1*$W$3))</f>
        <v>2000</v>
      </c>
      <c r="Y13" s="297" t="str">
        <f t="shared" ca="1" si="5"/>
        <v>Yes</v>
      </c>
    </row>
    <row r="14" spans="1:26" outlineLevel="1" x14ac:dyDescent="0.75">
      <c r="A14" s="304">
        <f>Consumption!A14</f>
        <v>41277</v>
      </c>
      <c r="B14" s="305">
        <f>Consumption!B14</f>
        <v>0</v>
      </c>
      <c r="C14" s="41">
        <f ca="1">Consumption!C14</f>
        <v>0</v>
      </c>
      <c r="D14" s="41">
        <f t="shared" si="0"/>
        <v>0.219</v>
      </c>
      <c r="E14" s="41">
        <f t="shared" ca="1" si="6"/>
        <v>-0.65700000000000003</v>
      </c>
      <c r="F14" s="306">
        <f ca="1">'Pump Main'!$M$3*1000</f>
        <v>124614.17111887744</v>
      </c>
      <c r="G14" s="41">
        <f t="shared" ca="1" si="1"/>
        <v>0</v>
      </c>
      <c r="H14" s="6">
        <f t="shared" ca="1" si="7"/>
        <v>0</v>
      </c>
      <c r="I14" s="6">
        <f t="shared" ca="1" si="8"/>
        <v>0</v>
      </c>
      <c r="J14" s="6">
        <f t="shared" ref="J14:J75" ca="1" si="14">$K$4*$K$2/$K$1*C14*1000</f>
        <v>0</v>
      </c>
      <c r="K14" s="6">
        <f t="shared" ref="K14:K75" ca="1" si="15">J14/1000</f>
        <v>0</v>
      </c>
      <c r="L14" s="6">
        <f t="shared" ca="1" si="2"/>
        <v>0</v>
      </c>
      <c r="M14">
        <f t="shared" ref="M14:M76" ca="1" si="16">L14*10^6/3600</f>
        <v>0</v>
      </c>
      <c r="N14" s="6">
        <f t="shared" ref="N14:N76" si="17">$N$1*$N$2</f>
        <v>1200</v>
      </c>
      <c r="O14" s="6">
        <f t="shared" ca="1" si="9"/>
        <v>1200</v>
      </c>
      <c r="P14">
        <f t="shared" si="10"/>
        <v>0</v>
      </c>
      <c r="Q14" s="6">
        <f>IF($N$3,P14*3600/10^6 / $N$5 / $N$4, 0)</f>
        <v>0</v>
      </c>
      <c r="R14" s="296">
        <v>8.5</v>
      </c>
      <c r="S14">
        <f t="shared" si="3"/>
        <v>3236.8</v>
      </c>
      <c r="T14">
        <f t="shared" si="11"/>
        <v>2977.8560000000002</v>
      </c>
      <c r="U14">
        <f t="shared" ca="1" si="4"/>
        <v>0</v>
      </c>
      <c r="V14">
        <f t="shared" si="12"/>
        <v>2977.8560000000002</v>
      </c>
      <c r="W14">
        <f t="shared" ref="W14:W77" ca="1" si="18">IF($N$3, N14, MIN(O14, $W$2 * (X13+V14*$W$2)))</f>
        <v>1200</v>
      </c>
      <c r="X14">
        <f t="shared" ca="1" si="13"/>
        <v>2000</v>
      </c>
      <c r="Y14" s="297" t="str">
        <f t="shared" ca="1" si="5"/>
        <v>Yes</v>
      </c>
    </row>
    <row r="15" spans="1:26" outlineLevel="1" x14ac:dyDescent="0.75">
      <c r="A15" s="304">
        <f>Consumption!A15</f>
        <v>41278</v>
      </c>
      <c r="B15" s="305">
        <f>Consumption!B15</f>
        <v>0</v>
      </c>
      <c r="C15" s="41">
        <f ca="1">Consumption!C15</f>
        <v>0</v>
      </c>
      <c r="D15" s="41">
        <f t="shared" si="0"/>
        <v>0.219</v>
      </c>
      <c r="E15" s="41">
        <f t="shared" ca="1" si="6"/>
        <v>-0.876</v>
      </c>
      <c r="F15" s="306">
        <f ca="1">'Pump Main'!$M$3*1000</f>
        <v>124614.17111887744</v>
      </c>
      <c r="G15" s="41">
        <f t="shared" ca="1" si="1"/>
        <v>0</v>
      </c>
      <c r="H15" s="6">
        <f t="shared" ca="1" si="7"/>
        <v>0</v>
      </c>
      <c r="I15" s="6">
        <f t="shared" ca="1" si="8"/>
        <v>0</v>
      </c>
      <c r="J15" s="6">
        <f t="shared" ca="1" si="14"/>
        <v>0</v>
      </c>
      <c r="K15" s="6">
        <f t="shared" ca="1" si="15"/>
        <v>0</v>
      </c>
      <c r="L15" s="6">
        <f t="shared" ca="1" si="2"/>
        <v>0</v>
      </c>
      <c r="M15">
        <f t="shared" ca="1" si="16"/>
        <v>0</v>
      </c>
      <c r="N15" s="6">
        <f t="shared" si="17"/>
        <v>1200</v>
      </c>
      <c r="O15" s="6">
        <f t="shared" ca="1" si="9"/>
        <v>1200</v>
      </c>
      <c r="P15">
        <f t="shared" si="10"/>
        <v>0</v>
      </c>
      <c r="Q15" s="6">
        <f t="shared" ref="Q15:Q75" si="19">IF($N$3,P15*3600/10^6 / $N$5 / $N$4, 0)</f>
        <v>0</v>
      </c>
      <c r="R15" s="296">
        <v>8.5</v>
      </c>
      <c r="S15">
        <f t="shared" si="3"/>
        <v>3236.8</v>
      </c>
      <c r="T15">
        <f t="shared" si="11"/>
        <v>2977.8560000000002</v>
      </c>
      <c r="U15">
        <f t="shared" ca="1" si="4"/>
        <v>0</v>
      </c>
      <c r="V15">
        <f t="shared" si="12"/>
        <v>2977.8560000000002</v>
      </c>
      <c r="W15">
        <f t="shared" ca="1" si="18"/>
        <v>1200</v>
      </c>
      <c r="X15">
        <f t="shared" ca="1" si="13"/>
        <v>2000</v>
      </c>
      <c r="Y15" s="297" t="str">
        <f t="shared" ca="1" si="5"/>
        <v>Yes</v>
      </c>
    </row>
    <row r="16" spans="1:26" outlineLevel="1" x14ac:dyDescent="0.75">
      <c r="A16" s="304">
        <f>Consumption!A16</f>
        <v>41279</v>
      </c>
      <c r="B16" s="305">
        <f>Consumption!B16</f>
        <v>4.4000000000000004</v>
      </c>
      <c r="C16" s="41">
        <f ca="1">Consumption!C16</f>
        <v>0.44000000000000006</v>
      </c>
      <c r="D16" s="41">
        <f t="shared" si="0"/>
        <v>0.219</v>
      </c>
      <c r="E16" s="41">
        <f t="shared" ca="1" si="6"/>
        <v>-0.65499999999999992</v>
      </c>
      <c r="F16" s="306">
        <f ca="1">'Pump Main'!$M$3*1000</f>
        <v>124614.17111887744</v>
      </c>
      <c r="G16" s="41">
        <f t="shared" ca="1" si="1"/>
        <v>54830.235292306075</v>
      </c>
      <c r="H16" s="6">
        <f t="shared" ca="1" si="7"/>
        <v>93107.107565507147</v>
      </c>
      <c r="I16" s="6">
        <f t="shared" ca="1" si="8"/>
        <v>25.863085434863095</v>
      </c>
      <c r="J16" s="6">
        <f t="shared" ca="1" si="14"/>
        <v>2200</v>
      </c>
      <c r="K16" s="6">
        <f t="shared" ca="1" si="15"/>
        <v>2.2000000000000002</v>
      </c>
      <c r="L16" s="6">
        <f t="shared" ca="1" si="2"/>
        <v>4.4000000000000004</v>
      </c>
      <c r="M16">
        <f t="shared" ca="1" si="16"/>
        <v>1222.2222222222222</v>
      </c>
      <c r="N16" s="6">
        <f t="shared" si="17"/>
        <v>1200</v>
      </c>
      <c r="O16" s="6">
        <f t="shared" ca="1" si="9"/>
        <v>2448.0853076570852</v>
      </c>
      <c r="P16">
        <f t="shared" si="10"/>
        <v>0</v>
      </c>
      <c r="Q16" s="6">
        <f t="shared" si="19"/>
        <v>0</v>
      </c>
      <c r="R16" s="296">
        <v>8.5</v>
      </c>
      <c r="S16">
        <f t="shared" si="3"/>
        <v>3236.8</v>
      </c>
      <c r="T16">
        <f t="shared" si="11"/>
        <v>2977.8560000000002</v>
      </c>
      <c r="U16">
        <f t="shared" ca="1" si="4"/>
        <v>0</v>
      </c>
      <c r="V16">
        <f t="shared" si="12"/>
        <v>2977.8560000000002</v>
      </c>
      <c r="W16">
        <f t="shared" ca="1" si="18"/>
        <v>2448.0853076570852</v>
      </c>
      <c r="X16">
        <f t="shared" ca="1" si="13"/>
        <v>2000</v>
      </c>
      <c r="Y16" s="297" t="str">
        <f t="shared" ca="1" si="5"/>
        <v>Yes</v>
      </c>
    </row>
    <row r="17" spans="1:25" outlineLevel="1" x14ac:dyDescent="0.75">
      <c r="A17" s="304">
        <f>Consumption!A17</f>
        <v>41280</v>
      </c>
      <c r="B17" s="305">
        <f>Consumption!B17</f>
        <v>5.6</v>
      </c>
      <c r="C17" s="41">
        <f ca="1">Consumption!C17</f>
        <v>0.56000000000000005</v>
      </c>
      <c r="D17" s="41">
        <f t="shared" si="0"/>
        <v>0.219</v>
      </c>
      <c r="E17" s="41">
        <f t="shared" ca="1" si="6"/>
        <v>-0.31399999999999983</v>
      </c>
      <c r="F17" s="306">
        <f ca="1">'Pump Main'!$M$3*1000</f>
        <v>124614.17111887744</v>
      </c>
      <c r="G17" s="41">
        <f t="shared" ca="1" si="1"/>
        <v>69783.935826571367</v>
      </c>
      <c r="H17" s="6">
        <f t="shared" ca="1" si="7"/>
        <v>118499.95508337274</v>
      </c>
      <c r="I17" s="6">
        <f t="shared" ca="1" si="8"/>
        <v>32.916654189825763</v>
      </c>
      <c r="J17" s="6">
        <f t="shared" ca="1" si="14"/>
        <v>2800.0000000000005</v>
      </c>
      <c r="K17" s="6">
        <f t="shared" ca="1" si="15"/>
        <v>2.8000000000000003</v>
      </c>
      <c r="L17" s="6">
        <f t="shared" ca="1" si="2"/>
        <v>5.6000000000000005</v>
      </c>
      <c r="M17">
        <f t="shared" ca="1" si="16"/>
        <v>1555.5555555555559</v>
      </c>
      <c r="N17" s="6">
        <f t="shared" si="17"/>
        <v>1200</v>
      </c>
      <c r="O17" s="6">
        <f t="shared" ca="1" si="9"/>
        <v>2788.4722097453814</v>
      </c>
      <c r="P17">
        <f t="shared" si="10"/>
        <v>0</v>
      </c>
      <c r="Q17" s="6">
        <f t="shared" si="19"/>
        <v>0</v>
      </c>
      <c r="R17" s="296">
        <v>8.5</v>
      </c>
      <c r="S17">
        <f t="shared" si="3"/>
        <v>3236.8</v>
      </c>
      <c r="T17">
        <f t="shared" si="11"/>
        <v>2977.8560000000002</v>
      </c>
      <c r="U17">
        <f t="shared" ca="1" si="4"/>
        <v>0</v>
      </c>
      <c r="V17">
        <f t="shared" si="12"/>
        <v>2977.8560000000002</v>
      </c>
      <c r="W17">
        <f t="shared" ca="1" si="18"/>
        <v>2788.4722097453814</v>
      </c>
      <c r="X17">
        <f t="shared" ca="1" si="13"/>
        <v>1954.083208181894</v>
      </c>
      <c r="Y17" s="297" t="str">
        <f t="shared" ca="1" si="5"/>
        <v>Yes</v>
      </c>
    </row>
    <row r="18" spans="1:25" outlineLevel="1" x14ac:dyDescent="0.75">
      <c r="A18" s="304">
        <f>Consumption!A18</f>
        <v>41281</v>
      </c>
      <c r="B18" s="305">
        <f>Consumption!B18</f>
        <v>5</v>
      </c>
      <c r="C18" s="41">
        <f ca="1">Consumption!C18</f>
        <v>0.5</v>
      </c>
      <c r="D18" s="41">
        <f t="shared" si="0"/>
        <v>0.219</v>
      </c>
      <c r="E18" s="41">
        <f t="shared" ca="1" si="6"/>
        <v>-3.2999999999999835E-2</v>
      </c>
      <c r="F18" s="306">
        <f ca="1">'Pump Main'!$M$3*1000</f>
        <v>124614.17111887744</v>
      </c>
      <c r="G18" s="41">
        <f t="shared" ca="1" si="1"/>
        <v>62307.085559438718</v>
      </c>
      <c r="H18" s="6">
        <f t="shared" ca="1" si="7"/>
        <v>105803.53132443994</v>
      </c>
      <c r="I18" s="6">
        <f t="shared" ca="1" si="8"/>
        <v>29.389869812344429</v>
      </c>
      <c r="J18" s="6">
        <f t="shared" ca="1" si="14"/>
        <v>2500</v>
      </c>
      <c r="K18" s="6">
        <f t="shared" ca="1" si="15"/>
        <v>2.5</v>
      </c>
      <c r="L18" s="6">
        <f t="shared" ca="1" si="2"/>
        <v>5</v>
      </c>
      <c r="M18">
        <f t="shared" ca="1" si="16"/>
        <v>1388.8888888888889</v>
      </c>
      <c r="N18" s="6">
        <f t="shared" si="17"/>
        <v>1200</v>
      </c>
      <c r="O18" s="6">
        <f t="shared" ca="1" si="9"/>
        <v>2618.2787587012335</v>
      </c>
      <c r="P18">
        <f t="shared" si="10"/>
        <v>0</v>
      </c>
      <c r="Q18" s="6">
        <f t="shared" si="19"/>
        <v>0</v>
      </c>
      <c r="R18" s="296">
        <v>8.5</v>
      </c>
      <c r="S18">
        <f t="shared" si="3"/>
        <v>3236.8</v>
      </c>
      <c r="T18">
        <f t="shared" si="11"/>
        <v>2977.8560000000002</v>
      </c>
      <c r="U18">
        <f t="shared" ca="1" si="4"/>
        <v>0</v>
      </c>
      <c r="V18">
        <f t="shared" si="12"/>
        <v>2977.8560000000002</v>
      </c>
      <c r="W18">
        <f t="shared" ca="1" si="18"/>
        <v>2618.2787587012335</v>
      </c>
      <c r="X18">
        <f t="shared" ca="1" si="13"/>
        <v>2000</v>
      </c>
      <c r="Y18" s="297" t="str">
        <f t="shared" ca="1" si="5"/>
        <v>Yes</v>
      </c>
    </row>
    <row r="19" spans="1:25" outlineLevel="1" x14ac:dyDescent="0.75">
      <c r="A19" s="304">
        <f>Consumption!A19</f>
        <v>41282</v>
      </c>
      <c r="B19" s="305">
        <f>Consumption!B19</f>
        <v>2.6</v>
      </c>
      <c r="C19" s="41">
        <f ca="1">Consumption!C19</f>
        <v>0.26</v>
      </c>
      <c r="D19" s="41">
        <f t="shared" si="0"/>
        <v>0.219</v>
      </c>
      <c r="E19" s="41">
        <f t="shared" ca="1" si="6"/>
        <v>8.0000000000001736E-3</v>
      </c>
      <c r="F19" s="306">
        <f ca="1">'Pump Main'!$M$3*1000</f>
        <v>124614.17111887744</v>
      </c>
      <c r="G19" s="41">
        <f t="shared" ca="1" si="1"/>
        <v>32399.684490908134</v>
      </c>
      <c r="H19" s="6">
        <f t="shared" ca="1" si="7"/>
        <v>55017.836288708771</v>
      </c>
      <c r="I19" s="6">
        <f t="shared" ca="1" si="8"/>
        <v>15.282732302419102</v>
      </c>
      <c r="J19" s="6">
        <f t="shared" ca="1" si="14"/>
        <v>1300</v>
      </c>
      <c r="K19" s="6">
        <f t="shared" ca="1" si="15"/>
        <v>1.3</v>
      </c>
      <c r="L19" s="6">
        <f t="shared" ca="1" si="2"/>
        <v>2.6</v>
      </c>
      <c r="M19">
        <f t="shared" ca="1" si="16"/>
        <v>722.22222222222217</v>
      </c>
      <c r="N19" s="6">
        <f t="shared" si="17"/>
        <v>1200</v>
      </c>
      <c r="O19" s="6">
        <f t="shared" ca="1" si="9"/>
        <v>1937.5049545246411</v>
      </c>
      <c r="P19">
        <f t="shared" si="10"/>
        <v>0</v>
      </c>
      <c r="Q19" s="6">
        <f t="shared" si="19"/>
        <v>0</v>
      </c>
      <c r="R19" s="296">
        <v>8.5</v>
      </c>
      <c r="S19">
        <f t="shared" si="3"/>
        <v>3236.8</v>
      </c>
      <c r="T19">
        <f t="shared" si="11"/>
        <v>2977.8560000000002</v>
      </c>
      <c r="U19">
        <f t="shared" ca="1" si="4"/>
        <v>0</v>
      </c>
      <c r="V19">
        <f t="shared" si="12"/>
        <v>2977.8560000000002</v>
      </c>
      <c r="W19">
        <f t="shared" ca="1" si="18"/>
        <v>1937.5049545246411</v>
      </c>
      <c r="X19">
        <f t="shared" ca="1" si="13"/>
        <v>2000</v>
      </c>
      <c r="Y19" s="297" t="str">
        <f t="shared" ca="1" si="5"/>
        <v>Yes</v>
      </c>
    </row>
    <row r="20" spans="1:25" outlineLevel="1" x14ac:dyDescent="0.75">
      <c r="A20" s="304">
        <f>Consumption!A20</f>
        <v>41283</v>
      </c>
      <c r="B20" s="305">
        <f>Consumption!B20</f>
        <v>0.2</v>
      </c>
      <c r="C20" s="41">
        <f ca="1">Consumption!C20</f>
        <v>0.02</v>
      </c>
      <c r="D20" s="41">
        <f t="shared" si="0"/>
        <v>0.219</v>
      </c>
      <c r="E20" s="41">
        <f t="shared" ca="1" si="6"/>
        <v>-0.19099999999999984</v>
      </c>
      <c r="F20" s="306">
        <f ca="1">'Pump Main'!$M$3*1000</f>
        <v>124614.17111887744</v>
      </c>
      <c r="G20" s="41">
        <f t="shared" ca="1" si="1"/>
        <v>2492.283422377549</v>
      </c>
      <c r="H20" s="6">
        <f t="shared" ca="1" si="7"/>
        <v>4232.141252977598</v>
      </c>
      <c r="I20" s="6">
        <f t="shared" ca="1" si="8"/>
        <v>1.1755947924937773</v>
      </c>
      <c r="J20" s="6">
        <f t="shared" ca="1" si="14"/>
        <v>100</v>
      </c>
      <c r="K20" s="6">
        <f t="shared" ca="1" si="15"/>
        <v>0.1</v>
      </c>
      <c r="L20" s="6">
        <f t="shared" ca="1" si="2"/>
        <v>0.2</v>
      </c>
      <c r="M20">
        <f t="shared" ca="1" si="16"/>
        <v>55.555555555555557</v>
      </c>
      <c r="N20" s="6">
        <f t="shared" si="17"/>
        <v>1200</v>
      </c>
      <c r="O20" s="6">
        <f t="shared" ca="1" si="9"/>
        <v>1256.7311503480494</v>
      </c>
      <c r="P20">
        <f t="shared" si="10"/>
        <v>0</v>
      </c>
      <c r="Q20" s="6">
        <f t="shared" si="19"/>
        <v>0</v>
      </c>
      <c r="R20" s="296">
        <v>8.5</v>
      </c>
      <c r="S20">
        <f t="shared" si="3"/>
        <v>3236.8</v>
      </c>
      <c r="T20">
        <f t="shared" si="11"/>
        <v>2977.8560000000002</v>
      </c>
      <c r="U20">
        <f t="shared" ca="1" si="4"/>
        <v>0</v>
      </c>
      <c r="V20">
        <f t="shared" si="12"/>
        <v>2977.8560000000002</v>
      </c>
      <c r="W20">
        <f t="shared" ca="1" si="18"/>
        <v>1256.7311503480494</v>
      </c>
      <c r="X20">
        <f t="shared" ca="1" si="13"/>
        <v>2000</v>
      </c>
      <c r="Y20" s="297" t="str">
        <f t="shared" ca="1" si="5"/>
        <v>Yes</v>
      </c>
    </row>
    <row r="21" spans="1:25" outlineLevel="1" x14ac:dyDescent="0.75">
      <c r="A21" s="304">
        <f>Consumption!A21</f>
        <v>41284</v>
      </c>
      <c r="B21" s="305">
        <f>Consumption!B21</f>
        <v>0</v>
      </c>
      <c r="C21" s="41">
        <f ca="1">Consumption!C21</f>
        <v>0</v>
      </c>
      <c r="D21" s="41">
        <f t="shared" si="0"/>
        <v>0.219</v>
      </c>
      <c r="E21" s="41">
        <f t="shared" ca="1" si="6"/>
        <v>-0.40999999999999981</v>
      </c>
      <c r="F21" s="306">
        <f ca="1">'Pump Main'!$M$3*1000</f>
        <v>124614.17111887744</v>
      </c>
      <c r="G21" s="41">
        <f t="shared" ca="1" si="1"/>
        <v>0</v>
      </c>
      <c r="H21" s="6">
        <f t="shared" ca="1" si="7"/>
        <v>0</v>
      </c>
      <c r="I21" s="6">
        <f t="shared" ca="1" si="8"/>
        <v>0</v>
      </c>
      <c r="J21" s="6">
        <f t="shared" ca="1" si="14"/>
        <v>0</v>
      </c>
      <c r="K21" s="6">
        <f t="shared" ca="1" si="15"/>
        <v>0</v>
      </c>
      <c r="L21" s="6">
        <f t="shared" ca="1" si="2"/>
        <v>0</v>
      </c>
      <c r="M21">
        <f t="shared" ca="1" si="16"/>
        <v>0</v>
      </c>
      <c r="N21" s="6">
        <f t="shared" si="17"/>
        <v>1200</v>
      </c>
      <c r="O21" s="6">
        <f t="shared" ca="1" si="9"/>
        <v>1200</v>
      </c>
      <c r="P21">
        <f t="shared" si="10"/>
        <v>0</v>
      </c>
      <c r="Q21" s="6">
        <f t="shared" si="19"/>
        <v>0</v>
      </c>
      <c r="R21" s="296">
        <v>8.5</v>
      </c>
      <c r="S21">
        <f t="shared" si="3"/>
        <v>3236.8</v>
      </c>
      <c r="T21">
        <f t="shared" si="11"/>
        <v>2977.8560000000002</v>
      </c>
      <c r="U21">
        <f t="shared" ca="1" si="4"/>
        <v>0</v>
      </c>
      <c r="V21">
        <f t="shared" si="12"/>
        <v>2977.8560000000002</v>
      </c>
      <c r="W21">
        <f t="shared" ca="1" si="18"/>
        <v>1200</v>
      </c>
      <c r="X21">
        <f t="shared" ca="1" si="13"/>
        <v>2000</v>
      </c>
      <c r="Y21" s="297" t="str">
        <f t="shared" ca="1" si="5"/>
        <v>Yes</v>
      </c>
    </row>
    <row r="22" spans="1:25" outlineLevel="1" x14ac:dyDescent="0.75">
      <c r="A22" s="304">
        <f>Consumption!A22</f>
        <v>41285</v>
      </c>
      <c r="B22" s="305">
        <f>Consumption!B22</f>
        <v>0</v>
      </c>
      <c r="C22" s="41">
        <f ca="1">Consumption!C22</f>
        <v>0</v>
      </c>
      <c r="D22" s="41">
        <f t="shared" si="0"/>
        <v>0.219</v>
      </c>
      <c r="E22" s="41">
        <f t="shared" ca="1" si="6"/>
        <v>-0.62899999999999978</v>
      </c>
      <c r="F22" s="306">
        <f ca="1">'Pump Main'!$M$3*1000</f>
        <v>124614.17111887744</v>
      </c>
      <c r="G22" s="41">
        <f t="shared" ca="1" si="1"/>
        <v>0</v>
      </c>
      <c r="H22" s="6">
        <f t="shared" ca="1" si="7"/>
        <v>0</v>
      </c>
      <c r="I22" s="6">
        <f t="shared" ca="1" si="8"/>
        <v>0</v>
      </c>
      <c r="J22" s="6">
        <f t="shared" ca="1" si="14"/>
        <v>0</v>
      </c>
      <c r="K22" s="6">
        <f t="shared" ca="1" si="15"/>
        <v>0</v>
      </c>
      <c r="L22" s="6">
        <f t="shared" ca="1" si="2"/>
        <v>0</v>
      </c>
      <c r="M22">
        <f t="shared" ca="1" si="16"/>
        <v>0</v>
      </c>
      <c r="N22" s="6">
        <f t="shared" si="17"/>
        <v>1200</v>
      </c>
      <c r="O22" s="6">
        <f t="shared" ca="1" si="9"/>
        <v>1200</v>
      </c>
      <c r="P22">
        <f t="shared" si="10"/>
        <v>0</v>
      </c>
      <c r="Q22" s="6">
        <f t="shared" si="19"/>
        <v>0</v>
      </c>
      <c r="R22" s="296">
        <v>8.5</v>
      </c>
      <c r="S22">
        <f t="shared" si="3"/>
        <v>3236.8</v>
      </c>
      <c r="T22">
        <f t="shared" si="11"/>
        <v>2977.8560000000002</v>
      </c>
      <c r="U22">
        <f t="shared" ca="1" si="4"/>
        <v>0</v>
      </c>
      <c r="V22">
        <f t="shared" si="12"/>
        <v>2977.8560000000002</v>
      </c>
      <c r="W22">
        <f t="shared" ca="1" si="18"/>
        <v>1200</v>
      </c>
      <c r="X22">
        <f t="shared" ca="1" si="13"/>
        <v>2000</v>
      </c>
      <c r="Y22" s="297" t="str">
        <f t="shared" ca="1" si="5"/>
        <v>Yes</v>
      </c>
    </row>
    <row r="23" spans="1:25" outlineLevel="1" x14ac:dyDescent="0.75">
      <c r="A23" s="304">
        <f>Consumption!A23</f>
        <v>41286</v>
      </c>
      <c r="B23" s="305">
        <f>Consumption!B23</f>
        <v>0</v>
      </c>
      <c r="C23" s="41">
        <f ca="1">Consumption!C23</f>
        <v>0</v>
      </c>
      <c r="D23" s="41">
        <f t="shared" si="0"/>
        <v>0.219</v>
      </c>
      <c r="E23" s="41">
        <f t="shared" ca="1" si="6"/>
        <v>-0.84799999999999975</v>
      </c>
      <c r="F23" s="306">
        <f ca="1">'Pump Main'!$M$3*1000</f>
        <v>124614.17111887744</v>
      </c>
      <c r="G23" s="41">
        <f t="shared" ca="1" si="1"/>
        <v>0</v>
      </c>
      <c r="H23" s="6">
        <f t="shared" ca="1" si="7"/>
        <v>0</v>
      </c>
      <c r="I23" s="6">
        <f t="shared" ca="1" si="8"/>
        <v>0</v>
      </c>
      <c r="J23" s="6">
        <f t="shared" ca="1" si="14"/>
        <v>0</v>
      </c>
      <c r="K23" s="6">
        <f t="shared" ca="1" si="15"/>
        <v>0</v>
      </c>
      <c r="L23" s="6">
        <f t="shared" ca="1" si="2"/>
        <v>0</v>
      </c>
      <c r="M23">
        <f t="shared" ca="1" si="16"/>
        <v>0</v>
      </c>
      <c r="N23" s="6">
        <f t="shared" si="17"/>
        <v>1200</v>
      </c>
      <c r="O23" s="6">
        <f t="shared" ca="1" si="9"/>
        <v>1200</v>
      </c>
      <c r="P23">
        <f t="shared" si="10"/>
        <v>0</v>
      </c>
      <c r="Q23" s="6">
        <f t="shared" si="19"/>
        <v>0</v>
      </c>
      <c r="R23" s="296">
        <v>8.5</v>
      </c>
      <c r="S23">
        <f t="shared" si="3"/>
        <v>3236.8</v>
      </c>
      <c r="T23">
        <f t="shared" si="11"/>
        <v>2977.8560000000002</v>
      </c>
      <c r="U23">
        <f t="shared" ca="1" si="4"/>
        <v>0</v>
      </c>
      <c r="V23">
        <f t="shared" si="12"/>
        <v>2977.8560000000002</v>
      </c>
      <c r="W23">
        <f t="shared" ca="1" si="18"/>
        <v>1200</v>
      </c>
      <c r="X23">
        <f t="shared" ca="1" si="13"/>
        <v>2000</v>
      </c>
      <c r="Y23" s="297" t="str">
        <f t="shared" ca="1" si="5"/>
        <v>Yes</v>
      </c>
    </row>
    <row r="24" spans="1:25" outlineLevel="1" x14ac:dyDescent="0.75">
      <c r="A24" s="304">
        <f>Consumption!A24</f>
        <v>41287</v>
      </c>
      <c r="B24" s="305">
        <f>Consumption!B24</f>
        <v>0</v>
      </c>
      <c r="C24" s="41">
        <f ca="1">Consumption!C24</f>
        <v>0</v>
      </c>
      <c r="D24" s="41">
        <f t="shared" si="0"/>
        <v>0.219</v>
      </c>
      <c r="E24" s="41">
        <f t="shared" ca="1" si="6"/>
        <v>-1.0669999999999997</v>
      </c>
      <c r="F24" s="306">
        <f ca="1">'Pump Main'!$M$3*1000</f>
        <v>124614.17111887744</v>
      </c>
      <c r="G24" s="41">
        <f t="shared" ca="1" si="1"/>
        <v>0</v>
      </c>
      <c r="H24" s="6">
        <f t="shared" ca="1" si="7"/>
        <v>0</v>
      </c>
      <c r="I24" s="6">
        <f t="shared" ca="1" si="8"/>
        <v>0</v>
      </c>
      <c r="J24" s="6">
        <f t="shared" ca="1" si="14"/>
        <v>0</v>
      </c>
      <c r="K24" s="6">
        <f t="shared" ca="1" si="15"/>
        <v>0</v>
      </c>
      <c r="L24" s="6">
        <f t="shared" ca="1" si="2"/>
        <v>0</v>
      </c>
      <c r="M24">
        <f t="shared" ca="1" si="16"/>
        <v>0</v>
      </c>
      <c r="N24" s="6">
        <f t="shared" si="17"/>
        <v>1200</v>
      </c>
      <c r="O24" s="6">
        <f t="shared" ca="1" si="9"/>
        <v>1200</v>
      </c>
      <c r="P24">
        <f t="shared" si="10"/>
        <v>0</v>
      </c>
      <c r="Q24" s="6">
        <f t="shared" si="19"/>
        <v>0</v>
      </c>
      <c r="R24" s="296">
        <v>8.5</v>
      </c>
      <c r="S24">
        <f t="shared" si="3"/>
        <v>3236.8</v>
      </c>
      <c r="T24">
        <f t="shared" si="11"/>
        <v>2977.8560000000002</v>
      </c>
      <c r="U24">
        <f t="shared" ca="1" si="4"/>
        <v>0</v>
      </c>
      <c r="V24">
        <f t="shared" si="12"/>
        <v>2977.8560000000002</v>
      </c>
      <c r="W24">
        <f t="shared" ca="1" si="18"/>
        <v>1200</v>
      </c>
      <c r="X24">
        <f t="shared" ca="1" si="13"/>
        <v>2000</v>
      </c>
      <c r="Y24" s="297" t="str">
        <f t="shared" ca="1" si="5"/>
        <v>Yes</v>
      </c>
    </row>
    <row r="25" spans="1:25" outlineLevel="1" x14ac:dyDescent="0.75">
      <c r="A25" s="304">
        <f>Consumption!A25</f>
        <v>41288</v>
      </c>
      <c r="B25" s="305">
        <f>Consumption!B25</f>
        <v>0</v>
      </c>
      <c r="C25" s="41">
        <f ca="1">Consumption!C25</f>
        <v>0</v>
      </c>
      <c r="D25" s="41">
        <f t="shared" si="0"/>
        <v>0.219</v>
      </c>
      <c r="E25" s="41">
        <f t="shared" ca="1" si="6"/>
        <v>-1.2859999999999998</v>
      </c>
      <c r="F25" s="306">
        <f ca="1">'Pump Main'!$M$3*1000</f>
        <v>124614.17111887744</v>
      </c>
      <c r="G25" s="41">
        <f t="shared" ca="1" si="1"/>
        <v>0</v>
      </c>
      <c r="H25" s="6">
        <f t="shared" ca="1" si="7"/>
        <v>0</v>
      </c>
      <c r="I25" s="6">
        <f t="shared" ca="1" si="8"/>
        <v>0</v>
      </c>
      <c r="J25" s="6">
        <f t="shared" ca="1" si="14"/>
        <v>0</v>
      </c>
      <c r="K25" s="6">
        <f t="shared" ca="1" si="15"/>
        <v>0</v>
      </c>
      <c r="L25" s="6">
        <f t="shared" ca="1" si="2"/>
        <v>0</v>
      </c>
      <c r="M25">
        <f t="shared" ca="1" si="16"/>
        <v>0</v>
      </c>
      <c r="N25" s="6">
        <f t="shared" si="17"/>
        <v>1200</v>
      </c>
      <c r="O25" s="6">
        <f t="shared" ca="1" si="9"/>
        <v>1200</v>
      </c>
      <c r="P25">
        <f t="shared" si="10"/>
        <v>0</v>
      </c>
      <c r="Q25" s="6">
        <f t="shared" si="19"/>
        <v>0</v>
      </c>
      <c r="R25" s="296">
        <v>8.5</v>
      </c>
      <c r="S25">
        <f t="shared" si="3"/>
        <v>3236.8</v>
      </c>
      <c r="T25">
        <f t="shared" si="11"/>
        <v>2977.8560000000002</v>
      </c>
      <c r="U25">
        <f t="shared" ca="1" si="4"/>
        <v>0</v>
      </c>
      <c r="V25">
        <f t="shared" si="12"/>
        <v>2977.8560000000002</v>
      </c>
      <c r="W25">
        <f t="shared" ca="1" si="18"/>
        <v>1200</v>
      </c>
      <c r="X25">
        <f t="shared" ca="1" si="13"/>
        <v>2000</v>
      </c>
      <c r="Y25" s="297" t="str">
        <f t="shared" ca="1" si="5"/>
        <v>Yes</v>
      </c>
    </row>
    <row r="26" spans="1:25" outlineLevel="1" x14ac:dyDescent="0.75">
      <c r="A26" s="304">
        <f>Consumption!A26</f>
        <v>41289</v>
      </c>
      <c r="B26" s="305">
        <f>Consumption!B26</f>
        <v>1</v>
      </c>
      <c r="C26" s="41">
        <f ca="1">Consumption!C26</f>
        <v>0.1</v>
      </c>
      <c r="D26" s="41">
        <f t="shared" si="0"/>
        <v>0.219</v>
      </c>
      <c r="E26" s="41">
        <f t="shared" ca="1" si="6"/>
        <v>-1.4049999999999998</v>
      </c>
      <c r="F26" s="306">
        <f ca="1">'Pump Main'!$M$3*1000</f>
        <v>124614.17111887744</v>
      </c>
      <c r="G26" s="41">
        <f t="shared" ca="1" si="1"/>
        <v>12461.417111887744</v>
      </c>
      <c r="H26" s="6">
        <f t="shared" ca="1" si="7"/>
        <v>21160.706264887987</v>
      </c>
      <c r="I26" s="6">
        <f t="shared" ca="1" si="8"/>
        <v>5.8779739624688858</v>
      </c>
      <c r="J26" s="6">
        <f t="shared" ca="1" si="14"/>
        <v>500</v>
      </c>
      <c r="K26" s="6">
        <f t="shared" ca="1" si="15"/>
        <v>0.5</v>
      </c>
      <c r="L26" s="6">
        <f t="shared" ca="1" si="2"/>
        <v>1</v>
      </c>
      <c r="M26">
        <f t="shared" ca="1" si="16"/>
        <v>277.77777777777777</v>
      </c>
      <c r="N26" s="6">
        <f t="shared" si="17"/>
        <v>1200</v>
      </c>
      <c r="O26" s="6">
        <f t="shared" ca="1" si="9"/>
        <v>1483.6557517402466</v>
      </c>
      <c r="P26">
        <f t="shared" si="10"/>
        <v>0</v>
      </c>
      <c r="Q26" s="6">
        <f t="shared" si="19"/>
        <v>0</v>
      </c>
      <c r="R26" s="296">
        <v>8.5</v>
      </c>
      <c r="S26">
        <f t="shared" si="3"/>
        <v>3236.8</v>
      </c>
      <c r="T26">
        <f t="shared" si="11"/>
        <v>2977.8560000000002</v>
      </c>
      <c r="U26">
        <f t="shared" ca="1" si="4"/>
        <v>0</v>
      </c>
      <c r="V26">
        <f t="shared" si="12"/>
        <v>2977.8560000000002</v>
      </c>
      <c r="W26">
        <f t="shared" ca="1" si="18"/>
        <v>1483.6557517402466</v>
      </c>
      <c r="X26">
        <f t="shared" ca="1" si="13"/>
        <v>2000</v>
      </c>
      <c r="Y26" s="297" t="str">
        <f t="shared" ca="1" si="5"/>
        <v>Yes</v>
      </c>
    </row>
    <row r="27" spans="1:25" outlineLevel="1" x14ac:dyDescent="0.75">
      <c r="A27" s="304">
        <f>Consumption!A27</f>
        <v>41290</v>
      </c>
      <c r="B27" s="305">
        <f>Consumption!B27</f>
        <v>1.2</v>
      </c>
      <c r="C27" s="41">
        <f ca="1">Consumption!C27</f>
        <v>0.12</v>
      </c>
      <c r="D27" s="41">
        <f t="shared" si="0"/>
        <v>0.219</v>
      </c>
      <c r="E27" s="41">
        <f t="shared" ca="1" si="6"/>
        <v>-1.5039999999999998</v>
      </c>
      <c r="F27" s="306">
        <f ca="1">'Pump Main'!$M$3*1000</f>
        <v>124614.17111887744</v>
      </c>
      <c r="G27" s="41">
        <f t="shared" ca="1" si="1"/>
        <v>14953.700534265292</v>
      </c>
      <c r="H27" s="6">
        <f t="shared" ca="1" si="7"/>
        <v>25392.847517865586</v>
      </c>
      <c r="I27" s="6">
        <f t="shared" ca="1" si="8"/>
        <v>7.0535687549626624</v>
      </c>
      <c r="J27" s="6">
        <f t="shared" ca="1" si="14"/>
        <v>600</v>
      </c>
      <c r="K27" s="6">
        <f t="shared" ca="1" si="15"/>
        <v>0.6</v>
      </c>
      <c r="L27" s="6">
        <f t="shared" ca="1" si="2"/>
        <v>1.2</v>
      </c>
      <c r="M27">
        <f t="shared" ca="1" si="16"/>
        <v>333.33333333333331</v>
      </c>
      <c r="N27" s="6">
        <f t="shared" si="17"/>
        <v>1200</v>
      </c>
      <c r="O27" s="6">
        <f t="shared" ca="1" si="9"/>
        <v>1540.386902088296</v>
      </c>
      <c r="P27">
        <f t="shared" si="10"/>
        <v>0</v>
      </c>
      <c r="Q27" s="6">
        <f t="shared" si="19"/>
        <v>0</v>
      </c>
      <c r="R27" s="296">
        <v>8.5</v>
      </c>
      <c r="S27">
        <f t="shared" si="3"/>
        <v>3236.8</v>
      </c>
      <c r="T27">
        <f t="shared" si="11"/>
        <v>2977.8560000000002</v>
      </c>
      <c r="U27">
        <f t="shared" ca="1" si="4"/>
        <v>0</v>
      </c>
      <c r="V27">
        <f t="shared" si="12"/>
        <v>2977.8560000000002</v>
      </c>
      <c r="W27">
        <f t="shared" ca="1" si="18"/>
        <v>1540.386902088296</v>
      </c>
      <c r="X27">
        <f t="shared" ca="1" si="13"/>
        <v>2000</v>
      </c>
      <c r="Y27" s="297" t="str">
        <f t="shared" ca="1" si="5"/>
        <v>Yes</v>
      </c>
    </row>
    <row r="28" spans="1:25" outlineLevel="1" x14ac:dyDescent="0.75">
      <c r="A28" s="304">
        <f>Consumption!A28</f>
        <v>41291</v>
      </c>
      <c r="B28" s="305">
        <f>Consumption!B28</f>
        <v>2.2000000000000002</v>
      </c>
      <c r="C28" s="41">
        <f ca="1">Consumption!C28</f>
        <v>0.22000000000000003</v>
      </c>
      <c r="D28" s="41">
        <f t="shared" si="0"/>
        <v>0.219</v>
      </c>
      <c r="E28" s="41">
        <f t="shared" ca="1" si="6"/>
        <v>-1.5029999999999999</v>
      </c>
      <c r="F28" s="306">
        <f ca="1">'Pump Main'!$M$3*1000</f>
        <v>124614.17111887744</v>
      </c>
      <c r="G28" s="41">
        <f t="shared" ca="1" si="1"/>
        <v>27415.117646153038</v>
      </c>
      <c r="H28" s="6">
        <f t="shared" ca="1" si="7"/>
        <v>46553.553782753574</v>
      </c>
      <c r="I28" s="6">
        <f t="shared" ca="1" si="8"/>
        <v>12.931542717431547</v>
      </c>
      <c r="J28" s="6">
        <f t="shared" ca="1" si="14"/>
        <v>1100</v>
      </c>
      <c r="K28" s="6">
        <f t="shared" ca="1" si="15"/>
        <v>1.1000000000000001</v>
      </c>
      <c r="L28" s="6">
        <f t="shared" ca="1" si="2"/>
        <v>2.2000000000000002</v>
      </c>
      <c r="M28">
        <f t="shared" ca="1" si="16"/>
        <v>611.11111111111109</v>
      </c>
      <c r="N28" s="6">
        <f t="shared" si="17"/>
        <v>1200</v>
      </c>
      <c r="O28" s="6">
        <f t="shared" ca="1" si="9"/>
        <v>1824.0426538285426</v>
      </c>
      <c r="P28">
        <f t="shared" si="10"/>
        <v>0</v>
      </c>
      <c r="Q28" s="6">
        <f t="shared" si="19"/>
        <v>0</v>
      </c>
      <c r="R28" s="296">
        <v>8.5</v>
      </c>
      <c r="S28">
        <f t="shared" si="3"/>
        <v>3236.8</v>
      </c>
      <c r="T28">
        <f t="shared" si="11"/>
        <v>2977.8560000000002</v>
      </c>
      <c r="U28">
        <f t="shared" ca="1" si="4"/>
        <v>0</v>
      </c>
      <c r="V28">
        <f t="shared" si="12"/>
        <v>2977.8560000000002</v>
      </c>
      <c r="W28">
        <f t="shared" ca="1" si="18"/>
        <v>1824.0426538285426</v>
      </c>
      <c r="X28">
        <f t="shared" ca="1" si="13"/>
        <v>2000</v>
      </c>
      <c r="Y28" s="297" t="str">
        <f t="shared" ca="1" si="5"/>
        <v>Yes</v>
      </c>
    </row>
    <row r="29" spans="1:25" outlineLevel="1" x14ac:dyDescent="0.75">
      <c r="A29" s="304">
        <f>Consumption!A29</f>
        <v>41292</v>
      </c>
      <c r="B29" s="305">
        <f>Consumption!B29</f>
        <v>0</v>
      </c>
      <c r="C29" s="41">
        <f ca="1">Consumption!C29</f>
        <v>0</v>
      </c>
      <c r="D29" s="41">
        <f t="shared" si="0"/>
        <v>0.219</v>
      </c>
      <c r="E29" s="41">
        <f t="shared" ca="1" si="6"/>
        <v>-1.722</v>
      </c>
      <c r="F29" s="306">
        <f ca="1">'Pump Main'!$M$3*1000</f>
        <v>124614.17111887744</v>
      </c>
      <c r="G29" s="41">
        <f t="shared" ca="1" si="1"/>
        <v>0</v>
      </c>
      <c r="H29" s="6">
        <f t="shared" ca="1" si="7"/>
        <v>0</v>
      </c>
      <c r="I29" s="6">
        <f t="shared" ca="1" si="8"/>
        <v>0</v>
      </c>
      <c r="J29" s="6">
        <f t="shared" ca="1" si="14"/>
        <v>0</v>
      </c>
      <c r="K29" s="6">
        <f t="shared" ca="1" si="15"/>
        <v>0</v>
      </c>
      <c r="L29" s="6">
        <f t="shared" ca="1" si="2"/>
        <v>0</v>
      </c>
      <c r="M29">
        <f t="shared" ca="1" si="16"/>
        <v>0</v>
      </c>
      <c r="N29" s="6">
        <f t="shared" si="17"/>
        <v>1200</v>
      </c>
      <c r="O29" s="6">
        <f t="shared" ca="1" si="9"/>
        <v>1200</v>
      </c>
      <c r="P29">
        <f t="shared" si="10"/>
        <v>0</v>
      </c>
      <c r="Q29" s="6">
        <f t="shared" si="19"/>
        <v>0</v>
      </c>
      <c r="R29" s="296">
        <v>8.5</v>
      </c>
      <c r="S29">
        <f t="shared" si="3"/>
        <v>3236.8</v>
      </c>
      <c r="T29">
        <f t="shared" si="11"/>
        <v>2977.8560000000002</v>
      </c>
      <c r="U29">
        <f t="shared" ca="1" si="4"/>
        <v>0</v>
      </c>
      <c r="V29">
        <f t="shared" si="12"/>
        <v>2977.8560000000002</v>
      </c>
      <c r="W29">
        <f t="shared" ca="1" si="18"/>
        <v>1200</v>
      </c>
      <c r="X29">
        <f t="shared" ca="1" si="13"/>
        <v>2000</v>
      </c>
      <c r="Y29" s="297" t="str">
        <f t="shared" ca="1" si="5"/>
        <v>Yes</v>
      </c>
    </row>
    <row r="30" spans="1:25" outlineLevel="1" x14ac:dyDescent="0.75">
      <c r="A30" s="304">
        <f>Consumption!A30</f>
        <v>41293</v>
      </c>
      <c r="B30" s="305">
        <f>Consumption!B30</f>
        <v>0</v>
      </c>
      <c r="C30" s="41">
        <f ca="1">Consumption!C30</f>
        <v>0</v>
      </c>
      <c r="D30" s="41">
        <f t="shared" si="0"/>
        <v>0.219</v>
      </c>
      <c r="E30" s="41">
        <f t="shared" ca="1" si="6"/>
        <v>-1.9410000000000001</v>
      </c>
      <c r="F30" s="306">
        <f ca="1">'Pump Main'!$M$3*1000</f>
        <v>124614.17111887744</v>
      </c>
      <c r="G30" s="41">
        <f t="shared" ca="1" si="1"/>
        <v>0</v>
      </c>
      <c r="H30" s="6">
        <f t="shared" ca="1" si="7"/>
        <v>0</v>
      </c>
      <c r="I30" s="6">
        <f t="shared" ca="1" si="8"/>
        <v>0</v>
      </c>
      <c r="J30" s="6">
        <f t="shared" ca="1" si="14"/>
        <v>0</v>
      </c>
      <c r="K30" s="6">
        <f t="shared" ca="1" si="15"/>
        <v>0</v>
      </c>
      <c r="L30" s="6">
        <f t="shared" ca="1" si="2"/>
        <v>0</v>
      </c>
      <c r="M30">
        <f t="shared" ca="1" si="16"/>
        <v>0</v>
      </c>
      <c r="N30" s="6">
        <f t="shared" si="17"/>
        <v>1200</v>
      </c>
      <c r="O30" s="6">
        <f t="shared" ca="1" si="9"/>
        <v>1200</v>
      </c>
      <c r="P30">
        <f t="shared" si="10"/>
        <v>0</v>
      </c>
      <c r="Q30" s="6">
        <f t="shared" si="19"/>
        <v>0</v>
      </c>
      <c r="R30" s="296">
        <v>8.5</v>
      </c>
      <c r="S30">
        <f t="shared" si="3"/>
        <v>3236.8</v>
      </c>
      <c r="T30">
        <f t="shared" si="11"/>
        <v>2977.8560000000002</v>
      </c>
      <c r="U30">
        <f t="shared" ca="1" si="4"/>
        <v>0</v>
      </c>
      <c r="V30">
        <f t="shared" si="12"/>
        <v>2977.8560000000002</v>
      </c>
      <c r="W30">
        <f t="shared" ca="1" si="18"/>
        <v>1200</v>
      </c>
      <c r="X30">
        <f t="shared" ca="1" si="13"/>
        <v>2000</v>
      </c>
      <c r="Y30" s="297" t="str">
        <f t="shared" ca="1" si="5"/>
        <v>Yes</v>
      </c>
    </row>
    <row r="31" spans="1:25" outlineLevel="1" x14ac:dyDescent="0.75">
      <c r="A31" s="304">
        <f>Consumption!A31</f>
        <v>41294</v>
      </c>
      <c r="B31" s="305">
        <f>Consumption!B31</f>
        <v>0</v>
      </c>
      <c r="C31" s="41">
        <f ca="1">Consumption!C31</f>
        <v>0</v>
      </c>
      <c r="D31" s="41">
        <f t="shared" si="0"/>
        <v>0.219</v>
      </c>
      <c r="E31" s="41">
        <f t="shared" ca="1" si="6"/>
        <v>-2.16</v>
      </c>
      <c r="F31" s="306">
        <f ca="1">'Pump Main'!$M$3*1000</f>
        <v>124614.17111887744</v>
      </c>
      <c r="G31" s="41">
        <f t="shared" ca="1" si="1"/>
        <v>0</v>
      </c>
      <c r="H31" s="6">
        <f t="shared" ca="1" si="7"/>
        <v>0</v>
      </c>
      <c r="I31" s="6">
        <f t="shared" ca="1" si="8"/>
        <v>0</v>
      </c>
      <c r="J31" s="6">
        <f t="shared" ca="1" si="14"/>
        <v>0</v>
      </c>
      <c r="K31" s="6">
        <f t="shared" ca="1" si="15"/>
        <v>0</v>
      </c>
      <c r="L31" s="6">
        <f t="shared" ca="1" si="2"/>
        <v>0</v>
      </c>
      <c r="M31">
        <f t="shared" ca="1" si="16"/>
        <v>0</v>
      </c>
      <c r="N31" s="6">
        <f t="shared" si="17"/>
        <v>1200</v>
      </c>
      <c r="O31" s="6">
        <f t="shared" ca="1" si="9"/>
        <v>1200</v>
      </c>
      <c r="P31">
        <f t="shared" si="10"/>
        <v>0</v>
      </c>
      <c r="Q31" s="6">
        <f t="shared" si="19"/>
        <v>0</v>
      </c>
      <c r="R31" s="296">
        <v>8.5</v>
      </c>
      <c r="S31">
        <f t="shared" si="3"/>
        <v>3236.8</v>
      </c>
      <c r="T31">
        <f t="shared" si="11"/>
        <v>2977.8560000000002</v>
      </c>
      <c r="U31">
        <f t="shared" ca="1" si="4"/>
        <v>0</v>
      </c>
      <c r="V31">
        <f t="shared" si="12"/>
        <v>2977.8560000000002</v>
      </c>
      <c r="W31">
        <f t="shared" ca="1" si="18"/>
        <v>1200</v>
      </c>
      <c r="X31">
        <f t="shared" ca="1" si="13"/>
        <v>2000</v>
      </c>
      <c r="Y31" s="297" t="str">
        <f t="shared" ca="1" si="5"/>
        <v>Yes</v>
      </c>
    </row>
    <row r="32" spans="1:25" outlineLevel="1" x14ac:dyDescent="0.75">
      <c r="A32" s="304">
        <f>Consumption!A32</f>
        <v>41295</v>
      </c>
      <c r="B32" s="305">
        <f>Consumption!B32</f>
        <v>0</v>
      </c>
      <c r="C32" s="41">
        <f ca="1">Consumption!C32</f>
        <v>0</v>
      </c>
      <c r="D32" s="41">
        <f t="shared" si="0"/>
        <v>0.219</v>
      </c>
      <c r="E32" s="41">
        <f t="shared" ca="1" si="6"/>
        <v>-2.379</v>
      </c>
      <c r="F32" s="306">
        <f ca="1">'Pump Main'!$M$3*1000</f>
        <v>124614.17111887744</v>
      </c>
      <c r="G32" s="41">
        <f t="shared" ca="1" si="1"/>
        <v>0</v>
      </c>
      <c r="H32" s="6">
        <f t="shared" ca="1" si="7"/>
        <v>0</v>
      </c>
      <c r="I32" s="6">
        <f t="shared" ca="1" si="8"/>
        <v>0</v>
      </c>
      <c r="J32" s="6">
        <f t="shared" ca="1" si="14"/>
        <v>0</v>
      </c>
      <c r="K32" s="6">
        <f t="shared" ca="1" si="15"/>
        <v>0</v>
      </c>
      <c r="L32" s="6">
        <f t="shared" ca="1" si="2"/>
        <v>0</v>
      </c>
      <c r="M32">
        <f t="shared" ca="1" si="16"/>
        <v>0</v>
      </c>
      <c r="N32" s="6">
        <f t="shared" si="17"/>
        <v>1200</v>
      </c>
      <c r="O32" s="6">
        <f t="shared" ca="1" si="9"/>
        <v>1200</v>
      </c>
      <c r="P32">
        <f t="shared" si="10"/>
        <v>0</v>
      </c>
      <c r="Q32" s="6">
        <f t="shared" si="19"/>
        <v>0</v>
      </c>
      <c r="R32" s="296">
        <v>8.5</v>
      </c>
      <c r="S32">
        <f t="shared" si="3"/>
        <v>3236.8</v>
      </c>
      <c r="T32">
        <f t="shared" si="11"/>
        <v>2977.8560000000002</v>
      </c>
      <c r="U32">
        <f t="shared" ca="1" si="4"/>
        <v>0</v>
      </c>
      <c r="V32">
        <f t="shared" si="12"/>
        <v>2977.8560000000002</v>
      </c>
      <c r="W32">
        <f t="shared" ca="1" si="18"/>
        <v>1200</v>
      </c>
      <c r="X32">
        <f t="shared" ca="1" si="13"/>
        <v>2000</v>
      </c>
      <c r="Y32" s="297" t="str">
        <f t="shared" ca="1" si="5"/>
        <v>Yes</v>
      </c>
    </row>
    <row r="33" spans="1:25" outlineLevel="1" x14ac:dyDescent="0.75">
      <c r="A33" s="304">
        <f>Consumption!A33</f>
        <v>41296</v>
      </c>
      <c r="B33" s="305">
        <f>Consumption!B33</f>
        <v>0.2</v>
      </c>
      <c r="C33" s="41">
        <f ca="1">Consumption!C33</f>
        <v>0.02</v>
      </c>
      <c r="D33" s="41">
        <f t="shared" si="0"/>
        <v>0.219</v>
      </c>
      <c r="E33" s="41">
        <f t="shared" ca="1" si="6"/>
        <v>-2.5779999999999998</v>
      </c>
      <c r="F33" s="306">
        <f ca="1">'Pump Main'!$M$3*1000</f>
        <v>124614.17111887744</v>
      </c>
      <c r="G33" s="41">
        <f t="shared" ca="1" si="1"/>
        <v>2492.283422377549</v>
      </c>
      <c r="H33" s="6">
        <f t="shared" ca="1" si="7"/>
        <v>4232.141252977598</v>
      </c>
      <c r="I33" s="6">
        <f t="shared" ca="1" si="8"/>
        <v>1.1755947924937773</v>
      </c>
      <c r="J33" s="6">
        <f t="shared" ca="1" si="14"/>
        <v>100</v>
      </c>
      <c r="K33" s="6">
        <f t="shared" ca="1" si="15"/>
        <v>0.1</v>
      </c>
      <c r="L33" s="6">
        <f t="shared" ca="1" si="2"/>
        <v>0.2</v>
      </c>
      <c r="M33">
        <f t="shared" ca="1" si="16"/>
        <v>55.555555555555557</v>
      </c>
      <c r="N33" s="6">
        <f t="shared" si="17"/>
        <v>1200</v>
      </c>
      <c r="O33" s="6">
        <f t="shared" ca="1" si="9"/>
        <v>1256.7311503480494</v>
      </c>
      <c r="P33">
        <f t="shared" si="10"/>
        <v>0</v>
      </c>
      <c r="Q33" s="6">
        <f t="shared" si="19"/>
        <v>0</v>
      </c>
      <c r="R33" s="296">
        <v>8.5</v>
      </c>
      <c r="S33">
        <f t="shared" si="3"/>
        <v>3236.8</v>
      </c>
      <c r="T33">
        <f t="shared" si="11"/>
        <v>2977.8560000000002</v>
      </c>
      <c r="U33">
        <f t="shared" ca="1" si="4"/>
        <v>0</v>
      </c>
      <c r="V33">
        <f t="shared" si="12"/>
        <v>2977.8560000000002</v>
      </c>
      <c r="W33">
        <f t="shared" ca="1" si="18"/>
        <v>1256.7311503480494</v>
      </c>
      <c r="X33">
        <f t="shared" ca="1" si="13"/>
        <v>2000</v>
      </c>
      <c r="Y33" s="297" t="str">
        <f t="shared" ca="1" si="5"/>
        <v>Yes</v>
      </c>
    </row>
    <row r="34" spans="1:25" outlineLevel="1" x14ac:dyDescent="0.75">
      <c r="A34" s="304">
        <f>Consumption!A34</f>
        <v>41297</v>
      </c>
      <c r="B34" s="305">
        <f>Consumption!B34</f>
        <v>6.4</v>
      </c>
      <c r="C34" s="41">
        <f ca="1">Consumption!C34</f>
        <v>0.64</v>
      </c>
      <c r="D34" s="41">
        <f t="shared" si="0"/>
        <v>0.219</v>
      </c>
      <c r="E34" s="41">
        <f t="shared" ca="1" si="6"/>
        <v>-2.1569999999999996</v>
      </c>
      <c r="F34" s="306">
        <f ca="1">'Pump Main'!$M$3*1000</f>
        <v>124614.17111887744</v>
      </c>
      <c r="G34" s="41">
        <f t="shared" ca="1" si="1"/>
        <v>79753.069516081567</v>
      </c>
      <c r="H34" s="6">
        <f t="shared" ca="1" si="7"/>
        <v>135428.52009528314</v>
      </c>
      <c r="I34" s="6">
        <f t="shared" ca="1" si="8"/>
        <v>37.619033359800873</v>
      </c>
      <c r="J34" s="6">
        <f t="shared" ca="1" si="14"/>
        <v>3200</v>
      </c>
      <c r="K34" s="6">
        <f t="shared" ca="1" si="15"/>
        <v>3.2</v>
      </c>
      <c r="L34" s="6">
        <f t="shared" ca="1" si="2"/>
        <v>6.4</v>
      </c>
      <c r="M34">
        <f t="shared" ca="1" si="16"/>
        <v>1777.7777777777778</v>
      </c>
      <c r="N34" s="6">
        <f t="shared" si="17"/>
        <v>1200</v>
      </c>
      <c r="O34" s="6">
        <f t="shared" ca="1" si="9"/>
        <v>3015.3968111375789</v>
      </c>
      <c r="P34">
        <f t="shared" si="10"/>
        <v>0</v>
      </c>
      <c r="Q34" s="6">
        <f t="shared" si="19"/>
        <v>0</v>
      </c>
      <c r="R34" s="296">
        <v>8.5</v>
      </c>
      <c r="S34">
        <f t="shared" si="3"/>
        <v>3236.8</v>
      </c>
      <c r="T34">
        <f t="shared" si="11"/>
        <v>2977.8560000000002</v>
      </c>
      <c r="U34">
        <f t="shared" ca="1" si="4"/>
        <v>0</v>
      </c>
      <c r="V34">
        <f t="shared" si="12"/>
        <v>2977.8560000000002</v>
      </c>
      <c r="W34">
        <f t="shared" ca="1" si="18"/>
        <v>3015.3968111375789</v>
      </c>
      <c r="X34">
        <f t="shared" ca="1" si="13"/>
        <v>1717.7034150650215</v>
      </c>
      <c r="Y34" s="297" t="str">
        <f t="shared" ca="1" si="5"/>
        <v>Yes</v>
      </c>
    </row>
    <row r="35" spans="1:25" outlineLevel="1" x14ac:dyDescent="0.75">
      <c r="A35" s="304">
        <f>Consumption!A35</f>
        <v>41298</v>
      </c>
      <c r="B35" s="305">
        <f>Consumption!B35</f>
        <v>2.2000000000000002</v>
      </c>
      <c r="C35" s="41">
        <f ca="1">Consumption!C35</f>
        <v>0.22000000000000003</v>
      </c>
      <c r="D35" s="41">
        <f t="shared" si="0"/>
        <v>0.219</v>
      </c>
      <c r="E35" s="41">
        <f t="shared" ca="1" si="6"/>
        <v>-2.1559999999999997</v>
      </c>
      <c r="F35" s="306">
        <f ca="1">'Pump Main'!$M$3*1000</f>
        <v>124614.17111887744</v>
      </c>
      <c r="G35" s="41">
        <f t="shared" ca="1" si="1"/>
        <v>27415.117646153038</v>
      </c>
      <c r="H35" s="6">
        <f t="shared" ca="1" si="7"/>
        <v>46553.553782753574</v>
      </c>
      <c r="I35" s="6">
        <f t="shared" ca="1" si="8"/>
        <v>12.931542717431547</v>
      </c>
      <c r="J35" s="6">
        <f t="shared" ca="1" si="14"/>
        <v>1100</v>
      </c>
      <c r="K35" s="6">
        <f t="shared" ca="1" si="15"/>
        <v>1.1000000000000001</v>
      </c>
      <c r="L35" s="6">
        <f t="shared" ca="1" si="2"/>
        <v>2.2000000000000002</v>
      </c>
      <c r="M35">
        <f t="shared" ca="1" si="16"/>
        <v>611.11111111111109</v>
      </c>
      <c r="N35" s="6">
        <f t="shared" si="17"/>
        <v>1200</v>
      </c>
      <c r="O35" s="6">
        <f t="shared" ca="1" si="9"/>
        <v>1824.0426538285426</v>
      </c>
      <c r="P35">
        <f t="shared" si="10"/>
        <v>0</v>
      </c>
      <c r="Q35" s="6">
        <f t="shared" si="19"/>
        <v>0</v>
      </c>
      <c r="R35" s="296">
        <v>8.5</v>
      </c>
      <c r="S35">
        <f t="shared" si="3"/>
        <v>3236.8</v>
      </c>
      <c r="T35">
        <f t="shared" si="11"/>
        <v>2977.8560000000002</v>
      </c>
      <c r="U35">
        <f t="shared" ca="1" si="4"/>
        <v>0</v>
      </c>
      <c r="V35">
        <f t="shared" si="12"/>
        <v>2977.8560000000002</v>
      </c>
      <c r="W35">
        <f t="shared" ca="1" si="18"/>
        <v>1824.0426538285426</v>
      </c>
      <c r="X35">
        <f t="shared" ca="1" si="13"/>
        <v>2000</v>
      </c>
      <c r="Y35" s="297" t="str">
        <f t="shared" ca="1" si="5"/>
        <v>Yes</v>
      </c>
    </row>
    <row r="36" spans="1:25" outlineLevel="1" x14ac:dyDescent="0.75">
      <c r="A36" s="304">
        <f>Consumption!A36</f>
        <v>41299</v>
      </c>
      <c r="B36" s="305">
        <f>Consumption!B36</f>
        <v>0.2</v>
      </c>
      <c r="C36" s="41">
        <f ca="1">Consumption!C36</f>
        <v>0.02</v>
      </c>
      <c r="D36" s="41">
        <f t="shared" si="0"/>
        <v>0.219</v>
      </c>
      <c r="E36" s="41">
        <f t="shared" ca="1" si="6"/>
        <v>-2.3549999999999995</v>
      </c>
      <c r="F36" s="306">
        <f ca="1">'Pump Main'!$M$3*1000</f>
        <v>124614.17111887744</v>
      </c>
      <c r="G36" s="41">
        <f t="shared" ca="1" si="1"/>
        <v>2492.283422377549</v>
      </c>
      <c r="H36" s="6">
        <f t="shared" ca="1" si="7"/>
        <v>4232.141252977598</v>
      </c>
      <c r="I36" s="6">
        <f t="shared" ca="1" si="8"/>
        <v>1.1755947924937773</v>
      </c>
      <c r="J36" s="6">
        <f t="shared" ca="1" si="14"/>
        <v>100</v>
      </c>
      <c r="K36" s="6">
        <f t="shared" ca="1" si="15"/>
        <v>0.1</v>
      </c>
      <c r="L36" s="6">
        <f t="shared" ca="1" si="2"/>
        <v>0.2</v>
      </c>
      <c r="M36">
        <f t="shared" ca="1" si="16"/>
        <v>55.555555555555557</v>
      </c>
      <c r="N36" s="6">
        <f t="shared" si="17"/>
        <v>1200</v>
      </c>
      <c r="O36" s="6">
        <f t="shared" ca="1" si="9"/>
        <v>1256.7311503480494</v>
      </c>
      <c r="P36">
        <f t="shared" si="10"/>
        <v>0</v>
      </c>
      <c r="Q36" s="6">
        <f t="shared" si="19"/>
        <v>0</v>
      </c>
      <c r="R36" s="296">
        <v>8.5</v>
      </c>
      <c r="S36">
        <f t="shared" si="3"/>
        <v>3236.8</v>
      </c>
      <c r="T36">
        <f t="shared" si="11"/>
        <v>2977.8560000000002</v>
      </c>
      <c r="U36">
        <f t="shared" ca="1" si="4"/>
        <v>0</v>
      </c>
      <c r="V36">
        <f t="shared" si="12"/>
        <v>2977.8560000000002</v>
      </c>
      <c r="W36">
        <f t="shared" ca="1" si="18"/>
        <v>1256.7311503480494</v>
      </c>
      <c r="X36">
        <f t="shared" ca="1" si="13"/>
        <v>2000</v>
      </c>
      <c r="Y36" s="297" t="str">
        <f t="shared" ca="1" si="5"/>
        <v>Yes</v>
      </c>
    </row>
    <row r="37" spans="1:25" outlineLevel="1" x14ac:dyDescent="0.75">
      <c r="A37" s="304">
        <f>Consumption!A37</f>
        <v>41300</v>
      </c>
      <c r="B37" s="305">
        <f>Consumption!B37</f>
        <v>1.6</v>
      </c>
      <c r="C37" s="41">
        <f ca="1">Consumption!C37</f>
        <v>0.16</v>
      </c>
      <c r="D37" s="41">
        <f t="shared" si="0"/>
        <v>0.219</v>
      </c>
      <c r="E37" s="41">
        <f t="shared" ca="1" si="6"/>
        <v>-2.4139999999999993</v>
      </c>
      <c r="F37" s="306">
        <f ca="1">'Pump Main'!$M$3*1000</f>
        <v>124614.17111887744</v>
      </c>
      <c r="G37" s="41">
        <f t="shared" ca="1" si="1"/>
        <v>19938.267379020392</v>
      </c>
      <c r="H37" s="6">
        <f t="shared" ca="1" si="7"/>
        <v>33857.130023820784</v>
      </c>
      <c r="I37" s="6">
        <f t="shared" ca="1" si="8"/>
        <v>9.4047583399502184</v>
      </c>
      <c r="J37" s="6">
        <f t="shared" ca="1" si="14"/>
        <v>800</v>
      </c>
      <c r="K37" s="6">
        <f t="shared" ca="1" si="15"/>
        <v>0.8</v>
      </c>
      <c r="L37" s="6">
        <f t="shared" ca="1" si="2"/>
        <v>1.6</v>
      </c>
      <c r="M37">
        <f t="shared" ca="1" si="16"/>
        <v>444.44444444444446</v>
      </c>
      <c r="N37" s="6">
        <f t="shared" si="17"/>
        <v>1200</v>
      </c>
      <c r="O37" s="6">
        <f t="shared" ca="1" si="9"/>
        <v>1653.8492027843947</v>
      </c>
      <c r="P37">
        <f t="shared" si="10"/>
        <v>0</v>
      </c>
      <c r="Q37" s="6">
        <f t="shared" si="19"/>
        <v>0</v>
      </c>
      <c r="R37" s="296">
        <v>8.5</v>
      </c>
      <c r="S37">
        <f t="shared" si="3"/>
        <v>3236.8</v>
      </c>
      <c r="T37">
        <f t="shared" si="11"/>
        <v>2977.8560000000002</v>
      </c>
      <c r="U37">
        <f t="shared" ca="1" si="4"/>
        <v>0</v>
      </c>
      <c r="V37">
        <f t="shared" si="12"/>
        <v>2977.8560000000002</v>
      </c>
      <c r="W37">
        <f t="shared" ca="1" si="18"/>
        <v>1653.8492027843947</v>
      </c>
      <c r="X37">
        <f t="shared" ca="1" si="13"/>
        <v>2000</v>
      </c>
      <c r="Y37" s="297" t="str">
        <f t="shared" ca="1" si="5"/>
        <v>Yes</v>
      </c>
    </row>
    <row r="38" spans="1:25" outlineLevel="1" x14ac:dyDescent="0.75">
      <c r="A38" s="304">
        <f>Consumption!A38</f>
        <v>41301</v>
      </c>
      <c r="B38" s="305">
        <f>Consumption!B38</f>
        <v>4.5999999999999996</v>
      </c>
      <c r="C38" s="41">
        <f ca="1">Consumption!C38</f>
        <v>0.45999999999999996</v>
      </c>
      <c r="D38" s="41">
        <f t="shared" si="0"/>
        <v>0.219</v>
      </c>
      <c r="E38" s="41">
        <f t="shared" ca="1" si="6"/>
        <v>-2.1729999999999992</v>
      </c>
      <c r="F38" s="306">
        <f ca="1">'Pump Main'!$M$3*1000</f>
        <v>124614.17111887744</v>
      </c>
      <c r="G38" s="41">
        <f t="shared" ca="1" si="1"/>
        <v>57322.518714683618</v>
      </c>
      <c r="H38" s="6">
        <f t="shared" ca="1" si="7"/>
        <v>97339.248818484732</v>
      </c>
      <c r="I38" s="6">
        <f t="shared" ca="1" si="8"/>
        <v>27.03868022735687</v>
      </c>
      <c r="J38" s="6">
        <f t="shared" ca="1" si="14"/>
        <v>2300</v>
      </c>
      <c r="K38" s="6">
        <f t="shared" ca="1" si="15"/>
        <v>2.2999999999999998</v>
      </c>
      <c r="L38" s="6">
        <f t="shared" ca="1" si="2"/>
        <v>4.5999999999999996</v>
      </c>
      <c r="M38">
        <f t="shared" ca="1" si="16"/>
        <v>1277.7777777777778</v>
      </c>
      <c r="N38" s="6">
        <f t="shared" si="17"/>
        <v>1200</v>
      </c>
      <c r="O38" s="6">
        <f t="shared" ca="1" si="9"/>
        <v>2504.8164580051348</v>
      </c>
      <c r="P38">
        <f t="shared" si="10"/>
        <v>0</v>
      </c>
      <c r="Q38" s="6">
        <f t="shared" si="19"/>
        <v>0</v>
      </c>
      <c r="R38" s="296">
        <v>8.5</v>
      </c>
      <c r="S38">
        <f t="shared" si="3"/>
        <v>3236.8</v>
      </c>
      <c r="T38">
        <f t="shared" si="11"/>
        <v>2977.8560000000002</v>
      </c>
      <c r="U38">
        <f t="shared" ca="1" si="4"/>
        <v>0</v>
      </c>
      <c r="V38">
        <f t="shared" si="12"/>
        <v>2977.8560000000002</v>
      </c>
      <c r="W38">
        <f t="shared" ca="1" si="18"/>
        <v>2504.8164580051348</v>
      </c>
      <c r="X38">
        <f t="shared" ca="1" si="13"/>
        <v>2000</v>
      </c>
      <c r="Y38" s="297" t="str">
        <f t="shared" ca="1" si="5"/>
        <v>Yes</v>
      </c>
    </row>
    <row r="39" spans="1:25" outlineLevel="1" x14ac:dyDescent="0.75">
      <c r="A39" s="304">
        <f>Consumption!A39</f>
        <v>41302</v>
      </c>
      <c r="B39" s="305">
        <f>Consumption!B39</f>
        <v>10.4</v>
      </c>
      <c r="C39" s="41">
        <f ca="1">Consumption!C39</f>
        <v>1.04</v>
      </c>
      <c r="D39" s="41">
        <f t="shared" si="0"/>
        <v>0.219</v>
      </c>
      <c r="E39" s="41">
        <f t="shared" ca="1" si="6"/>
        <v>-1.3519999999999992</v>
      </c>
      <c r="F39" s="306">
        <f ca="1">'Pump Main'!$M$3*1000</f>
        <v>124614.17111887744</v>
      </c>
      <c r="G39" s="41">
        <f t="shared" ca="1" si="1"/>
        <v>129598.73796363253</v>
      </c>
      <c r="H39" s="6">
        <f t="shared" ca="1" si="7"/>
        <v>220071.34515483509</v>
      </c>
      <c r="I39" s="6">
        <f t="shared" ca="1" si="8"/>
        <v>61.13092920967641</v>
      </c>
      <c r="J39" s="6">
        <f t="shared" ca="1" si="14"/>
        <v>5200</v>
      </c>
      <c r="K39" s="6">
        <f t="shared" ca="1" si="15"/>
        <v>5.2</v>
      </c>
      <c r="L39" s="6">
        <f t="shared" ca="1" si="2"/>
        <v>10.4</v>
      </c>
      <c r="M39">
        <f t="shared" ca="1" si="16"/>
        <v>2888.8888888888887</v>
      </c>
      <c r="N39" s="6">
        <f t="shared" si="17"/>
        <v>1200</v>
      </c>
      <c r="O39" s="6">
        <f t="shared" ca="1" si="9"/>
        <v>4150.0198180985644</v>
      </c>
      <c r="P39">
        <f t="shared" si="10"/>
        <v>0</v>
      </c>
      <c r="Q39" s="6">
        <f t="shared" si="19"/>
        <v>0</v>
      </c>
      <c r="R39" s="296">
        <v>8.5</v>
      </c>
      <c r="S39">
        <f t="shared" si="3"/>
        <v>3236.8</v>
      </c>
      <c r="T39">
        <f t="shared" si="11"/>
        <v>2977.8560000000002</v>
      </c>
      <c r="U39">
        <f t="shared" ca="1" si="4"/>
        <v>0</v>
      </c>
      <c r="V39">
        <f t="shared" si="12"/>
        <v>2977.8560000000002</v>
      </c>
      <c r="W39">
        <f t="shared" ca="1" si="18"/>
        <v>4150.0198180985644</v>
      </c>
      <c r="X39">
        <f t="shared" ca="1" si="13"/>
        <v>535.80444948066179</v>
      </c>
      <c r="Y39" s="297" t="str">
        <f t="shared" ca="1" si="5"/>
        <v>Yes</v>
      </c>
    </row>
    <row r="40" spans="1:25" outlineLevel="1" x14ac:dyDescent="0.75">
      <c r="A40" s="304">
        <f>Consumption!A40</f>
        <v>41303</v>
      </c>
      <c r="B40" s="305">
        <f>Consumption!B40</f>
        <v>10.8</v>
      </c>
      <c r="C40" s="41">
        <f ca="1">Consumption!C40</f>
        <v>1.08</v>
      </c>
      <c r="D40" s="41">
        <f t="shared" si="0"/>
        <v>0.219</v>
      </c>
      <c r="E40" s="41">
        <f t="shared" ca="1" si="6"/>
        <v>-0.4909999999999991</v>
      </c>
      <c r="F40" s="306">
        <f ca="1">'Pump Main'!$M$3*1000</f>
        <v>124614.17111887744</v>
      </c>
      <c r="G40" s="41">
        <f t="shared" ca="1" si="1"/>
        <v>134583.30480838765</v>
      </c>
      <c r="H40" s="6">
        <f t="shared" ca="1" si="7"/>
        <v>228535.62766079028</v>
      </c>
      <c r="I40" s="6">
        <f t="shared" ca="1" si="8"/>
        <v>63.482118794663968</v>
      </c>
      <c r="J40" s="6">
        <f t="shared" ca="1" si="14"/>
        <v>5400</v>
      </c>
      <c r="K40" s="6">
        <f t="shared" ca="1" si="15"/>
        <v>5.4</v>
      </c>
      <c r="L40" s="6">
        <f t="shared" ca="1" si="2"/>
        <v>10.8</v>
      </c>
      <c r="M40">
        <f t="shared" ca="1" si="16"/>
        <v>3000</v>
      </c>
      <c r="N40" s="6">
        <f t="shared" si="17"/>
        <v>1200</v>
      </c>
      <c r="O40" s="6">
        <f t="shared" ca="1" si="9"/>
        <v>4263.4821187946636</v>
      </c>
      <c r="P40">
        <f t="shared" si="10"/>
        <v>0</v>
      </c>
      <c r="Q40" s="6">
        <f t="shared" si="19"/>
        <v>0</v>
      </c>
      <c r="R40" s="296">
        <v>8.5</v>
      </c>
      <c r="S40">
        <f t="shared" si="3"/>
        <v>3236.8</v>
      </c>
      <c r="T40">
        <f t="shared" si="11"/>
        <v>2977.8560000000002</v>
      </c>
      <c r="U40">
        <f t="shared" ca="1" si="4"/>
        <v>0</v>
      </c>
      <c r="V40">
        <f t="shared" si="12"/>
        <v>2977.8560000000002</v>
      </c>
      <c r="W40">
        <f t="shared" ca="1" si="18"/>
        <v>3258.764361101435</v>
      </c>
      <c r="X40">
        <f t="shared" ca="1" si="13"/>
        <v>0</v>
      </c>
      <c r="Y40" s="297" t="str">
        <f t="shared" ca="1" si="5"/>
        <v>No</v>
      </c>
    </row>
    <row r="41" spans="1:25" outlineLevel="1" x14ac:dyDescent="0.75">
      <c r="A41" s="304">
        <f>Consumption!A41</f>
        <v>41304</v>
      </c>
      <c r="B41" s="305">
        <f>Consumption!B41</f>
        <v>6.2</v>
      </c>
      <c r="C41" s="41">
        <f ca="1">Consumption!C41</f>
        <v>0.62</v>
      </c>
      <c r="D41" s="41">
        <f t="shared" si="0"/>
        <v>0.219</v>
      </c>
      <c r="E41" s="41">
        <f t="shared" ca="1" si="6"/>
        <v>-8.9999999999999108E-2</v>
      </c>
      <c r="F41" s="306">
        <f ca="1">'Pump Main'!$M$3*1000</f>
        <v>124614.17111887744</v>
      </c>
      <c r="G41" s="41">
        <f t="shared" ca="1" si="1"/>
        <v>77260.78609370401</v>
      </c>
      <c r="H41" s="6">
        <f t="shared" ca="1" si="7"/>
        <v>131196.37884230551</v>
      </c>
      <c r="I41" s="6">
        <f t="shared" ca="1" si="8"/>
        <v>36.443438567307084</v>
      </c>
      <c r="J41" s="6">
        <f t="shared" ca="1" si="14"/>
        <v>3100</v>
      </c>
      <c r="K41" s="6">
        <f t="shared" ca="1" si="15"/>
        <v>3.1</v>
      </c>
      <c r="L41" s="6">
        <f t="shared" ca="1" si="2"/>
        <v>6.2</v>
      </c>
      <c r="M41">
        <f t="shared" ca="1" si="16"/>
        <v>1722.2222222222222</v>
      </c>
      <c r="N41" s="6">
        <f t="shared" si="17"/>
        <v>1200</v>
      </c>
      <c r="O41" s="6">
        <f t="shared" ca="1" si="9"/>
        <v>2958.6656607895293</v>
      </c>
      <c r="P41">
        <f t="shared" si="10"/>
        <v>0</v>
      </c>
      <c r="Q41" s="6">
        <f t="shared" si="19"/>
        <v>0</v>
      </c>
      <c r="R41" s="296">
        <v>8.5</v>
      </c>
      <c r="S41">
        <f t="shared" si="3"/>
        <v>3236.8</v>
      </c>
      <c r="T41">
        <f t="shared" si="11"/>
        <v>2977.8560000000002</v>
      </c>
      <c r="U41">
        <f t="shared" ca="1" si="4"/>
        <v>0</v>
      </c>
      <c r="V41">
        <f t="shared" si="12"/>
        <v>2977.8560000000002</v>
      </c>
      <c r="W41">
        <f t="shared" ca="1" si="18"/>
        <v>2744.3920896</v>
      </c>
      <c r="X41">
        <f t="shared" ca="1" si="13"/>
        <v>0</v>
      </c>
      <c r="Y41" s="297" t="str">
        <f t="shared" ca="1" si="5"/>
        <v>No</v>
      </c>
    </row>
    <row r="42" spans="1:25" outlineLevel="1" x14ac:dyDescent="0.75">
      <c r="A42" s="304">
        <f>Consumption!A42</f>
        <v>41305</v>
      </c>
      <c r="B42" s="305">
        <f>Consumption!B42</f>
        <v>1.4</v>
      </c>
      <c r="C42" s="41">
        <f ca="1">Consumption!C42</f>
        <v>0.14000000000000001</v>
      </c>
      <c r="D42" s="41">
        <f t="shared" si="0"/>
        <v>0.219</v>
      </c>
      <c r="E42" s="41">
        <f t="shared" ca="1" si="6"/>
        <v>-0.1689999999999991</v>
      </c>
      <c r="F42" s="306">
        <f ca="1">'Pump Main'!$M$3*1000</f>
        <v>124614.17111887744</v>
      </c>
      <c r="G42" s="41">
        <f t="shared" ca="1" si="1"/>
        <v>17445.983956642842</v>
      </c>
      <c r="H42" s="6">
        <f t="shared" ca="1" si="7"/>
        <v>29624.988770843185</v>
      </c>
      <c r="I42" s="6">
        <f t="shared" ca="1" si="8"/>
        <v>8.2291635474564409</v>
      </c>
      <c r="J42" s="6">
        <f t="shared" ca="1" si="14"/>
        <v>700.00000000000011</v>
      </c>
      <c r="K42" s="6">
        <f t="shared" ca="1" si="15"/>
        <v>0.70000000000000007</v>
      </c>
      <c r="L42" s="6">
        <f t="shared" ca="1" si="2"/>
        <v>1.4000000000000001</v>
      </c>
      <c r="M42">
        <f t="shared" ca="1" si="16"/>
        <v>388.88888888888897</v>
      </c>
      <c r="N42" s="6">
        <f t="shared" si="17"/>
        <v>1200</v>
      </c>
      <c r="O42" s="6">
        <f t="shared" ca="1" si="9"/>
        <v>1597.1180524363454</v>
      </c>
      <c r="P42">
        <f t="shared" si="10"/>
        <v>0</v>
      </c>
      <c r="Q42" s="6">
        <f t="shared" si="19"/>
        <v>0</v>
      </c>
      <c r="R42" s="296">
        <v>8.5</v>
      </c>
      <c r="S42">
        <f t="shared" si="3"/>
        <v>3236.8</v>
      </c>
      <c r="T42">
        <f t="shared" si="11"/>
        <v>2977.8560000000002</v>
      </c>
      <c r="U42">
        <f t="shared" ca="1" si="4"/>
        <v>0</v>
      </c>
      <c r="V42">
        <f t="shared" si="12"/>
        <v>2977.8560000000002</v>
      </c>
      <c r="W42">
        <f t="shared" ca="1" si="18"/>
        <v>1597.1180524363454</v>
      </c>
      <c r="X42">
        <f t="shared" ca="1" si="13"/>
        <v>1195.0771220454735</v>
      </c>
      <c r="Y42" s="297" t="str">
        <f t="shared" ca="1" si="5"/>
        <v>Yes</v>
      </c>
    </row>
    <row r="43" spans="1:25" outlineLevel="1" x14ac:dyDescent="0.75">
      <c r="A43" s="304">
        <f>Consumption!A43</f>
        <v>41306</v>
      </c>
      <c r="B43" s="305">
        <f>Consumption!B43</f>
        <v>0</v>
      </c>
      <c r="C43" s="41">
        <f ca="1">Consumption!C43</f>
        <v>0</v>
      </c>
      <c r="D43" s="41">
        <f t="shared" si="0"/>
        <v>0.219</v>
      </c>
      <c r="E43" s="41">
        <f t="shared" ca="1" si="6"/>
        <v>-0.38799999999999912</v>
      </c>
      <c r="F43" s="306">
        <f ca="1">'Pump Main'!$M$3*1000</f>
        <v>124614.17111887744</v>
      </c>
      <c r="G43" s="41">
        <f t="shared" ca="1" si="1"/>
        <v>0</v>
      </c>
      <c r="H43" s="6">
        <f t="shared" ca="1" si="7"/>
        <v>0</v>
      </c>
      <c r="I43" s="6">
        <f t="shared" ca="1" si="8"/>
        <v>0</v>
      </c>
      <c r="J43" s="6">
        <f t="shared" ca="1" si="14"/>
        <v>0</v>
      </c>
      <c r="K43" s="6">
        <f t="shared" ca="1" si="15"/>
        <v>0</v>
      </c>
      <c r="L43" s="6">
        <f t="shared" ca="1" si="2"/>
        <v>0</v>
      </c>
      <c r="M43">
        <f t="shared" ca="1" si="16"/>
        <v>0</v>
      </c>
      <c r="N43" s="6">
        <f t="shared" si="17"/>
        <v>1200</v>
      </c>
      <c r="O43" s="6">
        <f t="shared" ca="1" si="9"/>
        <v>1200</v>
      </c>
      <c r="P43">
        <f t="shared" si="10"/>
        <v>0</v>
      </c>
      <c r="Q43" s="6">
        <f t="shared" si="19"/>
        <v>0</v>
      </c>
      <c r="R43" s="296">
        <v>10</v>
      </c>
      <c r="S43">
        <f t="shared" si="3"/>
        <v>3808.0000000000005</v>
      </c>
      <c r="T43">
        <f t="shared" si="11"/>
        <v>3503.3600000000006</v>
      </c>
      <c r="U43">
        <f t="shared" ca="1" si="4"/>
        <v>0</v>
      </c>
      <c r="V43">
        <f t="shared" si="12"/>
        <v>3503.3600000000006</v>
      </c>
      <c r="W43">
        <f t="shared" ca="1" si="18"/>
        <v>1200</v>
      </c>
      <c r="X43">
        <f t="shared" ca="1" si="13"/>
        <v>2000</v>
      </c>
      <c r="Y43" s="297" t="str">
        <f t="shared" ca="1" si="5"/>
        <v>Yes</v>
      </c>
    </row>
    <row r="44" spans="1:25" outlineLevel="1" x14ac:dyDescent="0.75">
      <c r="A44" s="304">
        <f>Consumption!A44</f>
        <v>41307</v>
      </c>
      <c r="B44" s="305">
        <f>Consumption!B44</f>
        <v>1</v>
      </c>
      <c r="C44" s="41">
        <f ca="1">Consumption!C44</f>
        <v>0.1</v>
      </c>
      <c r="D44" s="41">
        <f t="shared" si="0"/>
        <v>0.219</v>
      </c>
      <c r="E44" s="41">
        <f t="shared" ca="1" si="6"/>
        <v>-0.50699999999999912</v>
      </c>
      <c r="F44" s="306">
        <f ca="1">'Pump Main'!$M$3*1000</f>
        <v>124614.17111887744</v>
      </c>
      <c r="G44" s="41">
        <f t="shared" ca="1" si="1"/>
        <v>12461.417111887744</v>
      </c>
      <c r="H44" s="6">
        <f t="shared" ca="1" si="7"/>
        <v>21160.706264887987</v>
      </c>
      <c r="I44" s="6">
        <f t="shared" ca="1" si="8"/>
        <v>5.8779739624688858</v>
      </c>
      <c r="J44" s="6">
        <f t="shared" ca="1" si="14"/>
        <v>500</v>
      </c>
      <c r="K44" s="6">
        <f t="shared" ca="1" si="15"/>
        <v>0.5</v>
      </c>
      <c r="L44" s="6">
        <f t="shared" ca="1" si="2"/>
        <v>1</v>
      </c>
      <c r="M44">
        <f t="shared" ca="1" si="16"/>
        <v>277.77777777777777</v>
      </c>
      <c r="N44" s="6">
        <f t="shared" si="17"/>
        <v>1200</v>
      </c>
      <c r="O44" s="6">
        <f t="shared" ca="1" si="9"/>
        <v>1483.6557517402466</v>
      </c>
      <c r="P44">
        <f t="shared" si="10"/>
        <v>0</v>
      </c>
      <c r="Q44" s="6">
        <f t="shared" si="19"/>
        <v>0</v>
      </c>
      <c r="R44" s="296">
        <v>10</v>
      </c>
      <c r="S44">
        <f t="shared" si="3"/>
        <v>3808.0000000000005</v>
      </c>
      <c r="T44">
        <f t="shared" si="11"/>
        <v>3503.3600000000006</v>
      </c>
      <c r="U44">
        <f t="shared" ca="1" si="4"/>
        <v>0</v>
      </c>
      <c r="V44">
        <f t="shared" si="12"/>
        <v>3503.3600000000006</v>
      </c>
      <c r="W44">
        <f t="shared" ca="1" si="18"/>
        <v>1483.6557517402466</v>
      </c>
      <c r="X44">
        <f t="shared" ca="1" si="13"/>
        <v>2000</v>
      </c>
      <c r="Y44" s="297" t="str">
        <f t="shared" ca="1" si="5"/>
        <v>Yes</v>
      </c>
    </row>
    <row r="45" spans="1:25" outlineLevel="1" x14ac:dyDescent="0.75">
      <c r="A45" s="304">
        <f>Consumption!A45</f>
        <v>41308</v>
      </c>
      <c r="B45" s="305">
        <f>Consumption!B45</f>
        <v>8</v>
      </c>
      <c r="C45" s="41">
        <f ca="1">Consumption!C45</f>
        <v>0.8</v>
      </c>
      <c r="D45" s="41">
        <f t="shared" si="0"/>
        <v>0.219</v>
      </c>
      <c r="E45" s="41">
        <f t="shared" ca="1" si="6"/>
        <v>7.4000000000000926E-2</v>
      </c>
      <c r="F45" s="306">
        <f ca="1">'Pump Main'!$M$3*1000</f>
        <v>124614.17111887744</v>
      </c>
      <c r="G45" s="41">
        <f t="shared" ca="1" si="1"/>
        <v>99691.336895101951</v>
      </c>
      <c r="H45" s="6">
        <f t="shared" ca="1" si="7"/>
        <v>169285.6501191039</v>
      </c>
      <c r="I45" s="6">
        <f t="shared" ca="1" si="8"/>
        <v>47.023791699751087</v>
      </c>
      <c r="J45" s="6">
        <f t="shared" ca="1" si="14"/>
        <v>4000</v>
      </c>
      <c r="K45" s="6">
        <f t="shared" ca="1" si="15"/>
        <v>4</v>
      </c>
      <c r="L45" s="6">
        <f t="shared" ca="1" si="2"/>
        <v>8</v>
      </c>
      <c r="M45">
        <f t="shared" ca="1" si="16"/>
        <v>2222.2222222222222</v>
      </c>
      <c r="N45" s="6">
        <f t="shared" si="17"/>
        <v>1200</v>
      </c>
      <c r="O45" s="6">
        <f t="shared" ca="1" si="9"/>
        <v>3469.2460139219734</v>
      </c>
      <c r="P45">
        <f t="shared" si="10"/>
        <v>0</v>
      </c>
      <c r="Q45" s="6">
        <f t="shared" si="19"/>
        <v>0</v>
      </c>
      <c r="R45" s="296">
        <v>10</v>
      </c>
      <c r="S45">
        <f t="shared" si="3"/>
        <v>3808.0000000000005</v>
      </c>
      <c r="T45">
        <f t="shared" si="11"/>
        <v>3503.3600000000006</v>
      </c>
      <c r="U45">
        <f t="shared" ca="1" si="4"/>
        <v>0</v>
      </c>
      <c r="V45">
        <f t="shared" si="12"/>
        <v>3503.3600000000006</v>
      </c>
      <c r="W45">
        <f t="shared" ca="1" si="18"/>
        <v>3469.2460139219734</v>
      </c>
      <c r="X45">
        <f t="shared" ca="1" si="13"/>
        <v>1749.4276688312775</v>
      </c>
      <c r="Y45" s="297" t="str">
        <f t="shared" ca="1" si="5"/>
        <v>Yes</v>
      </c>
    </row>
    <row r="46" spans="1:25" outlineLevel="1" x14ac:dyDescent="0.75">
      <c r="A46" s="304">
        <f>Consumption!A46</f>
        <v>41309</v>
      </c>
      <c r="B46" s="305">
        <f>Consumption!B46</f>
        <v>1.6</v>
      </c>
      <c r="C46" s="41">
        <f ca="1">Consumption!C46</f>
        <v>0.16</v>
      </c>
      <c r="D46" s="41">
        <f t="shared" si="0"/>
        <v>0.219</v>
      </c>
      <c r="E46" s="41">
        <f t="shared" ca="1" si="6"/>
        <v>1.5000000000000929E-2</v>
      </c>
      <c r="F46" s="306">
        <f ca="1">'Pump Main'!$M$3*1000</f>
        <v>124614.17111887744</v>
      </c>
      <c r="G46" s="41">
        <f t="shared" ca="1" si="1"/>
        <v>19938.267379020392</v>
      </c>
      <c r="H46" s="6">
        <f t="shared" ca="1" si="7"/>
        <v>33857.130023820784</v>
      </c>
      <c r="I46" s="6">
        <f t="shared" ca="1" si="8"/>
        <v>9.4047583399502184</v>
      </c>
      <c r="J46" s="6">
        <f t="shared" ca="1" si="14"/>
        <v>800</v>
      </c>
      <c r="K46" s="6">
        <f t="shared" ca="1" si="15"/>
        <v>0.8</v>
      </c>
      <c r="L46" s="6">
        <f t="shared" ca="1" si="2"/>
        <v>1.6</v>
      </c>
      <c r="M46">
        <f t="shared" ca="1" si="16"/>
        <v>444.44444444444446</v>
      </c>
      <c r="N46" s="6">
        <f t="shared" si="17"/>
        <v>1200</v>
      </c>
      <c r="O46" s="6">
        <f t="shared" ca="1" si="9"/>
        <v>1653.8492027843947</v>
      </c>
      <c r="P46">
        <f t="shared" si="10"/>
        <v>0</v>
      </c>
      <c r="Q46" s="6">
        <f t="shared" si="19"/>
        <v>0</v>
      </c>
      <c r="R46" s="296">
        <v>10</v>
      </c>
      <c r="S46">
        <f t="shared" si="3"/>
        <v>3808.0000000000005</v>
      </c>
      <c r="T46">
        <f t="shared" si="11"/>
        <v>3503.3600000000006</v>
      </c>
      <c r="U46">
        <f t="shared" ca="1" si="4"/>
        <v>0</v>
      </c>
      <c r="V46">
        <f t="shared" si="12"/>
        <v>3503.3600000000006</v>
      </c>
      <c r="W46">
        <f t="shared" ca="1" si="18"/>
        <v>1653.8492027843947</v>
      </c>
      <c r="X46">
        <f t="shared" ca="1" si="13"/>
        <v>2000</v>
      </c>
      <c r="Y46" s="297" t="str">
        <f t="shared" ca="1" si="5"/>
        <v>Yes</v>
      </c>
    </row>
    <row r="47" spans="1:25" outlineLevel="1" x14ac:dyDescent="0.75">
      <c r="A47" s="304">
        <f>Consumption!A47</f>
        <v>41310</v>
      </c>
      <c r="B47" s="305">
        <f>Consumption!B47</f>
        <v>3.8</v>
      </c>
      <c r="C47" s="41">
        <f ca="1">Consumption!C47</f>
        <v>0.38</v>
      </c>
      <c r="D47" s="41">
        <f t="shared" si="0"/>
        <v>0.219</v>
      </c>
      <c r="E47" s="41">
        <f t="shared" ca="1" si="6"/>
        <v>0.17600000000000091</v>
      </c>
      <c r="F47" s="306">
        <f ca="1">'Pump Main'!$M$3*1000</f>
        <v>124614.17111887744</v>
      </c>
      <c r="G47" s="41">
        <f t="shared" ca="1" si="1"/>
        <v>47353.385025173426</v>
      </c>
      <c r="H47" s="6">
        <f t="shared" ca="1" si="7"/>
        <v>80410.68380657435</v>
      </c>
      <c r="I47" s="6">
        <f t="shared" ca="1" si="8"/>
        <v>22.336301057381764</v>
      </c>
      <c r="J47" s="6">
        <f t="shared" ca="1" si="14"/>
        <v>1900</v>
      </c>
      <c r="K47" s="6">
        <f t="shared" ca="1" si="15"/>
        <v>1.9</v>
      </c>
      <c r="L47" s="6">
        <f t="shared" ca="1" si="2"/>
        <v>3.8</v>
      </c>
      <c r="M47">
        <f t="shared" ca="1" si="16"/>
        <v>1055.5555555555557</v>
      </c>
      <c r="N47" s="6">
        <f t="shared" si="17"/>
        <v>1200</v>
      </c>
      <c r="O47" s="6">
        <f t="shared" ca="1" si="9"/>
        <v>2277.8918566129373</v>
      </c>
      <c r="P47">
        <f t="shared" si="10"/>
        <v>0</v>
      </c>
      <c r="Q47" s="6">
        <f t="shared" si="19"/>
        <v>0</v>
      </c>
      <c r="R47" s="296">
        <v>10</v>
      </c>
      <c r="S47">
        <f t="shared" si="3"/>
        <v>3808.0000000000005</v>
      </c>
      <c r="T47">
        <f t="shared" si="11"/>
        <v>3503.3600000000006</v>
      </c>
      <c r="U47">
        <f t="shared" ca="1" si="4"/>
        <v>0</v>
      </c>
      <c r="V47">
        <f t="shared" si="12"/>
        <v>3503.3600000000006</v>
      </c>
      <c r="W47">
        <f t="shared" ca="1" si="18"/>
        <v>2277.8918566129373</v>
      </c>
      <c r="X47">
        <f t="shared" ca="1" si="13"/>
        <v>2000</v>
      </c>
      <c r="Y47" s="297" t="str">
        <f t="shared" ca="1" si="5"/>
        <v>Yes</v>
      </c>
    </row>
    <row r="48" spans="1:25" outlineLevel="1" x14ac:dyDescent="0.75">
      <c r="A48" s="304">
        <f>Consumption!A48</f>
        <v>41311</v>
      </c>
      <c r="B48" s="305">
        <f>Consumption!B48</f>
        <v>0.2</v>
      </c>
      <c r="C48" s="41">
        <f ca="1">Consumption!C48</f>
        <v>0.02</v>
      </c>
      <c r="D48" s="41">
        <f t="shared" si="0"/>
        <v>0.219</v>
      </c>
      <c r="E48" s="41">
        <f t="shared" ca="1" si="6"/>
        <v>-2.2999999999999104E-2</v>
      </c>
      <c r="F48" s="306">
        <f ca="1">'Pump Main'!$M$3*1000</f>
        <v>124614.17111887744</v>
      </c>
      <c r="G48" s="41">
        <f t="shared" ca="1" si="1"/>
        <v>2492.283422377549</v>
      </c>
      <c r="H48" s="6">
        <f t="shared" ca="1" si="7"/>
        <v>4232.141252977598</v>
      </c>
      <c r="I48" s="6">
        <f t="shared" ca="1" si="8"/>
        <v>1.1755947924937773</v>
      </c>
      <c r="J48" s="6">
        <f t="shared" ca="1" si="14"/>
        <v>100</v>
      </c>
      <c r="K48" s="6">
        <f t="shared" ca="1" si="15"/>
        <v>0.1</v>
      </c>
      <c r="L48" s="6">
        <f t="shared" ca="1" si="2"/>
        <v>0.2</v>
      </c>
      <c r="M48">
        <f t="shared" ca="1" si="16"/>
        <v>55.555555555555557</v>
      </c>
      <c r="N48" s="6">
        <f t="shared" si="17"/>
        <v>1200</v>
      </c>
      <c r="O48" s="6">
        <f t="shared" ca="1" si="9"/>
        <v>1256.7311503480494</v>
      </c>
      <c r="P48">
        <f t="shared" si="10"/>
        <v>0</v>
      </c>
      <c r="Q48" s="6">
        <f t="shared" si="19"/>
        <v>0</v>
      </c>
      <c r="R48" s="296">
        <v>10</v>
      </c>
      <c r="S48">
        <f t="shared" si="3"/>
        <v>3808.0000000000005</v>
      </c>
      <c r="T48">
        <f t="shared" si="11"/>
        <v>3503.3600000000006</v>
      </c>
      <c r="U48">
        <f t="shared" ca="1" si="4"/>
        <v>0</v>
      </c>
      <c r="V48">
        <f t="shared" si="12"/>
        <v>3503.3600000000006</v>
      </c>
      <c r="W48">
        <f t="shared" ca="1" si="18"/>
        <v>1256.7311503480494</v>
      </c>
      <c r="X48">
        <f t="shared" ca="1" si="13"/>
        <v>2000</v>
      </c>
      <c r="Y48" s="297" t="str">
        <f t="shared" ca="1" si="5"/>
        <v>Yes</v>
      </c>
    </row>
    <row r="49" spans="1:26" s="66" customFormat="1" outlineLevel="1" x14ac:dyDescent="0.75">
      <c r="A49" s="304">
        <f>Consumption!A49</f>
        <v>41312</v>
      </c>
      <c r="B49" s="305">
        <f>Consumption!B49</f>
        <v>1.6</v>
      </c>
      <c r="C49" s="41">
        <f ca="1">Consumption!C49</f>
        <v>0.16</v>
      </c>
      <c r="D49" s="41">
        <f t="shared" si="0"/>
        <v>0.219</v>
      </c>
      <c r="E49" s="41">
        <f t="shared" ca="1" si="6"/>
        <v>-8.1999999999999101E-2</v>
      </c>
      <c r="F49" s="306">
        <f ca="1">'Pump Main'!$M$3*1000</f>
        <v>124614.17111887744</v>
      </c>
      <c r="G49" s="41">
        <f t="shared" ca="1" si="1"/>
        <v>19938.267379020392</v>
      </c>
      <c r="H49" s="6">
        <f t="shared" ca="1" si="7"/>
        <v>33857.130023820784</v>
      </c>
      <c r="I49" s="6">
        <f t="shared" ca="1" si="8"/>
        <v>9.4047583399502184</v>
      </c>
      <c r="J49" s="6">
        <f t="shared" ca="1" si="14"/>
        <v>800</v>
      </c>
      <c r="K49" s="6">
        <f t="shared" ca="1" si="15"/>
        <v>0.8</v>
      </c>
      <c r="L49" s="6">
        <f t="shared" ca="1" si="2"/>
        <v>1.6</v>
      </c>
      <c r="M49">
        <f t="shared" ca="1" si="16"/>
        <v>444.44444444444446</v>
      </c>
      <c r="N49" s="6">
        <f t="shared" si="17"/>
        <v>1200</v>
      </c>
      <c r="O49" s="6">
        <f t="shared" ca="1" si="9"/>
        <v>1653.8492027843947</v>
      </c>
      <c r="P49">
        <f t="shared" si="10"/>
        <v>0</v>
      </c>
      <c r="Q49" s="6">
        <f t="shared" si="19"/>
        <v>0</v>
      </c>
      <c r="R49" s="296">
        <v>10</v>
      </c>
      <c r="S49">
        <f t="shared" si="3"/>
        <v>3808.0000000000005</v>
      </c>
      <c r="T49">
        <f t="shared" si="11"/>
        <v>3503.3600000000006</v>
      </c>
      <c r="U49">
        <f t="shared" ca="1" si="4"/>
        <v>0</v>
      </c>
      <c r="V49">
        <f t="shared" si="12"/>
        <v>3503.3600000000006</v>
      </c>
      <c r="W49">
        <f t="shared" ca="1" si="18"/>
        <v>1653.8492027843947</v>
      </c>
      <c r="X49">
        <f t="shared" ca="1" si="13"/>
        <v>2000</v>
      </c>
      <c r="Y49" s="297" t="str">
        <f t="shared" ca="1" si="5"/>
        <v>Yes</v>
      </c>
      <c r="Z49"/>
    </row>
    <row r="50" spans="1:26" outlineLevel="1" x14ac:dyDescent="0.75">
      <c r="A50" s="304">
        <f>Consumption!A50</f>
        <v>41313</v>
      </c>
      <c r="B50" s="305">
        <f>Consumption!B50</f>
        <v>0.2</v>
      </c>
      <c r="C50" s="41">
        <f ca="1">Consumption!C50</f>
        <v>0.02</v>
      </c>
      <c r="D50" s="41">
        <f t="shared" si="0"/>
        <v>0.219</v>
      </c>
      <c r="E50" s="41">
        <f t="shared" ca="1" si="6"/>
        <v>-0.28099999999999908</v>
      </c>
      <c r="F50" s="306">
        <f ca="1">'Pump Main'!$M$3*1000</f>
        <v>124614.17111887744</v>
      </c>
      <c r="G50" s="41">
        <f t="shared" ca="1" si="1"/>
        <v>2492.283422377549</v>
      </c>
      <c r="H50" s="6">
        <f t="shared" ca="1" si="7"/>
        <v>4232.141252977598</v>
      </c>
      <c r="I50" s="6">
        <f t="shared" ca="1" si="8"/>
        <v>1.1755947924937773</v>
      </c>
      <c r="J50" s="6">
        <f t="shared" ca="1" si="14"/>
        <v>100</v>
      </c>
      <c r="K50" s="6">
        <f t="shared" ca="1" si="15"/>
        <v>0.1</v>
      </c>
      <c r="L50" s="6">
        <f t="shared" ca="1" si="2"/>
        <v>0.2</v>
      </c>
      <c r="M50">
        <f t="shared" ca="1" si="16"/>
        <v>55.555555555555557</v>
      </c>
      <c r="N50" s="6">
        <f t="shared" si="17"/>
        <v>1200</v>
      </c>
      <c r="O50" s="6">
        <f t="shared" ca="1" si="9"/>
        <v>1256.7311503480494</v>
      </c>
      <c r="P50">
        <f t="shared" si="10"/>
        <v>0</v>
      </c>
      <c r="Q50" s="6">
        <f t="shared" si="19"/>
        <v>0</v>
      </c>
      <c r="R50" s="296">
        <v>10</v>
      </c>
      <c r="S50">
        <f t="shared" si="3"/>
        <v>3808.0000000000005</v>
      </c>
      <c r="T50">
        <f t="shared" si="11"/>
        <v>3503.3600000000006</v>
      </c>
      <c r="U50">
        <f t="shared" ca="1" si="4"/>
        <v>0</v>
      </c>
      <c r="V50">
        <f t="shared" si="12"/>
        <v>3503.3600000000006</v>
      </c>
      <c r="W50">
        <f t="shared" ca="1" si="18"/>
        <v>1256.7311503480494</v>
      </c>
      <c r="X50">
        <f t="shared" ca="1" si="13"/>
        <v>2000</v>
      </c>
      <c r="Y50" s="297" t="str">
        <f t="shared" ca="1" si="5"/>
        <v>Yes</v>
      </c>
    </row>
    <row r="51" spans="1:26" outlineLevel="1" x14ac:dyDescent="0.75">
      <c r="A51" s="304">
        <f>Consumption!A51</f>
        <v>41314</v>
      </c>
      <c r="B51" s="305">
        <f>Consumption!B51</f>
        <v>0</v>
      </c>
      <c r="C51" s="41">
        <f ca="1">Consumption!C51</f>
        <v>0</v>
      </c>
      <c r="D51" s="41">
        <f t="shared" si="0"/>
        <v>0.219</v>
      </c>
      <c r="E51" s="41">
        <f t="shared" ca="1" si="6"/>
        <v>-0.49999999999999911</v>
      </c>
      <c r="F51" s="306">
        <f ca="1">'Pump Main'!$M$3*1000</f>
        <v>124614.17111887744</v>
      </c>
      <c r="G51" s="41">
        <f t="shared" ca="1" si="1"/>
        <v>0</v>
      </c>
      <c r="H51" s="6">
        <f t="shared" ca="1" si="7"/>
        <v>0</v>
      </c>
      <c r="I51" s="6">
        <f t="shared" ca="1" si="8"/>
        <v>0</v>
      </c>
      <c r="J51" s="6">
        <f t="shared" ca="1" si="14"/>
        <v>0</v>
      </c>
      <c r="K51" s="6">
        <f t="shared" ca="1" si="15"/>
        <v>0</v>
      </c>
      <c r="L51" s="6">
        <f t="shared" ca="1" si="2"/>
        <v>0</v>
      </c>
      <c r="M51">
        <f t="shared" ca="1" si="16"/>
        <v>0</v>
      </c>
      <c r="N51" s="6">
        <f t="shared" si="17"/>
        <v>1200</v>
      </c>
      <c r="O51" s="6">
        <f t="shared" ca="1" si="9"/>
        <v>1200</v>
      </c>
      <c r="P51">
        <f t="shared" si="10"/>
        <v>0</v>
      </c>
      <c r="Q51" s="6">
        <f t="shared" si="19"/>
        <v>0</v>
      </c>
      <c r="R51" s="296">
        <v>10</v>
      </c>
      <c r="S51">
        <f t="shared" si="3"/>
        <v>3808.0000000000005</v>
      </c>
      <c r="T51">
        <f t="shared" si="11"/>
        <v>3503.3600000000006</v>
      </c>
      <c r="U51">
        <f t="shared" ca="1" si="4"/>
        <v>0</v>
      </c>
      <c r="V51">
        <f t="shared" si="12"/>
        <v>3503.3600000000006</v>
      </c>
      <c r="W51">
        <f t="shared" ca="1" si="18"/>
        <v>1200</v>
      </c>
      <c r="X51">
        <f t="shared" ca="1" si="13"/>
        <v>2000</v>
      </c>
      <c r="Y51" s="297" t="str">
        <f t="shared" ca="1" si="5"/>
        <v>Yes</v>
      </c>
    </row>
    <row r="52" spans="1:26" outlineLevel="1" x14ac:dyDescent="0.75">
      <c r="A52" s="304">
        <f>Consumption!A52</f>
        <v>41315</v>
      </c>
      <c r="B52" s="305">
        <f>Consumption!B52</f>
        <v>1</v>
      </c>
      <c r="C52" s="41">
        <f ca="1">Consumption!C52</f>
        <v>0.1</v>
      </c>
      <c r="D52" s="307">
        <f t="shared" si="0"/>
        <v>0.219</v>
      </c>
      <c r="E52" s="307">
        <f t="shared" ca="1" si="6"/>
        <v>-0.61899999999999911</v>
      </c>
      <c r="F52" s="306">
        <f ca="1">'Pump Main'!$M$3*1000</f>
        <v>124614.17111887744</v>
      </c>
      <c r="G52" s="41">
        <f t="shared" ca="1" si="1"/>
        <v>12461.417111887744</v>
      </c>
      <c r="H52" s="6">
        <f t="shared" ca="1" si="7"/>
        <v>21160.706264887987</v>
      </c>
      <c r="I52" s="6">
        <f t="shared" ca="1" si="8"/>
        <v>5.8779739624688858</v>
      </c>
      <c r="J52" s="6">
        <f t="shared" ca="1" si="14"/>
        <v>500</v>
      </c>
      <c r="K52" s="65">
        <f t="shared" ca="1" si="15"/>
        <v>0.5</v>
      </c>
      <c r="L52" s="6">
        <f t="shared" ca="1" si="2"/>
        <v>1</v>
      </c>
      <c r="M52">
        <f t="shared" ca="1" si="16"/>
        <v>277.77777777777777</v>
      </c>
      <c r="N52" s="6">
        <f t="shared" si="17"/>
        <v>1200</v>
      </c>
      <c r="O52" s="6">
        <f t="shared" ca="1" si="9"/>
        <v>1483.6557517402466</v>
      </c>
      <c r="P52">
        <f t="shared" si="10"/>
        <v>0</v>
      </c>
      <c r="Q52" s="6">
        <f t="shared" si="19"/>
        <v>0</v>
      </c>
      <c r="R52" s="296">
        <v>10</v>
      </c>
      <c r="S52">
        <f t="shared" si="3"/>
        <v>3808.0000000000005</v>
      </c>
      <c r="T52">
        <f t="shared" si="11"/>
        <v>3503.3600000000006</v>
      </c>
      <c r="U52">
        <f t="shared" ca="1" si="4"/>
        <v>0</v>
      </c>
      <c r="V52">
        <f t="shared" si="12"/>
        <v>3503.3600000000006</v>
      </c>
      <c r="W52">
        <f t="shared" ca="1" si="18"/>
        <v>1483.6557517402466</v>
      </c>
      <c r="X52">
        <f t="shared" ca="1" si="13"/>
        <v>2000</v>
      </c>
      <c r="Y52" s="297" t="str">
        <f t="shared" ca="1" si="5"/>
        <v>Yes</v>
      </c>
    </row>
    <row r="53" spans="1:26" outlineLevel="1" x14ac:dyDescent="0.75">
      <c r="A53" s="304">
        <f>Consumption!A53</f>
        <v>41316</v>
      </c>
      <c r="B53" s="305">
        <f>Consumption!B53</f>
        <v>1.4</v>
      </c>
      <c r="C53" s="41">
        <f ca="1">Consumption!C53</f>
        <v>0.14000000000000001</v>
      </c>
      <c r="D53" s="41">
        <f t="shared" si="0"/>
        <v>0.219</v>
      </c>
      <c r="E53" s="41">
        <f t="shared" ca="1" si="6"/>
        <v>-0.69799999999999907</v>
      </c>
      <c r="F53" s="306">
        <f ca="1">'Pump Main'!$M$3*1000</f>
        <v>124614.17111887744</v>
      </c>
      <c r="G53" s="41">
        <f t="shared" ca="1" si="1"/>
        <v>17445.983956642842</v>
      </c>
      <c r="H53" s="6">
        <f t="shared" ca="1" si="7"/>
        <v>29624.988770843185</v>
      </c>
      <c r="I53" s="6">
        <f t="shared" ca="1" si="8"/>
        <v>8.2291635474564409</v>
      </c>
      <c r="J53" s="6">
        <f t="shared" ca="1" si="14"/>
        <v>700.00000000000011</v>
      </c>
      <c r="K53" s="6">
        <f t="shared" ca="1" si="15"/>
        <v>0.70000000000000007</v>
      </c>
      <c r="L53" s="6">
        <f t="shared" ca="1" si="2"/>
        <v>1.4000000000000001</v>
      </c>
      <c r="M53">
        <f t="shared" ca="1" si="16"/>
        <v>388.88888888888897</v>
      </c>
      <c r="N53" s="6">
        <f t="shared" si="17"/>
        <v>1200</v>
      </c>
      <c r="O53" s="6">
        <f t="shared" ca="1" si="9"/>
        <v>1597.1180524363454</v>
      </c>
      <c r="P53">
        <f t="shared" si="10"/>
        <v>0</v>
      </c>
      <c r="Q53" s="6">
        <f t="shared" si="19"/>
        <v>0</v>
      </c>
      <c r="R53" s="296">
        <v>10</v>
      </c>
      <c r="S53">
        <f t="shared" si="3"/>
        <v>3808.0000000000005</v>
      </c>
      <c r="T53">
        <f t="shared" si="11"/>
        <v>3503.3600000000006</v>
      </c>
      <c r="U53">
        <f t="shared" ca="1" si="4"/>
        <v>0</v>
      </c>
      <c r="V53">
        <f t="shared" si="12"/>
        <v>3503.3600000000006</v>
      </c>
      <c r="W53">
        <f t="shared" ca="1" si="18"/>
        <v>1597.1180524363454</v>
      </c>
      <c r="X53">
        <f t="shared" ca="1" si="13"/>
        <v>2000</v>
      </c>
      <c r="Y53" s="297" t="str">
        <f t="shared" ca="1" si="5"/>
        <v>Yes</v>
      </c>
    </row>
    <row r="54" spans="1:26" outlineLevel="1" x14ac:dyDescent="0.75">
      <c r="A54" s="304">
        <f>Consumption!A54</f>
        <v>41317</v>
      </c>
      <c r="B54" s="305">
        <f>Consumption!B54</f>
        <v>4.5999999999999996</v>
      </c>
      <c r="C54" s="41">
        <f ca="1">Consumption!C54</f>
        <v>0.45999999999999996</v>
      </c>
      <c r="D54" s="41">
        <f t="shared" si="0"/>
        <v>0.219</v>
      </c>
      <c r="E54" s="41">
        <f t="shared" ca="1" si="6"/>
        <v>-0.45699999999999907</v>
      </c>
      <c r="F54" s="306">
        <f ca="1">'Pump Main'!$M$3*1000</f>
        <v>124614.17111887744</v>
      </c>
      <c r="G54" s="41">
        <f t="shared" ca="1" si="1"/>
        <v>57322.518714683618</v>
      </c>
      <c r="H54" s="6">
        <f t="shared" ca="1" si="7"/>
        <v>97339.248818484732</v>
      </c>
      <c r="I54" s="6">
        <f t="shared" ca="1" si="8"/>
        <v>27.03868022735687</v>
      </c>
      <c r="J54" s="6">
        <f t="shared" ca="1" si="14"/>
        <v>2300</v>
      </c>
      <c r="K54" s="6">
        <f t="shared" ca="1" si="15"/>
        <v>2.2999999999999998</v>
      </c>
      <c r="L54" s="6">
        <f t="shared" ca="1" si="2"/>
        <v>4.5999999999999996</v>
      </c>
      <c r="M54">
        <f t="shared" ca="1" si="16"/>
        <v>1277.7777777777778</v>
      </c>
      <c r="N54" s="6">
        <f t="shared" si="17"/>
        <v>1200</v>
      </c>
      <c r="O54" s="6">
        <f t="shared" ca="1" si="9"/>
        <v>2504.8164580051348</v>
      </c>
      <c r="P54">
        <f t="shared" si="10"/>
        <v>0</v>
      </c>
      <c r="Q54" s="6">
        <f t="shared" si="19"/>
        <v>0</v>
      </c>
      <c r="R54" s="296">
        <v>10</v>
      </c>
      <c r="S54">
        <f t="shared" si="3"/>
        <v>3808.0000000000005</v>
      </c>
      <c r="T54">
        <f t="shared" si="11"/>
        <v>3503.3600000000006</v>
      </c>
      <c r="U54">
        <f t="shared" ca="1" si="4"/>
        <v>0</v>
      </c>
      <c r="V54">
        <f t="shared" si="12"/>
        <v>3503.3600000000006</v>
      </c>
      <c r="W54">
        <f t="shared" ca="1" si="18"/>
        <v>2504.8164580051348</v>
      </c>
      <c r="X54">
        <f t="shared" ca="1" si="13"/>
        <v>2000</v>
      </c>
      <c r="Y54" s="297" t="str">
        <f t="shared" ca="1" si="5"/>
        <v>Yes</v>
      </c>
    </row>
    <row r="55" spans="1:26" outlineLevel="1" x14ac:dyDescent="0.75">
      <c r="A55" s="304">
        <f>Consumption!A55</f>
        <v>41318</v>
      </c>
      <c r="B55" s="305">
        <f>Consumption!B55</f>
        <v>3</v>
      </c>
      <c r="C55" s="41">
        <f ca="1">Consumption!C55</f>
        <v>0.3</v>
      </c>
      <c r="D55" s="41">
        <f t="shared" si="0"/>
        <v>0.219</v>
      </c>
      <c r="E55" s="41">
        <f t="shared" ca="1" si="6"/>
        <v>-0.37599999999999911</v>
      </c>
      <c r="F55" s="306">
        <f ca="1">'Pump Main'!$M$3*1000</f>
        <v>124614.17111887744</v>
      </c>
      <c r="G55" s="41">
        <f t="shared" ca="1" si="1"/>
        <v>37384.251335663226</v>
      </c>
      <c r="H55" s="6">
        <f t="shared" ca="1" si="7"/>
        <v>63482.118794663955</v>
      </c>
      <c r="I55" s="6">
        <f t="shared" ca="1" si="8"/>
        <v>17.633921887406654</v>
      </c>
      <c r="J55" s="6">
        <f t="shared" ca="1" si="14"/>
        <v>1500</v>
      </c>
      <c r="K55" s="6">
        <f t="shared" ca="1" si="15"/>
        <v>1.5</v>
      </c>
      <c r="L55" s="6">
        <f t="shared" ca="1" si="2"/>
        <v>3</v>
      </c>
      <c r="M55">
        <f t="shared" ca="1" si="16"/>
        <v>833.33333333333337</v>
      </c>
      <c r="N55" s="6">
        <f t="shared" si="17"/>
        <v>1200</v>
      </c>
      <c r="O55" s="6">
        <f t="shared" ca="1" si="9"/>
        <v>2050.9672552207403</v>
      </c>
      <c r="P55">
        <f t="shared" si="10"/>
        <v>0</v>
      </c>
      <c r="Q55" s="6">
        <f t="shared" si="19"/>
        <v>0</v>
      </c>
      <c r="R55" s="296">
        <v>10</v>
      </c>
      <c r="S55">
        <f t="shared" si="3"/>
        <v>3808.0000000000005</v>
      </c>
      <c r="T55">
        <f t="shared" si="11"/>
        <v>3503.3600000000006</v>
      </c>
      <c r="U55">
        <f t="shared" ca="1" si="4"/>
        <v>0</v>
      </c>
      <c r="V55">
        <f t="shared" si="12"/>
        <v>3503.3600000000006</v>
      </c>
      <c r="W55">
        <f t="shared" ca="1" si="18"/>
        <v>2050.9672552207403</v>
      </c>
      <c r="X55">
        <f t="shared" ca="1" si="13"/>
        <v>2000</v>
      </c>
      <c r="Y55" s="297" t="str">
        <f t="shared" ca="1" si="5"/>
        <v>Yes</v>
      </c>
    </row>
    <row r="56" spans="1:26" outlineLevel="1" x14ac:dyDescent="0.75">
      <c r="A56" s="304">
        <f>Consumption!A56</f>
        <v>41319</v>
      </c>
      <c r="B56" s="305">
        <f>Consumption!B56</f>
        <v>5.6</v>
      </c>
      <c r="C56" s="41">
        <f ca="1">Consumption!C56</f>
        <v>0.56000000000000005</v>
      </c>
      <c r="D56" s="41">
        <f t="shared" si="0"/>
        <v>0.219</v>
      </c>
      <c r="E56" s="41">
        <f t="shared" ca="1" si="6"/>
        <v>-3.499999999999906E-2</v>
      </c>
      <c r="F56" s="306">
        <f ca="1">'Pump Main'!$M$3*1000</f>
        <v>124614.17111887744</v>
      </c>
      <c r="G56" s="41">
        <f t="shared" ca="1" si="1"/>
        <v>69783.935826571367</v>
      </c>
      <c r="H56" s="6">
        <f t="shared" ca="1" si="7"/>
        <v>118499.95508337274</v>
      </c>
      <c r="I56" s="6">
        <f t="shared" ca="1" si="8"/>
        <v>32.916654189825763</v>
      </c>
      <c r="J56" s="6">
        <f t="shared" ca="1" si="14"/>
        <v>2800.0000000000005</v>
      </c>
      <c r="K56" s="6">
        <f t="shared" ca="1" si="15"/>
        <v>2.8000000000000003</v>
      </c>
      <c r="L56" s="6">
        <f t="shared" ca="1" si="2"/>
        <v>5.6000000000000005</v>
      </c>
      <c r="M56">
        <f t="shared" ca="1" si="16"/>
        <v>1555.5555555555559</v>
      </c>
      <c r="N56" s="6">
        <f t="shared" si="17"/>
        <v>1200</v>
      </c>
      <c r="O56" s="6">
        <f t="shared" ca="1" si="9"/>
        <v>2788.4722097453814</v>
      </c>
      <c r="P56">
        <f t="shared" si="10"/>
        <v>0</v>
      </c>
      <c r="Q56" s="6">
        <f t="shared" si="19"/>
        <v>0</v>
      </c>
      <c r="R56" s="296">
        <v>10</v>
      </c>
      <c r="S56">
        <f t="shared" si="3"/>
        <v>3808.0000000000005</v>
      </c>
      <c r="T56">
        <f t="shared" si="11"/>
        <v>3503.3600000000006</v>
      </c>
      <c r="U56">
        <f t="shared" ca="1" si="4"/>
        <v>0</v>
      </c>
      <c r="V56">
        <f t="shared" si="12"/>
        <v>3503.3600000000006</v>
      </c>
      <c r="W56">
        <f t="shared" ca="1" si="18"/>
        <v>2788.4722097453814</v>
      </c>
      <c r="X56">
        <f t="shared" ca="1" si="13"/>
        <v>2000</v>
      </c>
      <c r="Y56" s="297" t="str">
        <f t="shared" ca="1" si="5"/>
        <v>Yes</v>
      </c>
    </row>
    <row r="57" spans="1:26" outlineLevel="1" x14ac:dyDescent="0.75">
      <c r="A57" s="304">
        <f>Consumption!A57</f>
        <v>41320</v>
      </c>
      <c r="B57" s="305">
        <f>Consumption!B57</f>
        <v>2.4</v>
      </c>
      <c r="C57" s="41">
        <f ca="1">Consumption!C57</f>
        <v>0.24</v>
      </c>
      <c r="D57" s="41">
        <f t="shared" si="0"/>
        <v>0.219</v>
      </c>
      <c r="E57" s="41">
        <f t="shared" ca="1" si="6"/>
        <v>-1.3999999999999069E-2</v>
      </c>
      <c r="F57" s="306">
        <f ca="1">'Pump Main'!$M$3*1000</f>
        <v>124614.17111887744</v>
      </c>
      <c r="G57" s="41">
        <f t="shared" ca="1" si="1"/>
        <v>29907.401068530584</v>
      </c>
      <c r="H57" s="6">
        <f t="shared" ca="1" si="7"/>
        <v>50785.695035731173</v>
      </c>
      <c r="I57" s="6">
        <f t="shared" ca="1" si="8"/>
        <v>14.107137509925325</v>
      </c>
      <c r="J57" s="6">
        <f t="shared" ca="1" si="14"/>
        <v>1200</v>
      </c>
      <c r="K57" s="6">
        <f t="shared" ca="1" si="15"/>
        <v>1.2</v>
      </c>
      <c r="L57" s="6">
        <f t="shared" ca="1" si="2"/>
        <v>2.4</v>
      </c>
      <c r="M57">
        <f t="shared" ca="1" si="16"/>
        <v>666.66666666666663</v>
      </c>
      <c r="N57" s="6">
        <f t="shared" si="17"/>
        <v>1200</v>
      </c>
      <c r="O57" s="6">
        <f t="shared" ca="1" si="9"/>
        <v>1880.773804176592</v>
      </c>
      <c r="P57">
        <f t="shared" si="10"/>
        <v>0</v>
      </c>
      <c r="Q57" s="6">
        <f t="shared" si="19"/>
        <v>0</v>
      </c>
      <c r="R57" s="296">
        <v>10</v>
      </c>
      <c r="S57">
        <f t="shared" si="3"/>
        <v>3808.0000000000005</v>
      </c>
      <c r="T57">
        <f t="shared" si="11"/>
        <v>3503.3600000000006</v>
      </c>
      <c r="U57">
        <f t="shared" ca="1" si="4"/>
        <v>0</v>
      </c>
      <c r="V57">
        <f t="shared" si="12"/>
        <v>3503.3600000000006</v>
      </c>
      <c r="W57">
        <f t="shared" ca="1" si="18"/>
        <v>1880.773804176592</v>
      </c>
      <c r="X57">
        <f t="shared" ca="1" si="13"/>
        <v>2000</v>
      </c>
      <c r="Y57" s="297" t="str">
        <f t="shared" ca="1" si="5"/>
        <v>Yes</v>
      </c>
    </row>
    <row r="58" spans="1:26" outlineLevel="1" x14ac:dyDescent="0.75">
      <c r="A58" s="304">
        <f>Consumption!A58</f>
        <v>41321</v>
      </c>
      <c r="B58" s="305">
        <f>Consumption!B58</f>
        <v>0</v>
      </c>
      <c r="C58" s="41">
        <f ca="1">Consumption!C58</f>
        <v>0</v>
      </c>
      <c r="D58" s="41">
        <f t="shared" si="0"/>
        <v>0.219</v>
      </c>
      <c r="E58" s="41">
        <f t="shared" ca="1" si="6"/>
        <v>-0.23299999999999907</v>
      </c>
      <c r="F58" s="306">
        <f ca="1">'Pump Main'!$M$3*1000</f>
        <v>124614.17111887744</v>
      </c>
      <c r="G58" s="41">
        <f t="shared" ca="1" si="1"/>
        <v>0</v>
      </c>
      <c r="H58" s="6">
        <f t="shared" ca="1" si="7"/>
        <v>0</v>
      </c>
      <c r="I58" s="6">
        <f t="shared" ca="1" si="8"/>
        <v>0</v>
      </c>
      <c r="J58" s="6">
        <f t="shared" ca="1" si="14"/>
        <v>0</v>
      </c>
      <c r="K58" s="6">
        <f t="shared" ca="1" si="15"/>
        <v>0</v>
      </c>
      <c r="L58" s="6">
        <f t="shared" ca="1" si="2"/>
        <v>0</v>
      </c>
      <c r="M58">
        <f t="shared" ca="1" si="16"/>
        <v>0</v>
      </c>
      <c r="N58" s="6">
        <f t="shared" si="17"/>
        <v>1200</v>
      </c>
      <c r="O58" s="6">
        <f t="shared" ca="1" si="9"/>
        <v>1200</v>
      </c>
      <c r="P58">
        <f t="shared" si="10"/>
        <v>0</v>
      </c>
      <c r="Q58" s="6">
        <f t="shared" si="19"/>
        <v>0</v>
      </c>
      <c r="R58" s="296">
        <v>10</v>
      </c>
      <c r="S58">
        <f t="shared" si="3"/>
        <v>3808.0000000000005</v>
      </c>
      <c r="T58">
        <f t="shared" si="11"/>
        <v>3503.3600000000006</v>
      </c>
      <c r="U58">
        <f t="shared" ca="1" si="4"/>
        <v>0</v>
      </c>
      <c r="V58">
        <f t="shared" si="12"/>
        <v>3503.3600000000006</v>
      </c>
      <c r="W58">
        <f t="shared" ca="1" si="18"/>
        <v>1200</v>
      </c>
      <c r="X58">
        <f t="shared" ca="1" si="13"/>
        <v>2000</v>
      </c>
      <c r="Y58" s="297" t="str">
        <f t="shared" ca="1" si="5"/>
        <v>Yes</v>
      </c>
    </row>
    <row r="59" spans="1:26" outlineLevel="1" x14ac:dyDescent="0.75">
      <c r="A59" s="304">
        <f>Consumption!A59</f>
        <v>41322</v>
      </c>
      <c r="B59" s="305">
        <f>Consumption!B59</f>
        <v>0</v>
      </c>
      <c r="C59" s="41">
        <f ca="1">Consumption!C59</f>
        <v>0</v>
      </c>
      <c r="D59" s="41">
        <f t="shared" si="0"/>
        <v>0.219</v>
      </c>
      <c r="E59" s="41">
        <f t="shared" ca="1" si="6"/>
        <v>-0.45199999999999907</v>
      </c>
      <c r="F59" s="306">
        <f ca="1">'Pump Main'!$M$3*1000</f>
        <v>124614.17111887744</v>
      </c>
      <c r="G59" s="41">
        <f t="shared" ca="1" si="1"/>
        <v>0</v>
      </c>
      <c r="H59" s="6">
        <f t="shared" ca="1" si="7"/>
        <v>0</v>
      </c>
      <c r="I59" s="6">
        <f t="shared" ca="1" si="8"/>
        <v>0</v>
      </c>
      <c r="J59" s="6">
        <f t="shared" ca="1" si="14"/>
        <v>0</v>
      </c>
      <c r="K59" s="6">
        <f t="shared" ca="1" si="15"/>
        <v>0</v>
      </c>
      <c r="L59" s="6">
        <f t="shared" ca="1" si="2"/>
        <v>0</v>
      </c>
      <c r="M59">
        <f t="shared" ca="1" si="16"/>
        <v>0</v>
      </c>
      <c r="N59" s="6">
        <f t="shared" si="17"/>
        <v>1200</v>
      </c>
      <c r="O59" s="6">
        <f t="shared" ca="1" si="9"/>
        <v>1200</v>
      </c>
      <c r="P59">
        <f t="shared" si="10"/>
        <v>0</v>
      </c>
      <c r="Q59" s="6">
        <f t="shared" si="19"/>
        <v>0</v>
      </c>
      <c r="R59" s="296">
        <v>10</v>
      </c>
      <c r="S59">
        <f t="shared" si="3"/>
        <v>3808.0000000000005</v>
      </c>
      <c r="T59">
        <f t="shared" si="11"/>
        <v>3503.3600000000006</v>
      </c>
      <c r="U59">
        <f t="shared" ca="1" si="4"/>
        <v>0</v>
      </c>
      <c r="V59">
        <f t="shared" si="12"/>
        <v>3503.3600000000006</v>
      </c>
      <c r="W59">
        <f t="shared" ca="1" si="18"/>
        <v>1200</v>
      </c>
      <c r="X59">
        <f t="shared" ca="1" si="13"/>
        <v>2000</v>
      </c>
      <c r="Y59" s="297" t="str">
        <f t="shared" ca="1" si="5"/>
        <v>Yes</v>
      </c>
    </row>
    <row r="60" spans="1:26" outlineLevel="1" x14ac:dyDescent="0.75">
      <c r="A60" s="304">
        <f>Consumption!A60</f>
        <v>41323</v>
      </c>
      <c r="B60" s="305">
        <f>Consumption!B60</f>
        <v>0</v>
      </c>
      <c r="C60" s="41">
        <f ca="1">Consumption!C60</f>
        <v>0</v>
      </c>
      <c r="D60" s="41">
        <f t="shared" si="0"/>
        <v>0.219</v>
      </c>
      <c r="E60" s="41">
        <f t="shared" ca="1" si="6"/>
        <v>-0.67099999999999904</v>
      </c>
      <c r="F60" s="306">
        <f ca="1">'Pump Main'!$M$3*1000</f>
        <v>124614.17111887744</v>
      </c>
      <c r="G60" s="41">
        <f t="shared" ca="1" si="1"/>
        <v>0</v>
      </c>
      <c r="H60" s="6">
        <f t="shared" ca="1" si="7"/>
        <v>0</v>
      </c>
      <c r="I60" s="6">
        <f t="shared" ca="1" si="8"/>
        <v>0</v>
      </c>
      <c r="J60" s="6">
        <f t="shared" ca="1" si="14"/>
        <v>0</v>
      </c>
      <c r="K60" s="6">
        <f t="shared" ca="1" si="15"/>
        <v>0</v>
      </c>
      <c r="L60" s="6">
        <f t="shared" ca="1" si="2"/>
        <v>0</v>
      </c>
      <c r="M60">
        <f t="shared" ca="1" si="16"/>
        <v>0</v>
      </c>
      <c r="N60" s="6">
        <f t="shared" si="17"/>
        <v>1200</v>
      </c>
      <c r="O60" s="6">
        <f t="shared" ca="1" si="9"/>
        <v>1200</v>
      </c>
      <c r="P60">
        <f t="shared" si="10"/>
        <v>0</v>
      </c>
      <c r="Q60" s="6">
        <f t="shared" si="19"/>
        <v>0</v>
      </c>
      <c r="R60" s="296">
        <v>10</v>
      </c>
      <c r="S60">
        <f t="shared" si="3"/>
        <v>3808.0000000000005</v>
      </c>
      <c r="T60">
        <f t="shared" si="11"/>
        <v>3503.3600000000006</v>
      </c>
      <c r="U60">
        <f t="shared" ca="1" si="4"/>
        <v>0</v>
      </c>
      <c r="V60">
        <f t="shared" si="12"/>
        <v>3503.3600000000006</v>
      </c>
      <c r="W60">
        <f t="shared" ca="1" si="18"/>
        <v>1200</v>
      </c>
      <c r="X60">
        <f t="shared" ca="1" si="13"/>
        <v>2000</v>
      </c>
      <c r="Y60" s="297" t="str">
        <f t="shared" ca="1" si="5"/>
        <v>Yes</v>
      </c>
    </row>
    <row r="61" spans="1:26" outlineLevel="1" x14ac:dyDescent="0.75">
      <c r="A61" s="304">
        <f>Consumption!A61</f>
        <v>41324</v>
      </c>
      <c r="B61" s="305">
        <f>Consumption!B61</f>
        <v>0</v>
      </c>
      <c r="C61" s="41">
        <f ca="1">Consumption!C61</f>
        <v>0</v>
      </c>
      <c r="D61" s="41">
        <f t="shared" si="0"/>
        <v>0.219</v>
      </c>
      <c r="E61" s="41">
        <f t="shared" ca="1" si="6"/>
        <v>-0.88999999999999901</v>
      </c>
      <c r="F61" s="306">
        <f ca="1">'Pump Main'!$M$3*1000</f>
        <v>124614.17111887744</v>
      </c>
      <c r="G61" s="41">
        <f t="shared" ca="1" si="1"/>
        <v>0</v>
      </c>
      <c r="H61" s="6">
        <f t="shared" ca="1" si="7"/>
        <v>0</v>
      </c>
      <c r="I61" s="6">
        <f t="shared" ca="1" si="8"/>
        <v>0</v>
      </c>
      <c r="J61" s="6">
        <f t="shared" ca="1" si="14"/>
        <v>0</v>
      </c>
      <c r="K61" s="6">
        <f t="shared" ca="1" si="15"/>
        <v>0</v>
      </c>
      <c r="L61" s="6">
        <f t="shared" ca="1" si="2"/>
        <v>0</v>
      </c>
      <c r="M61">
        <f t="shared" ca="1" si="16"/>
        <v>0</v>
      </c>
      <c r="N61" s="6">
        <f t="shared" si="17"/>
        <v>1200</v>
      </c>
      <c r="O61" s="6">
        <f t="shared" ca="1" si="9"/>
        <v>1200</v>
      </c>
      <c r="P61">
        <f t="shared" si="10"/>
        <v>0</v>
      </c>
      <c r="Q61" s="6">
        <f t="shared" si="19"/>
        <v>0</v>
      </c>
      <c r="R61" s="296">
        <v>10</v>
      </c>
      <c r="S61">
        <f t="shared" si="3"/>
        <v>3808.0000000000005</v>
      </c>
      <c r="T61">
        <f t="shared" si="11"/>
        <v>3503.3600000000006</v>
      </c>
      <c r="U61">
        <f t="shared" ca="1" si="4"/>
        <v>0</v>
      </c>
      <c r="V61">
        <f t="shared" si="12"/>
        <v>3503.3600000000006</v>
      </c>
      <c r="W61">
        <f t="shared" ca="1" si="18"/>
        <v>1200</v>
      </c>
      <c r="X61">
        <f t="shared" ca="1" si="13"/>
        <v>2000</v>
      </c>
      <c r="Y61" s="297" t="str">
        <f t="shared" ca="1" si="5"/>
        <v>Yes</v>
      </c>
    </row>
    <row r="62" spans="1:26" outlineLevel="1" x14ac:dyDescent="0.75">
      <c r="A62" s="304">
        <f>Consumption!A62</f>
        <v>41325</v>
      </c>
      <c r="B62" s="305">
        <f>Consumption!B62</f>
        <v>2.2000000000000002</v>
      </c>
      <c r="C62" s="41">
        <f ca="1">Consumption!C62</f>
        <v>0.22000000000000003</v>
      </c>
      <c r="D62" s="41">
        <f t="shared" si="0"/>
        <v>0.219</v>
      </c>
      <c r="E62" s="41">
        <f t="shared" ca="1" si="6"/>
        <v>-0.88899999999999901</v>
      </c>
      <c r="F62" s="306">
        <f ca="1">'Pump Main'!$M$3*1000</f>
        <v>124614.17111887744</v>
      </c>
      <c r="G62" s="41">
        <f t="shared" ca="1" si="1"/>
        <v>27415.117646153038</v>
      </c>
      <c r="H62" s="6">
        <f t="shared" ca="1" si="7"/>
        <v>46553.553782753574</v>
      </c>
      <c r="I62" s="6">
        <f t="shared" ca="1" si="8"/>
        <v>12.931542717431547</v>
      </c>
      <c r="J62" s="6">
        <f t="shared" ca="1" si="14"/>
        <v>1100</v>
      </c>
      <c r="K62" s="6">
        <f t="shared" ca="1" si="15"/>
        <v>1.1000000000000001</v>
      </c>
      <c r="L62" s="6">
        <f t="shared" ca="1" si="2"/>
        <v>2.2000000000000002</v>
      </c>
      <c r="M62">
        <f t="shared" ca="1" si="16"/>
        <v>611.11111111111109</v>
      </c>
      <c r="N62" s="6">
        <f t="shared" si="17"/>
        <v>1200</v>
      </c>
      <c r="O62" s="6">
        <f t="shared" ca="1" si="9"/>
        <v>1824.0426538285426</v>
      </c>
      <c r="P62">
        <f t="shared" si="10"/>
        <v>0</v>
      </c>
      <c r="Q62" s="6">
        <f t="shared" si="19"/>
        <v>0</v>
      </c>
      <c r="R62" s="296">
        <v>10</v>
      </c>
      <c r="S62">
        <f t="shared" si="3"/>
        <v>3808.0000000000005</v>
      </c>
      <c r="T62">
        <f t="shared" si="11"/>
        <v>3503.3600000000006</v>
      </c>
      <c r="U62">
        <f t="shared" ca="1" si="4"/>
        <v>0</v>
      </c>
      <c r="V62">
        <f t="shared" si="12"/>
        <v>3503.3600000000006</v>
      </c>
      <c r="W62">
        <f t="shared" ca="1" si="18"/>
        <v>1824.0426538285426</v>
      </c>
      <c r="X62">
        <f t="shared" ca="1" si="13"/>
        <v>2000</v>
      </c>
      <c r="Y62" s="297" t="str">
        <f t="shared" ca="1" si="5"/>
        <v>Yes</v>
      </c>
    </row>
    <row r="63" spans="1:26" outlineLevel="1" x14ac:dyDescent="0.75">
      <c r="A63" s="304">
        <f>Consumption!A63</f>
        <v>41326</v>
      </c>
      <c r="B63" s="305">
        <f>Consumption!B63</f>
        <v>9</v>
      </c>
      <c r="C63" s="41">
        <f ca="1">Consumption!C63</f>
        <v>0.9</v>
      </c>
      <c r="D63" s="41">
        <f t="shared" si="0"/>
        <v>0.219</v>
      </c>
      <c r="E63" s="41">
        <f t="shared" ca="1" si="6"/>
        <v>-0.20799999999999899</v>
      </c>
      <c r="F63" s="306">
        <f ca="1">'Pump Main'!$M$3*1000</f>
        <v>124614.17111887744</v>
      </c>
      <c r="G63" s="41">
        <f t="shared" ca="1" si="1"/>
        <v>112152.75400698969</v>
      </c>
      <c r="H63" s="6">
        <f t="shared" ca="1" si="7"/>
        <v>190446.35638399189</v>
      </c>
      <c r="I63" s="6">
        <f t="shared" ca="1" si="8"/>
        <v>52.901765662219972</v>
      </c>
      <c r="J63" s="6">
        <f t="shared" ca="1" si="14"/>
        <v>4500</v>
      </c>
      <c r="K63" s="6">
        <f t="shared" ca="1" si="15"/>
        <v>4.5</v>
      </c>
      <c r="L63" s="6">
        <f t="shared" ca="1" si="2"/>
        <v>9</v>
      </c>
      <c r="M63">
        <f t="shared" ca="1" si="16"/>
        <v>2500</v>
      </c>
      <c r="N63" s="6">
        <f t="shared" si="17"/>
        <v>1200</v>
      </c>
      <c r="O63" s="6">
        <f t="shared" ca="1" si="9"/>
        <v>3752.90176566222</v>
      </c>
      <c r="P63">
        <f t="shared" si="10"/>
        <v>0</v>
      </c>
      <c r="Q63" s="6">
        <f t="shared" si="19"/>
        <v>0</v>
      </c>
      <c r="R63" s="296">
        <v>10</v>
      </c>
      <c r="S63">
        <f t="shared" si="3"/>
        <v>3808.0000000000005</v>
      </c>
      <c r="T63">
        <f t="shared" si="11"/>
        <v>3503.3600000000006</v>
      </c>
      <c r="U63">
        <f t="shared" ca="1" si="4"/>
        <v>0</v>
      </c>
      <c r="V63">
        <f t="shared" si="12"/>
        <v>3503.3600000000006</v>
      </c>
      <c r="W63">
        <f t="shared" ca="1" si="18"/>
        <v>3752.90176566222</v>
      </c>
      <c r="X63">
        <f t="shared" ca="1" si="13"/>
        <v>1453.9529274351871</v>
      </c>
      <c r="Y63" s="297" t="str">
        <f t="shared" ca="1" si="5"/>
        <v>Yes</v>
      </c>
    </row>
    <row r="64" spans="1:26" outlineLevel="1" x14ac:dyDescent="0.75">
      <c r="A64" s="304">
        <f>Consumption!A64</f>
        <v>41327</v>
      </c>
      <c r="B64" s="305">
        <f>Consumption!B64</f>
        <v>10.6</v>
      </c>
      <c r="C64" s="41">
        <f ca="1">Consumption!C64</f>
        <v>1.06</v>
      </c>
      <c r="D64" s="41">
        <f t="shared" si="0"/>
        <v>0.219</v>
      </c>
      <c r="E64" s="41">
        <f t="shared" ca="1" si="6"/>
        <v>0.63300000000000112</v>
      </c>
      <c r="F64" s="306">
        <f ca="1">'Pump Main'!$M$3*1000</f>
        <v>124614.17111887744</v>
      </c>
      <c r="G64" s="41">
        <f t="shared" ca="1" si="1"/>
        <v>132091.02138601008</v>
      </c>
      <c r="H64" s="6">
        <f t="shared" ca="1" si="7"/>
        <v>224303.48640781266</v>
      </c>
      <c r="I64" s="6">
        <f t="shared" ca="1" si="8"/>
        <v>62.306524002170185</v>
      </c>
      <c r="J64" s="6">
        <f t="shared" ca="1" si="14"/>
        <v>5300.0000000000009</v>
      </c>
      <c r="K64" s="6">
        <f t="shared" ca="1" si="15"/>
        <v>5.3000000000000007</v>
      </c>
      <c r="L64" s="6">
        <f t="shared" ca="1" si="2"/>
        <v>10.600000000000001</v>
      </c>
      <c r="M64">
        <f t="shared" ca="1" si="16"/>
        <v>2944.4444444444448</v>
      </c>
      <c r="N64" s="6">
        <f t="shared" si="17"/>
        <v>1200</v>
      </c>
      <c r="O64" s="6">
        <f t="shared" ca="1" si="9"/>
        <v>4206.7509684466149</v>
      </c>
      <c r="P64">
        <f t="shared" si="10"/>
        <v>0</v>
      </c>
      <c r="Q64" s="6">
        <f t="shared" si="19"/>
        <v>0</v>
      </c>
      <c r="R64" s="296">
        <v>10</v>
      </c>
      <c r="S64">
        <f t="shared" si="3"/>
        <v>3808.0000000000005</v>
      </c>
      <c r="T64">
        <f t="shared" si="11"/>
        <v>3503.3600000000006</v>
      </c>
      <c r="U64">
        <f t="shared" ca="1" si="4"/>
        <v>0</v>
      </c>
      <c r="V64">
        <f t="shared" si="12"/>
        <v>3503.3600000000006</v>
      </c>
      <c r="W64">
        <f t="shared" ca="1" si="18"/>
        <v>4206.7509684466149</v>
      </c>
      <c r="X64">
        <f t="shared" ca="1" si="13"/>
        <v>435.14626863663034</v>
      </c>
      <c r="Y64" s="297" t="str">
        <f t="shared" ca="1" si="5"/>
        <v>Yes</v>
      </c>
    </row>
    <row r="65" spans="1:25" outlineLevel="1" x14ac:dyDescent="0.75">
      <c r="A65" s="304">
        <f>Consumption!A65</f>
        <v>41328</v>
      </c>
      <c r="B65" s="305">
        <f>Consumption!B65</f>
        <v>4.5999999999999996</v>
      </c>
      <c r="C65" s="41">
        <f ca="1">Consumption!C65</f>
        <v>0.45999999999999996</v>
      </c>
      <c r="D65" s="41">
        <f t="shared" si="0"/>
        <v>0.219</v>
      </c>
      <c r="E65" s="41">
        <f t="shared" ca="1" si="6"/>
        <v>0.87400000000000111</v>
      </c>
      <c r="F65" s="306">
        <f ca="1">'Pump Main'!$M$3*1000</f>
        <v>124614.17111887744</v>
      </c>
      <c r="G65" s="41">
        <f t="shared" ca="1" si="1"/>
        <v>57322.518714683618</v>
      </c>
      <c r="H65" s="6">
        <f t="shared" ca="1" si="7"/>
        <v>97339.248818484732</v>
      </c>
      <c r="I65" s="6">
        <f t="shared" ca="1" si="8"/>
        <v>27.03868022735687</v>
      </c>
      <c r="J65" s="6">
        <f t="shared" ca="1" si="14"/>
        <v>2300</v>
      </c>
      <c r="K65" s="6">
        <f t="shared" ca="1" si="15"/>
        <v>2.2999999999999998</v>
      </c>
      <c r="L65" s="6">
        <f t="shared" ca="1" si="2"/>
        <v>4.5999999999999996</v>
      </c>
      <c r="M65">
        <f t="shared" ca="1" si="16"/>
        <v>1277.7777777777778</v>
      </c>
      <c r="N65" s="6">
        <f t="shared" si="17"/>
        <v>1200</v>
      </c>
      <c r="O65" s="6">
        <f t="shared" ca="1" si="9"/>
        <v>2504.8164580051348</v>
      </c>
      <c r="P65">
        <f t="shared" si="10"/>
        <v>0</v>
      </c>
      <c r="Q65" s="6">
        <f t="shared" si="19"/>
        <v>0</v>
      </c>
      <c r="R65" s="296">
        <v>10</v>
      </c>
      <c r="S65">
        <f t="shared" si="3"/>
        <v>3808.0000000000005</v>
      </c>
      <c r="T65">
        <f t="shared" si="11"/>
        <v>3503.3600000000006</v>
      </c>
      <c r="U65">
        <f t="shared" ca="1" si="4"/>
        <v>0</v>
      </c>
      <c r="V65">
        <f t="shared" si="12"/>
        <v>3503.3600000000006</v>
      </c>
      <c r="W65">
        <f t="shared" ca="1" si="18"/>
        <v>2504.8164580051348</v>
      </c>
      <c r="X65">
        <f t="shared" ca="1" si="13"/>
        <v>1189.188058214615</v>
      </c>
      <c r="Y65" s="297" t="str">
        <f t="shared" ca="1" si="5"/>
        <v>Yes</v>
      </c>
    </row>
    <row r="66" spans="1:25" outlineLevel="1" x14ac:dyDescent="0.75">
      <c r="A66" s="304">
        <f>Consumption!A66</f>
        <v>41329</v>
      </c>
      <c r="B66" s="305">
        <f>Consumption!B66</f>
        <v>23.6</v>
      </c>
      <c r="C66" s="41">
        <f ca="1">Consumption!C66</f>
        <v>2.36</v>
      </c>
      <c r="D66" s="41">
        <f t="shared" si="0"/>
        <v>0.219</v>
      </c>
      <c r="E66" s="41">
        <f t="shared" ca="1" si="6"/>
        <v>3.015000000000001</v>
      </c>
      <c r="F66" s="306">
        <f ca="1">'Pump Main'!$M$3*1000</f>
        <v>124614.17111887744</v>
      </c>
      <c r="G66" s="41">
        <f t="shared" ca="1" si="1"/>
        <v>294089.44384055072</v>
      </c>
      <c r="H66" s="6">
        <f t="shared" ca="1" si="7"/>
        <v>499392.66785135644</v>
      </c>
      <c r="I66" s="6">
        <f t="shared" ca="1" si="8"/>
        <v>138.72018551426567</v>
      </c>
      <c r="J66" s="6">
        <f t="shared" ca="1" si="14"/>
        <v>11799.999999999998</v>
      </c>
      <c r="K66" s="6">
        <f t="shared" ca="1" si="15"/>
        <v>11.799999999999999</v>
      </c>
      <c r="L66" s="6">
        <f t="shared" ca="1" si="2"/>
        <v>23.599999999999998</v>
      </c>
      <c r="M66">
        <f t="shared" ca="1" si="16"/>
        <v>6555.5555555555547</v>
      </c>
      <c r="N66" s="6">
        <f t="shared" si="17"/>
        <v>1200</v>
      </c>
      <c r="O66" s="6">
        <f t="shared" ca="1" si="9"/>
        <v>7894.2757410698205</v>
      </c>
      <c r="P66">
        <f t="shared" si="10"/>
        <v>0</v>
      </c>
      <c r="Q66" s="6">
        <f t="shared" si="19"/>
        <v>0</v>
      </c>
      <c r="R66" s="296">
        <v>10</v>
      </c>
      <c r="S66">
        <f t="shared" si="3"/>
        <v>3808.0000000000005</v>
      </c>
      <c r="T66">
        <f t="shared" si="11"/>
        <v>3503.3600000000006</v>
      </c>
      <c r="U66">
        <f t="shared" ca="1" si="4"/>
        <v>0</v>
      </c>
      <c r="V66">
        <f t="shared" si="12"/>
        <v>3503.3600000000006</v>
      </c>
      <c r="W66">
        <f t="shared" ca="1" si="18"/>
        <v>4370.31711188603</v>
      </c>
      <c r="X66">
        <f t="shared" ca="1" si="13"/>
        <v>0</v>
      </c>
      <c r="Y66" s="297" t="str">
        <f t="shared" ca="1" si="5"/>
        <v>No</v>
      </c>
    </row>
    <row r="67" spans="1:25" outlineLevel="1" x14ac:dyDescent="0.75">
      <c r="A67" s="304">
        <f>Consumption!A67</f>
        <v>41330</v>
      </c>
      <c r="B67" s="305">
        <f>Consumption!B67</f>
        <v>1.6</v>
      </c>
      <c r="C67" s="41">
        <f ca="1">Consumption!C67</f>
        <v>0.16</v>
      </c>
      <c r="D67" s="41">
        <f t="shared" si="0"/>
        <v>0.219</v>
      </c>
      <c r="E67" s="41">
        <f t="shared" ca="1" si="6"/>
        <v>2.9560000000000013</v>
      </c>
      <c r="F67" s="306">
        <f ca="1">'Pump Main'!$M$3*1000</f>
        <v>124614.17111887744</v>
      </c>
      <c r="G67" s="41">
        <f t="shared" ca="1" si="1"/>
        <v>19938.267379020392</v>
      </c>
      <c r="H67" s="6">
        <f t="shared" ca="1" si="7"/>
        <v>33857.130023820784</v>
      </c>
      <c r="I67" s="6">
        <f t="shared" ca="1" si="8"/>
        <v>9.4047583399502184</v>
      </c>
      <c r="J67" s="6">
        <f t="shared" ca="1" si="14"/>
        <v>800</v>
      </c>
      <c r="K67" s="6">
        <f t="shared" ca="1" si="15"/>
        <v>0.8</v>
      </c>
      <c r="L67" s="6">
        <f t="shared" ca="1" si="2"/>
        <v>1.6</v>
      </c>
      <c r="M67">
        <f t="shared" ca="1" si="16"/>
        <v>444.44444444444446</v>
      </c>
      <c r="N67" s="6">
        <f t="shared" si="17"/>
        <v>1200</v>
      </c>
      <c r="O67" s="6">
        <f t="shared" ca="1" si="9"/>
        <v>1653.8492027843947</v>
      </c>
      <c r="P67">
        <f t="shared" si="10"/>
        <v>0</v>
      </c>
      <c r="Q67" s="6">
        <f t="shared" si="19"/>
        <v>0</v>
      </c>
      <c r="R67" s="296">
        <v>10</v>
      </c>
      <c r="S67">
        <f t="shared" si="3"/>
        <v>3808.0000000000005</v>
      </c>
      <c r="T67">
        <f t="shared" si="11"/>
        <v>3503.3600000000006</v>
      </c>
      <c r="U67">
        <f t="shared" ca="1" si="4"/>
        <v>0</v>
      </c>
      <c r="V67">
        <f t="shared" si="12"/>
        <v>3503.3600000000006</v>
      </c>
      <c r="W67">
        <f t="shared" ca="1" si="18"/>
        <v>1653.8492027843947</v>
      </c>
      <c r="X67">
        <f t="shared" ca="1" si="13"/>
        <v>1640.4660137662556</v>
      </c>
      <c r="Y67" s="297" t="str">
        <f t="shared" ca="1" si="5"/>
        <v>Yes</v>
      </c>
    </row>
    <row r="68" spans="1:25" outlineLevel="1" x14ac:dyDescent="0.75">
      <c r="A68" s="304">
        <f>Consumption!A68</f>
        <v>41331</v>
      </c>
      <c r="B68" s="305">
        <f>Consumption!B68</f>
        <v>2.2000000000000002</v>
      </c>
      <c r="C68" s="41">
        <f ca="1">Consumption!C68</f>
        <v>0.22000000000000003</v>
      </c>
      <c r="D68" s="41">
        <f t="shared" si="0"/>
        <v>0.219</v>
      </c>
      <c r="E68" s="41">
        <f t="shared" ca="1" si="6"/>
        <v>2.9570000000000016</v>
      </c>
      <c r="F68" s="306">
        <f ca="1">'Pump Main'!$M$3*1000</f>
        <v>124614.17111887744</v>
      </c>
      <c r="G68" s="41">
        <f t="shared" ca="1" si="1"/>
        <v>27415.117646153038</v>
      </c>
      <c r="H68" s="6">
        <f t="shared" ca="1" si="7"/>
        <v>46553.553782753574</v>
      </c>
      <c r="I68" s="6">
        <f t="shared" ca="1" si="8"/>
        <v>12.931542717431547</v>
      </c>
      <c r="J68" s="6">
        <f t="shared" ca="1" si="14"/>
        <v>1100</v>
      </c>
      <c r="K68" s="6">
        <f t="shared" ca="1" si="15"/>
        <v>1.1000000000000001</v>
      </c>
      <c r="L68" s="6">
        <f t="shared" ca="1" si="2"/>
        <v>2.2000000000000002</v>
      </c>
      <c r="M68">
        <f t="shared" ca="1" si="16"/>
        <v>611.11111111111109</v>
      </c>
      <c r="N68" s="6">
        <f t="shared" si="17"/>
        <v>1200</v>
      </c>
      <c r="O68" s="6">
        <f t="shared" ca="1" si="9"/>
        <v>1824.0426538285426</v>
      </c>
      <c r="P68">
        <f t="shared" si="10"/>
        <v>0</v>
      </c>
      <c r="Q68" s="6">
        <f t="shared" si="19"/>
        <v>0</v>
      </c>
      <c r="R68" s="296">
        <v>10</v>
      </c>
      <c r="S68">
        <f t="shared" si="3"/>
        <v>3808.0000000000005</v>
      </c>
      <c r="T68">
        <f t="shared" si="11"/>
        <v>3503.3600000000006</v>
      </c>
      <c r="U68">
        <f t="shared" ca="1" si="4"/>
        <v>0</v>
      </c>
      <c r="V68">
        <f t="shared" si="12"/>
        <v>3503.3600000000006</v>
      </c>
      <c r="W68">
        <f t="shared" ca="1" si="18"/>
        <v>1824.0426538285426</v>
      </c>
      <c r="X68">
        <f t="shared" ca="1" si="13"/>
        <v>2000</v>
      </c>
      <c r="Y68" s="297" t="str">
        <f t="shared" ca="1" si="5"/>
        <v>Yes</v>
      </c>
    </row>
    <row r="69" spans="1:25" outlineLevel="1" x14ac:dyDescent="0.75">
      <c r="A69" s="304">
        <f>Consumption!A69</f>
        <v>41332</v>
      </c>
      <c r="B69" s="305">
        <f>Consumption!B69</f>
        <v>0.2</v>
      </c>
      <c r="C69" s="41">
        <f ca="1">Consumption!C69</f>
        <v>0.02</v>
      </c>
      <c r="D69" s="41">
        <f t="shared" si="0"/>
        <v>0.219</v>
      </c>
      <c r="E69" s="41">
        <f t="shared" ca="1" si="6"/>
        <v>2.7580000000000018</v>
      </c>
      <c r="F69" s="306">
        <f ca="1">'Pump Main'!$M$3*1000</f>
        <v>124614.17111887744</v>
      </c>
      <c r="G69" s="41">
        <f t="shared" ca="1" si="1"/>
        <v>2492.283422377549</v>
      </c>
      <c r="H69" s="6">
        <f t="shared" ca="1" si="7"/>
        <v>4232.141252977598</v>
      </c>
      <c r="I69" s="6">
        <f t="shared" ca="1" si="8"/>
        <v>1.1755947924937773</v>
      </c>
      <c r="J69" s="6">
        <f t="shared" ca="1" si="14"/>
        <v>100</v>
      </c>
      <c r="K69" s="6">
        <f t="shared" ca="1" si="15"/>
        <v>0.1</v>
      </c>
      <c r="L69" s="6">
        <f t="shared" ca="1" si="2"/>
        <v>0.2</v>
      </c>
      <c r="M69">
        <f t="shared" ca="1" si="16"/>
        <v>55.555555555555557</v>
      </c>
      <c r="N69" s="6">
        <f t="shared" si="17"/>
        <v>1200</v>
      </c>
      <c r="O69" s="6">
        <f t="shared" ca="1" si="9"/>
        <v>1256.7311503480494</v>
      </c>
      <c r="P69">
        <f t="shared" si="10"/>
        <v>0</v>
      </c>
      <c r="Q69" s="6">
        <f t="shared" si="19"/>
        <v>0</v>
      </c>
      <c r="R69" s="296">
        <v>10</v>
      </c>
      <c r="S69">
        <f t="shared" si="3"/>
        <v>3808.0000000000005</v>
      </c>
      <c r="T69">
        <f t="shared" si="11"/>
        <v>3503.3600000000006</v>
      </c>
      <c r="U69">
        <f t="shared" ca="1" si="4"/>
        <v>0</v>
      </c>
      <c r="V69">
        <f t="shared" si="12"/>
        <v>3503.3600000000006</v>
      </c>
      <c r="W69">
        <f t="shared" ca="1" si="18"/>
        <v>1256.7311503480494</v>
      </c>
      <c r="X69">
        <f t="shared" ca="1" si="13"/>
        <v>2000</v>
      </c>
      <c r="Y69" s="297" t="str">
        <f t="shared" ca="1" si="5"/>
        <v>Yes</v>
      </c>
    </row>
    <row r="70" spans="1:25" outlineLevel="1" x14ac:dyDescent="0.75">
      <c r="A70" s="304">
        <f>Consumption!A70</f>
        <v>41333</v>
      </c>
      <c r="B70" s="305">
        <f>Consumption!B70</f>
        <v>8.6</v>
      </c>
      <c r="C70" s="41">
        <f ca="1">Consumption!C70</f>
        <v>0.86</v>
      </c>
      <c r="D70" s="41">
        <f t="shared" si="0"/>
        <v>0.219</v>
      </c>
      <c r="E70" s="41">
        <f t="shared" ca="1" si="6"/>
        <v>3.3990000000000018</v>
      </c>
      <c r="F70" s="306">
        <f ca="1">'Pump Main'!$M$3*1000</f>
        <v>124614.17111887744</v>
      </c>
      <c r="G70" s="41">
        <f t="shared" ca="1" si="1"/>
        <v>107168.18716223459</v>
      </c>
      <c r="H70" s="6">
        <f t="shared" ca="1" si="7"/>
        <v>181982.0738780367</v>
      </c>
      <c r="I70" s="6">
        <f t="shared" ca="1" si="8"/>
        <v>50.550576077232414</v>
      </c>
      <c r="J70" s="6">
        <f t="shared" ca="1" si="14"/>
        <v>4300</v>
      </c>
      <c r="K70" s="6">
        <f t="shared" ca="1" si="15"/>
        <v>4.3</v>
      </c>
      <c r="L70" s="6">
        <f t="shared" ca="1" si="2"/>
        <v>8.6</v>
      </c>
      <c r="M70">
        <f t="shared" ca="1" si="16"/>
        <v>2388.8888888888887</v>
      </c>
      <c r="N70" s="6">
        <f t="shared" si="17"/>
        <v>1200</v>
      </c>
      <c r="O70" s="6">
        <f t="shared" ca="1" si="9"/>
        <v>3639.4394649661212</v>
      </c>
      <c r="P70">
        <f t="shared" si="10"/>
        <v>0</v>
      </c>
      <c r="Q70" s="6">
        <f t="shared" si="19"/>
        <v>0</v>
      </c>
      <c r="R70" s="296">
        <v>10</v>
      </c>
      <c r="S70">
        <f t="shared" si="3"/>
        <v>3808.0000000000005</v>
      </c>
      <c r="T70">
        <f t="shared" si="11"/>
        <v>3503.3600000000006</v>
      </c>
      <c r="U70">
        <f t="shared" ca="1" si="4"/>
        <v>0</v>
      </c>
      <c r="V70">
        <f t="shared" si="12"/>
        <v>3503.3600000000006</v>
      </c>
      <c r="W70">
        <f t="shared" ca="1" si="18"/>
        <v>3639.4394649661212</v>
      </c>
      <c r="X70">
        <f t="shared" ca="1" si="13"/>
        <v>1572.1428239936231</v>
      </c>
      <c r="Y70" s="297" t="str">
        <f t="shared" ca="1" si="5"/>
        <v>Yes</v>
      </c>
    </row>
    <row r="71" spans="1:25" outlineLevel="1" x14ac:dyDescent="0.75">
      <c r="A71" s="304">
        <f>Consumption!A71</f>
        <v>41334</v>
      </c>
      <c r="B71" s="305">
        <f>Consumption!B71</f>
        <v>20</v>
      </c>
      <c r="C71" s="41">
        <f ca="1">Consumption!C71</f>
        <v>2</v>
      </c>
      <c r="D71" s="41">
        <f t="shared" si="0"/>
        <v>0.219</v>
      </c>
      <c r="E71" s="41">
        <f t="shared" ca="1" si="6"/>
        <v>5.1800000000000015</v>
      </c>
      <c r="F71" s="306">
        <f ca="1">'Pump Main'!$M$3*1000</f>
        <v>124614.17111887744</v>
      </c>
      <c r="G71" s="41">
        <f t="shared" ca="1" si="1"/>
        <v>249228.34223775487</v>
      </c>
      <c r="H71" s="6">
        <f t="shared" ca="1" si="7"/>
        <v>423214.12529775978</v>
      </c>
      <c r="I71" s="6">
        <f t="shared" ca="1" si="8"/>
        <v>117.55947924937772</v>
      </c>
      <c r="J71" s="6">
        <f t="shared" ca="1" si="14"/>
        <v>10000</v>
      </c>
      <c r="K71" s="6">
        <f t="shared" ca="1" si="15"/>
        <v>10</v>
      </c>
      <c r="L71" s="6">
        <f t="shared" ca="1" si="2"/>
        <v>20</v>
      </c>
      <c r="M71">
        <f t="shared" ca="1" si="16"/>
        <v>5555.5555555555557</v>
      </c>
      <c r="N71" s="6">
        <f t="shared" si="17"/>
        <v>1200</v>
      </c>
      <c r="O71" s="6">
        <f t="shared" ca="1" si="9"/>
        <v>6873.1150348049332</v>
      </c>
      <c r="P71">
        <f t="shared" si="10"/>
        <v>0</v>
      </c>
      <c r="Q71" s="6">
        <f t="shared" si="19"/>
        <v>0</v>
      </c>
      <c r="R71" s="296">
        <v>11.8</v>
      </c>
      <c r="S71">
        <f t="shared" si="3"/>
        <v>4493.4400000000005</v>
      </c>
      <c r="T71">
        <f t="shared" si="11"/>
        <v>4133.9648000000007</v>
      </c>
      <c r="U71">
        <f t="shared" ca="1" si="4"/>
        <v>0</v>
      </c>
      <c r="V71">
        <f t="shared" si="12"/>
        <v>4133.9648000000007</v>
      </c>
      <c r="W71">
        <f t="shared" ca="1" si="18"/>
        <v>5319.1190707138794</v>
      </c>
      <c r="X71">
        <f t="shared" ca="1" si="13"/>
        <v>0</v>
      </c>
      <c r="Y71" s="297" t="str">
        <f t="shared" ca="1" si="5"/>
        <v>No</v>
      </c>
    </row>
    <row r="72" spans="1:25" outlineLevel="1" x14ac:dyDescent="0.75">
      <c r="A72" s="304">
        <f>Consumption!A72</f>
        <v>41335</v>
      </c>
      <c r="B72" s="305">
        <f>Consumption!B72</f>
        <v>4.4000000000000004</v>
      </c>
      <c r="C72" s="41">
        <f ca="1">Consumption!C72</f>
        <v>0.44000000000000006</v>
      </c>
      <c r="D72" s="41">
        <f t="shared" si="0"/>
        <v>0.219</v>
      </c>
      <c r="E72" s="41">
        <f t="shared" ca="1" si="6"/>
        <v>5.4010000000000016</v>
      </c>
      <c r="F72" s="306">
        <f ca="1">'Pump Main'!$M$3*1000</f>
        <v>124614.17111887744</v>
      </c>
      <c r="G72" s="41">
        <f t="shared" ca="1" si="1"/>
        <v>54830.235292306075</v>
      </c>
      <c r="H72" s="6">
        <f t="shared" ca="1" si="7"/>
        <v>93107.107565507147</v>
      </c>
      <c r="I72" s="6">
        <f t="shared" ca="1" si="8"/>
        <v>25.863085434863095</v>
      </c>
      <c r="J72" s="6">
        <f t="shared" ca="1" si="14"/>
        <v>2200</v>
      </c>
      <c r="K72" s="6">
        <f t="shared" ca="1" si="15"/>
        <v>2.2000000000000002</v>
      </c>
      <c r="L72" s="6">
        <f t="shared" ca="1" si="2"/>
        <v>4.4000000000000004</v>
      </c>
      <c r="M72">
        <f t="shared" ca="1" si="16"/>
        <v>1222.2222222222222</v>
      </c>
      <c r="N72" s="6">
        <f t="shared" si="17"/>
        <v>1200</v>
      </c>
      <c r="O72" s="6">
        <f t="shared" ca="1" si="9"/>
        <v>2448.0853076570852</v>
      </c>
      <c r="P72">
        <f t="shared" si="10"/>
        <v>0</v>
      </c>
      <c r="Q72" s="6">
        <f t="shared" si="19"/>
        <v>0</v>
      </c>
      <c r="R72" s="296">
        <v>11.8</v>
      </c>
      <c r="S72">
        <f t="shared" si="3"/>
        <v>4493.4400000000005</v>
      </c>
      <c r="T72">
        <f t="shared" si="11"/>
        <v>4133.9648000000007</v>
      </c>
      <c r="U72">
        <f t="shared" ca="1" si="4"/>
        <v>0</v>
      </c>
      <c r="V72">
        <f t="shared" si="12"/>
        <v>4133.9648000000007</v>
      </c>
      <c r="W72">
        <f t="shared" ca="1" si="18"/>
        <v>2448.0853076570852</v>
      </c>
      <c r="X72">
        <f t="shared" ca="1" si="13"/>
        <v>1418.5173458572035</v>
      </c>
      <c r="Y72" s="297" t="str">
        <f t="shared" ca="1" si="5"/>
        <v>Yes</v>
      </c>
    </row>
    <row r="73" spans="1:25" outlineLevel="1" x14ac:dyDescent="0.75">
      <c r="A73" s="304">
        <f>Consumption!A73</f>
        <v>41336</v>
      </c>
      <c r="B73" s="305">
        <f>Consumption!B73</f>
        <v>0</v>
      </c>
      <c r="C73" s="41">
        <f ca="1">Consumption!C73</f>
        <v>0</v>
      </c>
      <c r="D73" s="41">
        <f t="shared" si="0"/>
        <v>0.219</v>
      </c>
      <c r="E73" s="41">
        <f t="shared" ca="1" si="6"/>
        <v>5.1820000000000013</v>
      </c>
      <c r="F73" s="306">
        <f ca="1">'Pump Main'!$M$3*1000</f>
        <v>124614.17111887744</v>
      </c>
      <c r="G73" s="41">
        <f t="shared" ca="1" si="1"/>
        <v>0</v>
      </c>
      <c r="H73" s="6">
        <f t="shared" ca="1" si="7"/>
        <v>0</v>
      </c>
      <c r="I73" s="6">
        <f t="shared" ca="1" si="8"/>
        <v>0</v>
      </c>
      <c r="J73" s="6">
        <f t="shared" ca="1" si="14"/>
        <v>0</v>
      </c>
      <c r="K73" s="6">
        <f t="shared" ca="1" si="15"/>
        <v>0</v>
      </c>
      <c r="L73" s="6">
        <f t="shared" ca="1" si="2"/>
        <v>0</v>
      </c>
      <c r="M73">
        <f t="shared" ca="1" si="16"/>
        <v>0</v>
      </c>
      <c r="N73" s="6">
        <f t="shared" si="17"/>
        <v>1200</v>
      </c>
      <c r="O73" s="6">
        <f t="shared" ca="1" si="9"/>
        <v>1200</v>
      </c>
      <c r="P73">
        <f t="shared" si="10"/>
        <v>0</v>
      </c>
      <c r="Q73" s="6">
        <f t="shared" si="19"/>
        <v>0</v>
      </c>
      <c r="R73" s="296">
        <v>11.8</v>
      </c>
      <c r="S73">
        <f t="shared" si="3"/>
        <v>4493.4400000000005</v>
      </c>
      <c r="T73">
        <f t="shared" si="11"/>
        <v>4133.9648000000007</v>
      </c>
      <c r="U73">
        <f t="shared" ca="1" si="4"/>
        <v>0</v>
      </c>
      <c r="V73">
        <f t="shared" si="12"/>
        <v>4133.9648000000007</v>
      </c>
      <c r="W73">
        <f t="shared" ca="1" si="18"/>
        <v>1200</v>
      </c>
      <c r="X73">
        <f t="shared" ca="1" si="13"/>
        <v>2000</v>
      </c>
      <c r="Y73" s="297" t="str">
        <f t="shared" ca="1" si="5"/>
        <v>Yes</v>
      </c>
    </row>
    <row r="74" spans="1:25" outlineLevel="1" x14ac:dyDescent="0.75">
      <c r="A74" s="304">
        <f>Consumption!A74</f>
        <v>41337</v>
      </c>
      <c r="B74" s="305">
        <f>Consumption!B74</f>
        <v>0</v>
      </c>
      <c r="C74" s="41">
        <f ca="1">Consumption!C74</f>
        <v>0</v>
      </c>
      <c r="D74" s="41">
        <f t="shared" si="0"/>
        <v>0.219</v>
      </c>
      <c r="E74" s="41">
        <f t="shared" ca="1" si="6"/>
        <v>4.963000000000001</v>
      </c>
      <c r="F74" s="306">
        <f ca="1">'Pump Main'!$M$3*1000</f>
        <v>124614.17111887744</v>
      </c>
      <c r="G74" s="41">
        <f t="shared" ca="1" si="1"/>
        <v>0</v>
      </c>
      <c r="H74" s="6">
        <f t="shared" ca="1" si="7"/>
        <v>0</v>
      </c>
      <c r="I74" s="6">
        <f t="shared" ca="1" si="8"/>
        <v>0</v>
      </c>
      <c r="J74" s="6">
        <f t="shared" ca="1" si="14"/>
        <v>0</v>
      </c>
      <c r="K74" s="6">
        <f t="shared" ca="1" si="15"/>
        <v>0</v>
      </c>
      <c r="L74" s="6">
        <f t="shared" ca="1" si="2"/>
        <v>0</v>
      </c>
      <c r="M74">
        <f t="shared" ca="1" si="16"/>
        <v>0</v>
      </c>
      <c r="N74" s="6">
        <f t="shared" si="17"/>
        <v>1200</v>
      </c>
      <c r="O74" s="6">
        <f t="shared" ca="1" si="9"/>
        <v>1200</v>
      </c>
      <c r="P74">
        <f t="shared" si="10"/>
        <v>0</v>
      </c>
      <c r="Q74" s="6">
        <f t="shared" si="19"/>
        <v>0</v>
      </c>
      <c r="R74" s="296">
        <v>11.8</v>
      </c>
      <c r="S74">
        <f t="shared" si="3"/>
        <v>4493.4400000000005</v>
      </c>
      <c r="T74">
        <f t="shared" si="11"/>
        <v>4133.9648000000007</v>
      </c>
      <c r="U74">
        <f t="shared" ca="1" si="4"/>
        <v>0</v>
      </c>
      <c r="V74">
        <f t="shared" si="12"/>
        <v>4133.9648000000007</v>
      </c>
      <c r="W74">
        <f t="shared" ca="1" si="18"/>
        <v>1200</v>
      </c>
      <c r="X74">
        <f t="shared" ca="1" si="13"/>
        <v>2000</v>
      </c>
      <c r="Y74" s="297" t="str">
        <f t="shared" ca="1" si="5"/>
        <v>Yes</v>
      </c>
    </row>
    <row r="75" spans="1:25" outlineLevel="1" x14ac:dyDescent="0.75">
      <c r="A75" s="304">
        <f>Consumption!A75</f>
        <v>41338</v>
      </c>
      <c r="B75" s="305">
        <f>Consumption!B75</f>
        <v>0</v>
      </c>
      <c r="C75" s="41">
        <f ca="1">Consumption!C75</f>
        <v>0</v>
      </c>
      <c r="D75" s="41">
        <f t="shared" si="0"/>
        <v>0.219</v>
      </c>
      <c r="E75" s="41">
        <f t="shared" ca="1" si="6"/>
        <v>4.7440000000000007</v>
      </c>
      <c r="F75" s="306">
        <f ca="1">'Pump Main'!$M$3*1000</f>
        <v>124614.17111887744</v>
      </c>
      <c r="G75" s="41">
        <f t="shared" ca="1" si="1"/>
        <v>0</v>
      </c>
      <c r="H75" s="6">
        <f t="shared" ca="1" si="7"/>
        <v>0</v>
      </c>
      <c r="I75" s="6">
        <f t="shared" ca="1" si="8"/>
        <v>0</v>
      </c>
      <c r="J75" s="6">
        <f t="shared" ca="1" si="14"/>
        <v>0</v>
      </c>
      <c r="K75" s="6">
        <f t="shared" ca="1" si="15"/>
        <v>0</v>
      </c>
      <c r="L75" s="6">
        <f t="shared" ca="1" si="2"/>
        <v>0</v>
      </c>
      <c r="M75">
        <f t="shared" ca="1" si="16"/>
        <v>0</v>
      </c>
      <c r="N75" s="6">
        <f t="shared" si="17"/>
        <v>1200</v>
      </c>
      <c r="O75" s="6">
        <f t="shared" ca="1" si="9"/>
        <v>1200</v>
      </c>
      <c r="P75">
        <f t="shared" si="10"/>
        <v>0</v>
      </c>
      <c r="Q75" s="6">
        <f t="shared" si="19"/>
        <v>0</v>
      </c>
      <c r="R75" s="296">
        <v>11.8</v>
      </c>
      <c r="S75">
        <f t="shared" si="3"/>
        <v>4493.4400000000005</v>
      </c>
      <c r="T75">
        <f t="shared" si="11"/>
        <v>4133.9648000000007</v>
      </c>
      <c r="U75">
        <f t="shared" ca="1" si="4"/>
        <v>0</v>
      </c>
      <c r="V75">
        <f t="shared" si="12"/>
        <v>4133.9648000000007</v>
      </c>
      <c r="W75">
        <f t="shared" ca="1" si="18"/>
        <v>1200</v>
      </c>
      <c r="X75">
        <f t="shared" ca="1" si="13"/>
        <v>2000</v>
      </c>
      <c r="Y75" s="297" t="str">
        <f t="shared" ca="1" si="5"/>
        <v>Yes</v>
      </c>
    </row>
    <row r="76" spans="1:25" outlineLevel="1" x14ac:dyDescent="0.75">
      <c r="A76" s="304">
        <f>Consumption!A76</f>
        <v>41339</v>
      </c>
      <c r="B76" s="305">
        <f>Consumption!B76</f>
        <v>0</v>
      </c>
      <c r="C76" s="41">
        <f ca="1">Consumption!C76</f>
        <v>0</v>
      </c>
      <c r="D76" s="41">
        <f t="shared" ref="D76:D139" si="20">$B$4/1000</f>
        <v>0.219</v>
      </c>
      <c r="E76" s="41">
        <f t="shared" ca="1" si="6"/>
        <v>4.5250000000000004</v>
      </c>
      <c r="F76" s="306">
        <f ca="1">'Pump Main'!$M$3*1000</f>
        <v>124614.17111887744</v>
      </c>
      <c r="G76" s="41">
        <f t="shared" ref="G76:G139" ca="1" si="21">C76*F76</f>
        <v>0</v>
      </c>
      <c r="H76" s="6">
        <f t="shared" ref="H76:H139" ca="1" si="22">G76/$H$1</f>
        <v>0</v>
      </c>
      <c r="I76" s="6">
        <f t="shared" ca="1" si="8"/>
        <v>0</v>
      </c>
      <c r="J76" s="6">
        <f t="shared" ref="J76:J139" ca="1" si="23">$K$4*$K$2/$K$1*C76*1000</f>
        <v>0</v>
      </c>
      <c r="K76" s="6">
        <f t="shared" ref="K76:K139" ca="1" si="24">J76/1000</f>
        <v>0</v>
      </c>
      <c r="L76" s="6">
        <f t="shared" ref="L76:L139" ca="1" si="25">$K$3*K76</f>
        <v>0</v>
      </c>
      <c r="M76">
        <f t="shared" ca="1" si="16"/>
        <v>0</v>
      </c>
      <c r="N76" s="6">
        <f t="shared" si="17"/>
        <v>1200</v>
      </c>
      <c r="O76" s="6">
        <f t="shared" ca="1" si="9"/>
        <v>1200</v>
      </c>
      <c r="P76">
        <f t="shared" si="10"/>
        <v>0</v>
      </c>
      <c r="Q76" s="6">
        <f t="shared" ref="Q76:Q139" si="26">IF($N$3,P76*3600/10^6 / $N$5 / $N$4, 0)</f>
        <v>0</v>
      </c>
      <c r="R76" s="296">
        <v>11.8</v>
      </c>
      <c r="S76">
        <f t="shared" ref="S76:S139" si="27">IF($Q$1, $Q$2 * $Q$3 * R76 * $Q$4 * $Q$5, 0)</f>
        <v>4493.4400000000005</v>
      </c>
      <c r="T76">
        <f t="shared" ref="T76:T139" si="28">S76*$Q$6</f>
        <v>4133.9648000000007</v>
      </c>
      <c r="U76">
        <f t="shared" ref="U76:U139" ca="1" si="29">$T$1/$T$2*C76/$T$3/1000*$T$4</f>
        <v>0</v>
      </c>
      <c r="V76">
        <f t="shared" si="12"/>
        <v>4133.9648000000007</v>
      </c>
      <c r="W76">
        <f t="shared" ca="1" si="18"/>
        <v>1200</v>
      </c>
      <c r="X76">
        <f t="shared" ca="1" si="13"/>
        <v>2000</v>
      </c>
      <c r="Y76" s="297" t="str">
        <f t="shared" ref="Y76:Y138" ca="1" si="30">IF(IF($N$3, FALSE, W76 &lt; O76),"No", "Yes")</f>
        <v>Yes</v>
      </c>
    </row>
    <row r="77" spans="1:25" outlineLevel="1" x14ac:dyDescent="0.75">
      <c r="A77" s="304">
        <f>Consumption!A77</f>
        <v>41340</v>
      </c>
      <c r="B77" s="305">
        <f>Consumption!B77</f>
        <v>0</v>
      </c>
      <c r="C77" s="41">
        <f ca="1">Consumption!C77</f>
        <v>0</v>
      </c>
      <c r="D77" s="41">
        <f t="shared" si="20"/>
        <v>0.219</v>
      </c>
      <c r="E77" s="41">
        <f t="shared" ref="E77:E140" ca="1" si="31">E76+C77-D77</f>
        <v>4.306</v>
      </c>
      <c r="F77" s="306">
        <f ca="1">'Pump Main'!$M$3*1000</f>
        <v>124614.17111887744</v>
      </c>
      <c r="G77" s="41">
        <f t="shared" ca="1" si="21"/>
        <v>0</v>
      </c>
      <c r="H77" s="6">
        <f t="shared" ca="1" si="22"/>
        <v>0</v>
      </c>
      <c r="I77" s="6">
        <f t="shared" ref="I77:I140" ca="1" si="32">H77/3600</f>
        <v>0</v>
      </c>
      <c r="J77" s="6">
        <f t="shared" ca="1" si="23"/>
        <v>0</v>
      </c>
      <c r="K77" s="6">
        <f t="shared" ca="1" si="24"/>
        <v>0</v>
      </c>
      <c r="L77" s="6">
        <f t="shared" ca="1" si="25"/>
        <v>0</v>
      </c>
      <c r="M77">
        <f t="shared" ref="M77:M140" ca="1" si="33">L77*10^6/3600</f>
        <v>0</v>
      </c>
      <c r="N77" s="6">
        <f t="shared" ref="N77:N140" si="34">$N$1*$N$2</f>
        <v>1200</v>
      </c>
      <c r="O77" s="6">
        <f t="shared" ref="O77:O140" ca="1" si="35">I77+M77+N77</f>
        <v>1200</v>
      </c>
      <c r="P77">
        <f t="shared" ref="P77:P140" si="36">IF($N$3, O77-N77+V77, 0)</f>
        <v>0</v>
      </c>
      <c r="Q77" s="6">
        <f t="shared" si="26"/>
        <v>0</v>
      </c>
      <c r="R77" s="296">
        <v>11.8</v>
      </c>
      <c r="S77">
        <f t="shared" si="27"/>
        <v>4493.4400000000005</v>
      </c>
      <c r="T77">
        <f t="shared" si="28"/>
        <v>4133.9648000000007</v>
      </c>
      <c r="U77">
        <f t="shared" ca="1" si="29"/>
        <v>0</v>
      </c>
      <c r="V77">
        <f t="shared" ref="V77:V140" si="37">IF($N$3, (X77-X76+W77/$W$2)/$W$2, T77)</f>
        <v>4133.9648000000007</v>
      </c>
      <c r="W77">
        <f t="shared" ca="1" si="18"/>
        <v>1200</v>
      </c>
      <c r="X77">
        <f t="shared" ref="X77:X140" ca="1" si="38">IF($N$3, 0, MIN(X76+V77*$W$2 - W77 / $W$2, $W$1*$W$3))</f>
        <v>2000</v>
      </c>
      <c r="Y77" s="297" t="str">
        <f t="shared" ca="1" si="30"/>
        <v>Yes</v>
      </c>
    </row>
    <row r="78" spans="1:25" outlineLevel="1" x14ac:dyDescent="0.75">
      <c r="A78" s="304">
        <f>Consumption!A78</f>
        <v>41341</v>
      </c>
      <c r="B78" s="305">
        <f>Consumption!B78</f>
        <v>0</v>
      </c>
      <c r="C78" s="41">
        <f ca="1">Consumption!C78</f>
        <v>0</v>
      </c>
      <c r="D78" s="41">
        <f t="shared" si="20"/>
        <v>0.219</v>
      </c>
      <c r="E78" s="41">
        <f t="shared" ca="1" si="31"/>
        <v>4.0869999999999997</v>
      </c>
      <c r="F78" s="306">
        <f ca="1">'Pump Main'!$M$3*1000</f>
        <v>124614.17111887744</v>
      </c>
      <c r="G78" s="41">
        <f t="shared" ca="1" si="21"/>
        <v>0</v>
      </c>
      <c r="H78" s="6">
        <f t="shared" ca="1" si="22"/>
        <v>0</v>
      </c>
      <c r="I78" s="6">
        <f t="shared" ca="1" si="32"/>
        <v>0</v>
      </c>
      <c r="J78" s="6">
        <f t="shared" ca="1" si="23"/>
        <v>0</v>
      </c>
      <c r="K78" s="6">
        <f t="shared" ca="1" si="24"/>
        <v>0</v>
      </c>
      <c r="L78" s="6">
        <f t="shared" ca="1" si="25"/>
        <v>0</v>
      </c>
      <c r="M78">
        <f t="shared" ca="1" si="33"/>
        <v>0</v>
      </c>
      <c r="N78" s="6">
        <f t="shared" si="34"/>
        <v>1200</v>
      </c>
      <c r="O78" s="6">
        <f t="shared" ca="1" si="35"/>
        <v>1200</v>
      </c>
      <c r="P78">
        <f t="shared" si="36"/>
        <v>0</v>
      </c>
      <c r="Q78" s="6">
        <f t="shared" si="26"/>
        <v>0</v>
      </c>
      <c r="R78" s="296">
        <v>11.8</v>
      </c>
      <c r="S78">
        <f t="shared" si="27"/>
        <v>4493.4400000000005</v>
      </c>
      <c r="T78">
        <f t="shared" si="28"/>
        <v>4133.9648000000007</v>
      </c>
      <c r="U78">
        <f t="shared" ca="1" si="29"/>
        <v>0</v>
      </c>
      <c r="V78">
        <f t="shared" si="37"/>
        <v>4133.9648000000007</v>
      </c>
      <c r="W78">
        <f t="shared" ref="W78:W141" ca="1" si="39">IF($N$3, N78, MIN(O78, $W$2 * (X77+V78*$W$2)))</f>
        <v>1200</v>
      </c>
      <c r="X78">
        <f t="shared" ca="1" si="38"/>
        <v>2000</v>
      </c>
      <c r="Y78" s="297" t="str">
        <f t="shared" ca="1" si="30"/>
        <v>Yes</v>
      </c>
    </row>
    <row r="79" spans="1:25" outlineLevel="1" x14ac:dyDescent="0.75">
      <c r="A79" s="304">
        <f>Consumption!A79</f>
        <v>41342</v>
      </c>
      <c r="B79" s="305">
        <f>Consumption!B79</f>
        <v>0.8</v>
      </c>
      <c r="C79" s="41">
        <f ca="1">Consumption!C79</f>
        <v>0.08</v>
      </c>
      <c r="D79" s="41">
        <f t="shared" si="20"/>
        <v>0.219</v>
      </c>
      <c r="E79" s="41">
        <f t="shared" ca="1" si="31"/>
        <v>3.948</v>
      </c>
      <c r="F79" s="306">
        <f ca="1">'Pump Main'!$M$3*1000</f>
        <v>124614.17111887744</v>
      </c>
      <c r="G79" s="41">
        <f t="shared" ca="1" si="21"/>
        <v>9969.1336895101958</v>
      </c>
      <c r="H79" s="6">
        <f t="shared" ca="1" si="22"/>
        <v>16928.565011910392</v>
      </c>
      <c r="I79" s="6">
        <f t="shared" ca="1" si="32"/>
        <v>4.7023791699751092</v>
      </c>
      <c r="J79" s="6">
        <f t="shared" ca="1" si="23"/>
        <v>400</v>
      </c>
      <c r="K79" s="6">
        <f t="shared" ca="1" si="24"/>
        <v>0.4</v>
      </c>
      <c r="L79" s="6">
        <f t="shared" ca="1" si="25"/>
        <v>0.8</v>
      </c>
      <c r="M79">
        <f t="shared" ca="1" si="33"/>
        <v>222.22222222222223</v>
      </c>
      <c r="N79" s="6">
        <f t="shared" si="34"/>
        <v>1200</v>
      </c>
      <c r="O79" s="6">
        <f t="shared" ca="1" si="35"/>
        <v>1426.9246013921972</v>
      </c>
      <c r="P79">
        <f t="shared" si="36"/>
        <v>0</v>
      </c>
      <c r="Q79" s="6">
        <f t="shared" si="26"/>
        <v>0</v>
      </c>
      <c r="R79" s="296">
        <v>11.8</v>
      </c>
      <c r="S79">
        <f t="shared" si="27"/>
        <v>4493.4400000000005</v>
      </c>
      <c r="T79">
        <f t="shared" si="28"/>
        <v>4133.9648000000007</v>
      </c>
      <c r="U79">
        <f t="shared" ca="1" si="29"/>
        <v>0</v>
      </c>
      <c r="V79">
        <f t="shared" si="37"/>
        <v>4133.9648000000007</v>
      </c>
      <c r="W79">
        <f t="shared" ca="1" si="39"/>
        <v>1426.9246013921972</v>
      </c>
      <c r="X79">
        <f t="shared" ca="1" si="38"/>
        <v>2000</v>
      </c>
      <c r="Y79" s="297" t="str">
        <f t="shared" ca="1" si="30"/>
        <v>Yes</v>
      </c>
    </row>
    <row r="80" spans="1:25" outlineLevel="1" x14ac:dyDescent="0.75">
      <c r="A80" s="304">
        <f>Consumption!A80</f>
        <v>41343</v>
      </c>
      <c r="B80" s="305">
        <f>Consumption!B80</f>
        <v>0</v>
      </c>
      <c r="C80" s="41">
        <f ca="1">Consumption!C80</f>
        <v>0</v>
      </c>
      <c r="D80" s="41">
        <f t="shared" si="20"/>
        <v>0.219</v>
      </c>
      <c r="E80" s="41">
        <f t="shared" ca="1" si="31"/>
        <v>3.7290000000000001</v>
      </c>
      <c r="F80" s="306">
        <f ca="1">'Pump Main'!$M$3*1000</f>
        <v>124614.17111887744</v>
      </c>
      <c r="G80" s="41">
        <f t="shared" ca="1" si="21"/>
        <v>0</v>
      </c>
      <c r="H80" s="6">
        <f t="shared" ca="1" si="22"/>
        <v>0</v>
      </c>
      <c r="I80" s="6">
        <f t="shared" ca="1" si="32"/>
        <v>0</v>
      </c>
      <c r="J80" s="6">
        <f t="shared" ca="1" si="23"/>
        <v>0</v>
      </c>
      <c r="K80" s="6">
        <f t="shared" ca="1" si="24"/>
        <v>0</v>
      </c>
      <c r="L80" s="6">
        <f t="shared" ca="1" si="25"/>
        <v>0</v>
      </c>
      <c r="M80">
        <f t="shared" ca="1" si="33"/>
        <v>0</v>
      </c>
      <c r="N80" s="6">
        <f t="shared" si="34"/>
        <v>1200</v>
      </c>
      <c r="O80" s="6">
        <f t="shared" ca="1" si="35"/>
        <v>1200</v>
      </c>
      <c r="P80">
        <f t="shared" si="36"/>
        <v>0</v>
      </c>
      <c r="Q80" s="6">
        <f t="shared" si="26"/>
        <v>0</v>
      </c>
      <c r="R80" s="296">
        <v>11.8</v>
      </c>
      <c r="S80">
        <f t="shared" si="27"/>
        <v>4493.4400000000005</v>
      </c>
      <c r="T80">
        <f t="shared" si="28"/>
        <v>4133.9648000000007</v>
      </c>
      <c r="U80">
        <f t="shared" ca="1" si="29"/>
        <v>0</v>
      </c>
      <c r="V80">
        <f t="shared" si="37"/>
        <v>4133.9648000000007</v>
      </c>
      <c r="W80">
        <f t="shared" ca="1" si="39"/>
        <v>1200</v>
      </c>
      <c r="X80">
        <f t="shared" ca="1" si="38"/>
        <v>2000</v>
      </c>
      <c r="Y80" s="297" t="str">
        <f t="shared" ca="1" si="30"/>
        <v>Yes</v>
      </c>
    </row>
    <row r="81" spans="1:25" outlineLevel="1" x14ac:dyDescent="0.75">
      <c r="A81" s="304">
        <f>Consumption!A81</f>
        <v>41344</v>
      </c>
      <c r="B81" s="305">
        <f>Consumption!B81</f>
        <v>4</v>
      </c>
      <c r="C81" s="41">
        <f ca="1">Consumption!C81</f>
        <v>0.4</v>
      </c>
      <c r="D81" s="41">
        <f t="shared" si="20"/>
        <v>0.219</v>
      </c>
      <c r="E81" s="41">
        <f t="shared" ca="1" si="31"/>
        <v>3.9100000000000006</v>
      </c>
      <c r="F81" s="306">
        <f ca="1">'Pump Main'!$M$3*1000</f>
        <v>124614.17111887744</v>
      </c>
      <c r="G81" s="41">
        <f t="shared" ca="1" si="21"/>
        <v>49845.668447550976</v>
      </c>
      <c r="H81" s="6">
        <f t="shared" ca="1" si="22"/>
        <v>84642.825059551949</v>
      </c>
      <c r="I81" s="6">
        <f t="shared" ca="1" si="32"/>
        <v>23.511895849875543</v>
      </c>
      <c r="J81" s="6">
        <f t="shared" ca="1" si="23"/>
        <v>2000</v>
      </c>
      <c r="K81" s="6">
        <f t="shared" ca="1" si="24"/>
        <v>2</v>
      </c>
      <c r="L81" s="6">
        <f t="shared" ca="1" si="25"/>
        <v>4</v>
      </c>
      <c r="M81">
        <f t="shared" ca="1" si="33"/>
        <v>1111.1111111111111</v>
      </c>
      <c r="N81" s="6">
        <f t="shared" si="34"/>
        <v>1200</v>
      </c>
      <c r="O81" s="6">
        <f t="shared" ca="1" si="35"/>
        <v>2334.6230069609865</v>
      </c>
      <c r="P81">
        <f t="shared" si="36"/>
        <v>0</v>
      </c>
      <c r="Q81" s="6">
        <f t="shared" si="26"/>
        <v>0</v>
      </c>
      <c r="R81" s="296">
        <v>11.8</v>
      </c>
      <c r="S81">
        <f t="shared" si="27"/>
        <v>4493.4400000000005</v>
      </c>
      <c r="T81">
        <f t="shared" si="28"/>
        <v>4133.9648000000007</v>
      </c>
      <c r="U81">
        <f t="shared" ca="1" si="29"/>
        <v>0</v>
      </c>
      <c r="V81">
        <f t="shared" si="37"/>
        <v>4133.9648000000007</v>
      </c>
      <c r="W81">
        <f t="shared" ca="1" si="39"/>
        <v>2334.6230069609865</v>
      </c>
      <c r="X81">
        <f t="shared" ca="1" si="38"/>
        <v>2000</v>
      </c>
      <c r="Y81" s="297" t="str">
        <f t="shared" ca="1" si="30"/>
        <v>Yes</v>
      </c>
    </row>
    <row r="82" spans="1:25" outlineLevel="1" x14ac:dyDescent="0.75">
      <c r="A82" s="304">
        <f>Consumption!A82</f>
        <v>41345</v>
      </c>
      <c r="B82" s="305">
        <f>Consumption!B82</f>
        <v>22.8</v>
      </c>
      <c r="C82" s="41">
        <f ca="1">Consumption!C82</f>
        <v>2.2799999999999998</v>
      </c>
      <c r="D82" s="41">
        <f t="shared" si="20"/>
        <v>0.219</v>
      </c>
      <c r="E82" s="41">
        <f t="shared" ca="1" si="31"/>
        <v>5.9710000000000001</v>
      </c>
      <c r="F82" s="306">
        <f ca="1">'Pump Main'!$M$3*1000</f>
        <v>124614.17111887744</v>
      </c>
      <c r="G82" s="41">
        <f t="shared" ca="1" si="21"/>
        <v>284120.31015104055</v>
      </c>
      <c r="H82" s="6">
        <f t="shared" ca="1" si="22"/>
        <v>482464.1028394461</v>
      </c>
      <c r="I82" s="6">
        <f t="shared" ca="1" si="32"/>
        <v>134.01780634429059</v>
      </c>
      <c r="J82" s="6">
        <f t="shared" ca="1" si="23"/>
        <v>11399.999999999998</v>
      </c>
      <c r="K82" s="6">
        <f t="shared" ca="1" si="24"/>
        <v>11.399999999999999</v>
      </c>
      <c r="L82" s="6">
        <f t="shared" ca="1" si="25"/>
        <v>22.799999999999997</v>
      </c>
      <c r="M82">
        <f t="shared" ca="1" si="33"/>
        <v>6333.3333333333321</v>
      </c>
      <c r="N82" s="6">
        <f t="shared" si="34"/>
        <v>1200</v>
      </c>
      <c r="O82" s="6">
        <f t="shared" ca="1" si="35"/>
        <v>7667.351139677623</v>
      </c>
      <c r="P82">
        <f t="shared" si="36"/>
        <v>0</v>
      </c>
      <c r="Q82" s="6">
        <f t="shared" si="26"/>
        <v>0</v>
      </c>
      <c r="R82" s="296">
        <v>11.8</v>
      </c>
      <c r="S82">
        <f t="shared" si="27"/>
        <v>4493.4400000000005</v>
      </c>
      <c r="T82">
        <f t="shared" si="28"/>
        <v>4133.9648000000007</v>
      </c>
      <c r="U82">
        <f t="shared" ca="1" si="29"/>
        <v>0</v>
      </c>
      <c r="V82">
        <f t="shared" si="37"/>
        <v>4133.9648000000007</v>
      </c>
      <c r="W82">
        <f t="shared" ca="1" si="39"/>
        <v>5729.8619596800008</v>
      </c>
      <c r="X82">
        <f t="shared" ca="1" si="38"/>
        <v>0</v>
      </c>
      <c r="Y82" s="297" t="str">
        <f t="shared" ca="1" si="30"/>
        <v>No</v>
      </c>
    </row>
    <row r="83" spans="1:25" outlineLevel="1" x14ac:dyDescent="0.75">
      <c r="A83" s="304">
        <f>Consumption!A83</f>
        <v>41346</v>
      </c>
      <c r="B83" s="305">
        <f>Consumption!B83</f>
        <v>25.2</v>
      </c>
      <c r="C83" s="41">
        <f ca="1">Consumption!C83</f>
        <v>2.5</v>
      </c>
      <c r="D83" s="41">
        <f t="shared" si="20"/>
        <v>0.219</v>
      </c>
      <c r="E83" s="41">
        <f t="shared" ca="1" si="31"/>
        <v>8.2520000000000007</v>
      </c>
      <c r="F83" s="306">
        <f ca="1">'Pump Main'!$M$3*1000</f>
        <v>124614.17111887744</v>
      </c>
      <c r="G83" s="41">
        <f t="shared" ca="1" si="21"/>
        <v>311535.42779719358</v>
      </c>
      <c r="H83" s="6">
        <f t="shared" ca="1" si="22"/>
        <v>529017.65662219969</v>
      </c>
      <c r="I83" s="6">
        <f t="shared" ca="1" si="32"/>
        <v>146.94934906172213</v>
      </c>
      <c r="J83" s="6">
        <f t="shared" ca="1" si="23"/>
        <v>12500</v>
      </c>
      <c r="K83" s="6">
        <f t="shared" ca="1" si="24"/>
        <v>12.5</v>
      </c>
      <c r="L83" s="6">
        <f t="shared" ca="1" si="25"/>
        <v>25</v>
      </c>
      <c r="M83">
        <f t="shared" ca="1" si="33"/>
        <v>6944.4444444444443</v>
      </c>
      <c r="N83" s="6">
        <f t="shared" si="34"/>
        <v>1200</v>
      </c>
      <c r="O83" s="6">
        <f t="shared" ca="1" si="35"/>
        <v>8291.3937935061658</v>
      </c>
      <c r="P83">
        <f t="shared" si="36"/>
        <v>0</v>
      </c>
      <c r="Q83" s="6">
        <f t="shared" si="26"/>
        <v>0</v>
      </c>
      <c r="R83" s="296">
        <v>11.8</v>
      </c>
      <c r="S83">
        <f t="shared" si="27"/>
        <v>4493.4400000000005</v>
      </c>
      <c r="T83">
        <f t="shared" si="28"/>
        <v>4133.9648000000007</v>
      </c>
      <c r="U83">
        <f t="shared" ca="1" si="29"/>
        <v>0</v>
      </c>
      <c r="V83">
        <f t="shared" si="37"/>
        <v>4133.9648000000007</v>
      </c>
      <c r="W83">
        <f t="shared" ca="1" si="39"/>
        <v>3809.8619596800004</v>
      </c>
      <c r="X83">
        <f t="shared" ca="1" si="38"/>
        <v>0</v>
      </c>
      <c r="Y83" s="297" t="str">
        <f t="shared" ca="1" si="30"/>
        <v>No</v>
      </c>
    </row>
    <row r="84" spans="1:25" outlineLevel="1" x14ac:dyDescent="0.75">
      <c r="A84" s="304">
        <f>Consumption!A84</f>
        <v>41347</v>
      </c>
      <c r="B84" s="305">
        <f>Consumption!B84</f>
        <v>5.6</v>
      </c>
      <c r="C84" s="41">
        <f ca="1">Consumption!C84</f>
        <v>0.56000000000000005</v>
      </c>
      <c r="D84" s="41">
        <f t="shared" si="20"/>
        <v>0.219</v>
      </c>
      <c r="E84" s="41">
        <f t="shared" ca="1" si="31"/>
        <v>8.5930000000000017</v>
      </c>
      <c r="F84" s="306">
        <f ca="1">'Pump Main'!$M$3*1000</f>
        <v>124614.17111887744</v>
      </c>
      <c r="G84" s="41">
        <f t="shared" ca="1" si="21"/>
        <v>69783.935826571367</v>
      </c>
      <c r="H84" s="6">
        <f t="shared" ca="1" si="22"/>
        <v>118499.95508337274</v>
      </c>
      <c r="I84" s="6">
        <f t="shared" ca="1" si="32"/>
        <v>32.916654189825763</v>
      </c>
      <c r="J84" s="6">
        <f t="shared" ca="1" si="23"/>
        <v>2800.0000000000005</v>
      </c>
      <c r="K84" s="6">
        <f t="shared" ca="1" si="24"/>
        <v>2.8000000000000003</v>
      </c>
      <c r="L84" s="6">
        <f t="shared" ca="1" si="25"/>
        <v>5.6000000000000005</v>
      </c>
      <c r="M84">
        <f t="shared" ca="1" si="33"/>
        <v>1555.5555555555559</v>
      </c>
      <c r="N84" s="6">
        <f t="shared" si="34"/>
        <v>1200</v>
      </c>
      <c r="O84" s="6">
        <f t="shared" ca="1" si="35"/>
        <v>2788.4722097453814</v>
      </c>
      <c r="P84">
        <f t="shared" si="36"/>
        <v>0</v>
      </c>
      <c r="Q84" s="6">
        <f t="shared" si="26"/>
        <v>0</v>
      </c>
      <c r="R84" s="296">
        <v>11.8</v>
      </c>
      <c r="S84">
        <f t="shared" si="27"/>
        <v>4493.4400000000005</v>
      </c>
      <c r="T84">
        <f t="shared" si="28"/>
        <v>4133.9648000000007</v>
      </c>
      <c r="U84">
        <f t="shared" ca="1" si="29"/>
        <v>0</v>
      </c>
      <c r="V84">
        <f t="shared" si="37"/>
        <v>4133.9648000000007</v>
      </c>
      <c r="W84">
        <f t="shared" ca="1" si="39"/>
        <v>2788.4722097453814</v>
      </c>
      <c r="X84">
        <f t="shared" ca="1" si="38"/>
        <v>1063.9476561818947</v>
      </c>
      <c r="Y84" s="297" t="str">
        <f t="shared" ca="1" si="30"/>
        <v>Yes</v>
      </c>
    </row>
    <row r="85" spans="1:25" outlineLevel="1" x14ac:dyDescent="0.75">
      <c r="A85" s="304">
        <f>Consumption!A85</f>
        <v>41348</v>
      </c>
      <c r="B85" s="305">
        <f>Consumption!B85</f>
        <v>1.4</v>
      </c>
      <c r="C85" s="41">
        <f ca="1">Consumption!C85</f>
        <v>0.14000000000000001</v>
      </c>
      <c r="D85" s="41">
        <f t="shared" si="20"/>
        <v>0.219</v>
      </c>
      <c r="E85" s="41">
        <f t="shared" ca="1" si="31"/>
        <v>8.5140000000000029</v>
      </c>
      <c r="F85" s="306">
        <f ca="1">'Pump Main'!$M$3*1000</f>
        <v>124614.17111887744</v>
      </c>
      <c r="G85" s="41">
        <f t="shared" ca="1" si="21"/>
        <v>17445.983956642842</v>
      </c>
      <c r="H85" s="6">
        <f t="shared" ca="1" si="22"/>
        <v>29624.988770843185</v>
      </c>
      <c r="I85" s="6">
        <f t="shared" ca="1" si="32"/>
        <v>8.2291635474564409</v>
      </c>
      <c r="J85" s="6">
        <f t="shared" ca="1" si="23"/>
        <v>700.00000000000011</v>
      </c>
      <c r="K85" s="6">
        <f t="shared" ca="1" si="24"/>
        <v>0.70000000000000007</v>
      </c>
      <c r="L85" s="6">
        <f t="shared" ca="1" si="25"/>
        <v>1.4000000000000001</v>
      </c>
      <c r="M85">
        <f t="shared" ca="1" si="33"/>
        <v>388.88888888888897</v>
      </c>
      <c r="N85" s="6">
        <f t="shared" si="34"/>
        <v>1200</v>
      </c>
      <c r="O85" s="6">
        <f t="shared" ca="1" si="35"/>
        <v>1597.1180524363454</v>
      </c>
      <c r="P85">
        <f t="shared" si="36"/>
        <v>0</v>
      </c>
      <c r="Q85" s="6">
        <f t="shared" si="26"/>
        <v>0</v>
      </c>
      <c r="R85" s="296">
        <v>11.8</v>
      </c>
      <c r="S85">
        <f t="shared" si="27"/>
        <v>4493.4400000000005</v>
      </c>
      <c r="T85">
        <f t="shared" si="28"/>
        <v>4133.9648000000007</v>
      </c>
      <c r="U85">
        <f t="shared" ca="1" si="29"/>
        <v>0</v>
      </c>
      <c r="V85">
        <f t="shared" si="37"/>
        <v>4133.9648000000007</v>
      </c>
      <c r="W85">
        <f t="shared" ca="1" si="39"/>
        <v>1597.1180524363454</v>
      </c>
      <c r="X85">
        <f t="shared" ca="1" si="38"/>
        <v>2000</v>
      </c>
      <c r="Y85" s="297" t="str">
        <f t="shared" ca="1" si="30"/>
        <v>Yes</v>
      </c>
    </row>
    <row r="86" spans="1:25" outlineLevel="1" x14ac:dyDescent="0.75">
      <c r="A86" s="304">
        <f>Consumption!A86</f>
        <v>41349</v>
      </c>
      <c r="B86" s="305">
        <f>Consumption!B86</f>
        <v>0</v>
      </c>
      <c r="C86" s="41">
        <f ca="1">Consumption!C86</f>
        <v>0</v>
      </c>
      <c r="D86" s="41">
        <f t="shared" si="20"/>
        <v>0.219</v>
      </c>
      <c r="E86" s="41">
        <f t="shared" ca="1" si="31"/>
        <v>8.2950000000000035</v>
      </c>
      <c r="F86" s="306">
        <f ca="1">'Pump Main'!$M$3*1000</f>
        <v>124614.17111887744</v>
      </c>
      <c r="G86" s="41">
        <f t="shared" ca="1" si="21"/>
        <v>0</v>
      </c>
      <c r="H86" s="6">
        <f t="shared" ca="1" si="22"/>
        <v>0</v>
      </c>
      <c r="I86" s="6">
        <f t="shared" ca="1" si="32"/>
        <v>0</v>
      </c>
      <c r="J86" s="6">
        <f t="shared" ca="1" si="23"/>
        <v>0</v>
      </c>
      <c r="K86" s="6">
        <f t="shared" ca="1" si="24"/>
        <v>0</v>
      </c>
      <c r="L86" s="6">
        <f t="shared" ca="1" si="25"/>
        <v>0</v>
      </c>
      <c r="M86">
        <f t="shared" ca="1" si="33"/>
        <v>0</v>
      </c>
      <c r="N86" s="6">
        <f t="shared" si="34"/>
        <v>1200</v>
      </c>
      <c r="O86" s="6">
        <f t="shared" ca="1" si="35"/>
        <v>1200</v>
      </c>
      <c r="P86">
        <f t="shared" si="36"/>
        <v>0</v>
      </c>
      <c r="Q86" s="6">
        <f t="shared" si="26"/>
        <v>0</v>
      </c>
      <c r="R86" s="296">
        <v>11.8</v>
      </c>
      <c r="S86">
        <f t="shared" si="27"/>
        <v>4493.4400000000005</v>
      </c>
      <c r="T86">
        <f t="shared" si="28"/>
        <v>4133.9648000000007</v>
      </c>
      <c r="U86">
        <f t="shared" ca="1" si="29"/>
        <v>0</v>
      </c>
      <c r="V86">
        <f t="shared" si="37"/>
        <v>4133.9648000000007</v>
      </c>
      <c r="W86">
        <f t="shared" ca="1" si="39"/>
        <v>1200</v>
      </c>
      <c r="X86">
        <f t="shared" ca="1" si="38"/>
        <v>2000</v>
      </c>
      <c r="Y86" s="297" t="str">
        <f t="shared" ca="1" si="30"/>
        <v>Yes</v>
      </c>
    </row>
    <row r="87" spans="1:25" outlineLevel="1" x14ac:dyDescent="0.75">
      <c r="A87" s="304">
        <f>Consumption!A87</f>
        <v>41350</v>
      </c>
      <c r="B87" s="305">
        <f>Consumption!B87</f>
        <v>1.8</v>
      </c>
      <c r="C87" s="41">
        <f ca="1">Consumption!C87</f>
        <v>0.18</v>
      </c>
      <c r="D87" s="41">
        <f t="shared" si="20"/>
        <v>0.219</v>
      </c>
      <c r="E87" s="41">
        <f t="shared" ca="1" si="31"/>
        <v>8.2560000000000038</v>
      </c>
      <c r="F87" s="306">
        <f ca="1">'Pump Main'!$M$3*1000</f>
        <v>124614.17111887744</v>
      </c>
      <c r="G87" s="41">
        <f t="shared" ca="1" si="21"/>
        <v>22430.550801397938</v>
      </c>
      <c r="H87" s="6">
        <f t="shared" ca="1" si="22"/>
        <v>38089.271276798376</v>
      </c>
      <c r="I87" s="6">
        <f t="shared" ca="1" si="32"/>
        <v>10.580353132443994</v>
      </c>
      <c r="J87" s="6">
        <f t="shared" ca="1" si="23"/>
        <v>899.99999999999989</v>
      </c>
      <c r="K87" s="6">
        <f t="shared" ca="1" si="24"/>
        <v>0.89999999999999991</v>
      </c>
      <c r="L87" s="6">
        <f t="shared" ca="1" si="25"/>
        <v>1.7999999999999998</v>
      </c>
      <c r="M87">
        <f t="shared" ca="1" si="33"/>
        <v>499.99999999999994</v>
      </c>
      <c r="N87" s="6">
        <f t="shared" si="34"/>
        <v>1200</v>
      </c>
      <c r="O87" s="6">
        <f t="shared" ca="1" si="35"/>
        <v>1710.5803531324439</v>
      </c>
      <c r="P87">
        <f t="shared" si="36"/>
        <v>0</v>
      </c>
      <c r="Q87" s="6">
        <f t="shared" si="26"/>
        <v>0</v>
      </c>
      <c r="R87" s="296">
        <v>11.8</v>
      </c>
      <c r="S87">
        <f t="shared" si="27"/>
        <v>4493.4400000000005</v>
      </c>
      <c r="T87">
        <f t="shared" si="28"/>
        <v>4133.9648000000007</v>
      </c>
      <c r="U87">
        <f t="shared" ca="1" si="29"/>
        <v>0</v>
      </c>
      <c r="V87">
        <f t="shared" si="37"/>
        <v>4133.9648000000007</v>
      </c>
      <c r="W87">
        <f t="shared" ca="1" si="39"/>
        <v>1710.5803531324439</v>
      </c>
      <c r="X87">
        <f t="shared" ca="1" si="38"/>
        <v>2000</v>
      </c>
      <c r="Y87" s="297" t="str">
        <f t="shared" ca="1" si="30"/>
        <v>Yes</v>
      </c>
    </row>
    <row r="88" spans="1:25" outlineLevel="1" x14ac:dyDescent="0.75">
      <c r="A88" s="304">
        <f>Consumption!A88</f>
        <v>41351</v>
      </c>
      <c r="B88" s="305">
        <f>Consumption!B88</f>
        <v>0</v>
      </c>
      <c r="C88" s="41">
        <f ca="1">Consumption!C88</f>
        <v>0</v>
      </c>
      <c r="D88" s="41">
        <f t="shared" si="20"/>
        <v>0.219</v>
      </c>
      <c r="E88" s="41">
        <f t="shared" ca="1" si="31"/>
        <v>8.0370000000000044</v>
      </c>
      <c r="F88" s="306">
        <f ca="1">'Pump Main'!$M$3*1000</f>
        <v>124614.17111887744</v>
      </c>
      <c r="G88" s="41">
        <f t="shared" ca="1" si="21"/>
        <v>0</v>
      </c>
      <c r="H88" s="6">
        <f t="shared" ca="1" si="22"/>
        <v>0</v>
      </c>
      <c r="I88" s="6">
        <f t="shared" ca="1" si="32"/>
        <v>0</v>
      </c>
      <c r="J88" s="6">
        <f t="shared" ca="1" si="23"/>
        <v>0</v>
      </c>
      <c r="K88" s="6">
        <f t="shared" ca="1" si="24"/>
        <v>0</v>
      </c>
      <c r="L88" s="6">
        <f t="shared" ca="1" si="25"/>
        <v>0</v>
      </c>
      <c r="M88">
        <f t="shared" ca="1" si="33"/>
        <v>0</v>
      </c>
      <c r="N88" s="6">
        <f t="shared" si="34"/>
        <v>1200</v>
      </c>
      <c r="O88" s="6">
        <f t="shared" ca="1" si="35"/>
        <v>1200</v>
      </c>
      <c r="P88">
        <f t="shared" si="36"/>
        <v>0</v>
      </c>
      <c r="Q88" s="6">
        <f t="shared" si="26"/>
        <v>0</v>
      </c>
      <c r="R88" s="296">
        <v>11.8</v>
      </c>
      <c r="S88">
        <f t="shared" si="27"/>
        <v>4493.4400000000005</v>
      </c>
      <c r="T88">
        <f t="shared" si="28"/>
        <v>4133.9648000000007</v>
      </c>
      <c r="U88">
        <f t="shared" ca="1" si="29"/>
        <v>0</v>
      </c>
      <c r="V88">
        <f t="shared" si="37"/>
        <v>4133.9648000000007</v>
      </c>
      <c r="W88">
        <f t="shared" ca="1" si="39"/>
        <v>1200</v>
      </c>
      <c r="X88">
        <f t="shared" ca="1" si="38"/>
        <v>2000</v>
      </c>
      <c r="Y88" s="297" t="str">
        <f t="shared" ca="1" si="30"/>
        <v>Yes</v>
      </c>
    </row>
    <row r="89" spans="1:25" outlineLevel="1" x14ac:dyDescent="0.75">
      <c r="A89" s="304">
        <f>Consumption!A89</f>
        <v>41352</v>
      </c>
      <c r="B89" s="305">
        <f>Consumption!B89</f>
        <v>7.6</v>
      </c>
      <c r="C89" s="41">
        <f ca="1">Consumption!C89</f>
        <v>0.76</v>
      </c>
      <c r="D89" s="41">
        <f t="shared" si="20"/>
        <v>0.219</v>
      </c>
      <c r="E89" s="41">
        <f t="shared" ca="1" si="31"/>
        <v>8.5780000000000047</v>
      </c>
      <c r="F89" s="306">
        <f ca="1">'Pump Main'!$M$3*1000</f>
        <v>124614.17111887744</v>
      </c>
      <c r="G89" s="41">
        <f t="shared" ca="1" si="21"/>
        <v>94706.770050346851</v>
      </c>
      <c r="H89" s="6">
        <f t="shared" ca="1" si="22"/>
        <v>160821.3676131487</v>
      </c>
      <c r="I89" s="6">
        <f t="shared" ca="1" si="32"/>
        <v>44.672602114763528</v>
      </c>
      <c r="J89" s="6">
        <f t="shared" ca="1" si="23"/>
        <v>3800</v>
      </c>
      <c r="K89" s="6">
        <f t="shared" ca="1" si="24"/>
        <v>3.8</v>
      </c>
      <c r="L89" s="6">
        <f t="shared" ca="1" si="25"/>
        <v>7.6</v>
      </c>
      <c r="M89">
        <f t="shared" ca="1" si="33"/>
        <v>2111.1111111111113</v>
      </c>
      <c r="N89" s="6">
        <f t="shared" si="34"/>
        <v>1200</v>
      </c>
      <c r="O89" s="6">
        <f t="shared" ca="1" si="35"/>
        <v>3355.7837132258746</v>
      </c>
      <c r="P89">
        <f t="shared" si="36"/>
        <v>0</v>
      </c>
      <c r="Q89" s="6">
        <f t="shared" si="26"/>
        <v>0</v>
      </c>
      <c r="R89" s="296">
        <v>11.8</v>
      </c>
      <c r="S89">
        <f t="shared" si="27"/>
        <v>4493.4400000000005</v>
      </c>
      <c r="T89">
        <f t="shared" si="28"/>
        <v>4133.9648000000007</v>
      </c>
      <c r="U89">
        <f t="shared" ca="1" si="29"/>
        <v>0</v>
      </c>
      <c r="V89">
        <f t="shared" si="37"/>
        <v>4133.9648000000007</v>
      </c>
      <c r="W89">
        <f t="shared" ca="1" si="39"/>
        <v>3355.7837132258746</v>
      </c>
      <c r="X89">
        <f t="shared" ca="1" si="38"/>
        <v>2000</v>
      </c>
      <c r="Y89" s="297" t="str">
        <f t="shared" ca="1" si="30"/>
        <v>Yes</v>
      </c>
    </row>
    <row r="90" spans="1:25" outlineLevel="1" x14ac:dyDescent="0.75">
      <c r="A90" s="304">
        <f>Consumption!A90</f>
        <v>41353</v>
      </c>
      <c r="B90" s="305">
        <f>Consumption!B90</f>
        <v>3</v>
      </c>
      <c r="C90" s="41">
        <f ca="1">Consumption!C90</f>
        <v>0.3</v>
      </c>
      <c r="D90" s="41">
        <f t="shared" si="20"/>
        <v>0.219</v>
      </c>
      <c r="E90" s="41">
        <f t="shared" ca="1" si="31"/>
        <v>8.659000000000006</v>
      </c>
      <c r="F90" s="306">
        <f ca="1">'Pump Main'!$M$3*1000</f>
        <v>124614.17111887744</v>
      </c>
      <c r="G90" s="41">
        <f t="shared" ca="1" si="21"/>
        <v>37384.251335663226</v>
      </c>
      <c r="H90" s="6">
        <f t="shared" ca="1" si="22"/>
        <v>63482.118794663955</v>
      </c>
      <c r="I90" s="6">
        <f t="shared" ca="1" si="32"/>
        <v>17.633921887406654</v>
      </c>
      <c r="J90" s="6">
        <f t="shared" ca="1" si="23"/>
        <v>1500</v>
      </c>
      <c r="K90" s="6">
        <f t="shared" ca="1" si="24"/>
        <v>1.5</v>
      </c>
      <c r="L90" s="6">
        <f t="shared" ca="1" si="25"/>
        <v>3</v>
      </c>
      <c r="M90">
        <f t="shared" ca="1" si="33"/>
        <v>833.33333333333337</v>
      </c>
      <c r="N90" s="6">
        <f t="shared" si="34"/>
        <v>1200</v>
      </c>
      <c r="O90" s="6">
        <f t="shared" ca="1" si="35"/>
        <v>2050.9672552207403</v>
      </c>
      <c r="P90">
        <f t="shared" si="36"/>
        <v>0</v>
      </c>
      <c r="Q90" s="6">
        <f t="shared" si="26"/>
        <v>0</v>
      </c>
      <c r="R90" s="296">
        <v>11.8</v>
      </c>
      <c r="S90">
        <f t="shared" si="27"/>
        <v>4493.4400000000005</v>
      </c>
      <c r="T90">
        <f t="shared" si="28"/>
        <v>4133.9648000000007</v>
      </c>
      <c r="U90">
        <f t="shared" ca="1" si="29"/>
        <v>0</v>
      </c>
      <c r="V90">
        <f t="shared" si="37"/>
        <v>4133.9648000000007</v>
      </c>
      <c r="W90">
        <f t="shared" ca="1" si="39"/>
        <v>2050.9672552207403</v>
      </c>
      <c r="X90">
        <f t="shared" ca="1" si="38"/>
        <v>2000</v>
      </c>
      <c r="Y90" s="297" t="str">
        <f t="shared" ca="1" si="30"/>
        <v>Yes</v>
      </c>
    </row>
    <row r="91" spans="1:25" outlineLevel="1" x14ac:dyDescent="0.75">
      <c r="A91" s="304">
        <f>Consumption!A91</f>
        <v>41354</v>
      </c>
      <c r="B91" s="305">
        <f>Consumption!B91</f>
        <v>0</v>
      </c>
      <c r="C91" s="41">
        <f ca="1">Consumption!C91</f>
        <v>0</v>
      </c>
      <c r="D91" s="41">
        <f t="shared" si="20"/>
        <v>0.219</v>
      </c>
      <c r="E91" s="41">
        <f t="shared" ca="1" si="31"/>
        <v>8.4400000000000066</v>
      </c>
      <c r="F91" s="306">
        <f ca="1">'Pump Main'!$M$3*1000</f>
        <v>124614.17111887744</v>
      </c>
      <c r="G91" s="41">
        <f t="shared" ca="1" si="21"/>
        <v>0</v>
      </c>
      <c r="H91" s="6">
        <f t="shared" ca="1" si="22"/>
        <v>0</v>
      </c>
      <c r="I91" s="6">
        <f t="shared" ca="1" si="32"/>
        <v>0</v>
      </c>
      <c r="J91" s="6">
        <f t="shared" ca="1" si="23"/>
        <v>0</v>
      </c>
      <c r="K91" s="6">
        <f t="shared" ca="1" si="24"/>
        <v>0</v>
      </c>
      <c r="L91" s="6">
        <f t="shared" ca="1" si="25"/>
        <v>0</v>
      </c>
      <c r="M91">
        <f t="shared" ca="1" si="33"/>
        <v>0</v>
      </c>
      <c r="N91" s="6">
        <f t="shared" si="34"/>
        <v>1200</v>
      </c>
      <c r="O91" s="6">
        <f t="shared" ca="1" si="35"/>
        <v>1200</v>
      </c>
      <c r="P91">
        <f t="shared" si="36"/>
        <v>0</v>
      </c>
      <c r="Q91" s="6">
        <f t="shared" si="26"/>
        <v>0</v>
      </c>
      <c r="R91" s="296">
        <v>11.8</v>
      </c>
      <c r="S91">
        <f t="shared" si="27"/>
        <v>4493.4400000000005</v>
      </c>
      <c r="T91">
        <f t="shared" si="28"/>
        <v>4133.9648000000007</v>
      </c>
      <c r="U91">
        <f t="shared" ca="1" si="29"/>
        <v>0</v>
      </c>
      <c r="V91">
        <f t="shared" si="37"/>
        <v>4133.9648000000007</v>
      </c>
      <c r="W91">
        <f t="shared" ca="1" si="39"/>
        <v>1200</v>
      </c>
      <c r="X91">
        <f t="shared" ca="1" si="38"/>
        <v>2000</v>
      </c>
      <c r="Y91" s="297" t="str">
        <f t="shared" ca="1" si="30"/>
        <v>Yes</v>
      </c>
    </row>
    <row r="92" spans="1:25" outlineLevel="1" x14ac:dyDescent="0.75">
      <c r="A92" s="304">
        <f>Consumption!A92</f>
        <v>41355</v>
      </c>
      <c r="B92" s="305">
        <f>Consumption!B92</f>
        <v>0</v>
      </c>
      <c r="C92" s="41">
        <f ca="1">Consumption!C92</f>
        <v>0</v>
      </c>
      <c r="D92" s="41">
        <f t="shared" si="20"/>
        <v>0.219</v>
      </c>
      <c r="E92" s="41">
        <f t="shared" ca="1" si="31"/>
        <v>8.2210000000000072</v>
      </c>
      <c r="F92" s="306">
        <f ca="1">'Pump Main'!$M$3*1000</f>
        <v>124614.17111887744</v>
      </c>
      <c r="G92" s="41">
        <f t="shared" ca="1" si="21"/>
        <v>0</v>
      </c>
      <c r="H92" s="6">
        <f t="shared" ca="1" si="22"/>
        <v>0</v>
      </c>
      <c r="I92" s="6">
        <f t="shared" ca="1" si="32"/>
        <v>0</v>
      </c>
      <c r="J92" s="6">
        <f t="shared" ca="1" si="23"/>
        <v>0</v>
      </c>
      <c r="K92" s="6">
        <f t="shared" ca="1" si="24"/>
        <v>0</v>
      </c>
      <c r="L92" s="6">
        <f t="shared" ca="1" si="25"/>
        <v>0</v>
      </c>
      <c r="M92">
        <f t="shared" ca="1" si="33"/>
        <v>0</v>
      </c>
      <c r="N92" s="6">
        <f t="shared" si="34"/>
        <v>1200</v>
      </c>
      <c r="O92" s="6">
        <f t="shared" ca="1" si="35"/>
        <v>1200</v>
      </c>
      <c r="P92">
        <f t="shared" si="36"/>
        <v>0</v>
      </c>
      <c r="Q92" s="6">
        <f t="shared" si="26"/>
        <v>0</v>
      </c>
      <c r="R92" s="296">
        <v>11.8</v>
      </c>
      <c r="S92">
        <f t="shared" si="27"/>
        <v>4493.4400000000005</v>
      </c>
      <c r="T92">
        <f t="shared" si="28"/>
        <v>4133.9648000000007</v>
      </c>
      <c r="U92">
        <f t="shared" ca="1" si="29"/>
        <v>0</v>
      </c>
      <c r="V92">
        <f t="shared" si="37"/>
        <v>4133.9648000000007</v>
      </c>
      <c r="W92">
        <f t="shared" ca="1" si="39"/>
        <v>1200</v>
      </c>
      <c r="X92">
        <f t="shared" ca="1" si="38"/>
        <v>2000</v>
      </c>
      <c r="Y92" s="297" t="str">
        <f t="shared" ca="1" si="30"/>
        <v>Yes</v>
      </c>
    </row>
    <row r="93" spans="1:25" outlineLevel="1" x14ac:dyDescent="0.75">
      <c r="A93" s="304">
        <f>Consumption!A93</f>
        <v>41356</v>
      </c>
      <c r="B93" s="305">
        <f>Consumption!B93</f>
        <v>0</v>
      </c>
      <c r="C93" s="41">
        <f ca="1">Consumption!C93</f>
        <v>0</v>
      </c>
      <c r="D93" s="41">
        <f t="shared" si="20"/>
        <v>0.219</v>
      </c>
      <c r="E93" s="41">
        <f t="shared" ca="1" si="31"/>
        <v>8.0020000000000078</v>
      </c>
      <c r="F93" s="306">
        <f ca="1">'Pump Main'!$M$3*1000</f>
        <v>124614.17111887744</v>
      </c>
      <c r="G93" s="41">
        <f t="shared" ca="1" si="21"/>
        <v>0</v>
      </c>
      <c r="H93" s="6">
        <f t="shared" ca="1" si="22"/>
        <v>0</v>
      </c>
      <c r="I93" s="6">
        <f t="shared" ca="1" si="32"/>
        <v>0</v>
      </c>
      <c r="J93" s="6">
        <f t="shared" ca="1" si="23"/>
        <v>0</v>
      </c>
      <c r="K93" s="6">
        <f t="shared" ca="1" si="24"/>
        <v>0</v>
      </c>
      <c r="L93" s="6">
        <f t="shared" ca="1" si="25"/>
        <v>0</v>
      </c>
      <c r="M93">
        <f t="shared" ca="1" si="33"/>
        <v>0</v>
      </c>
      <c r="N93" s="6">
        <f t="shared" si="34"/>
        <v>1200</v>
      </c>
      <c r="O93" s="6">
        <f t="shared" ca="1" si="35"/>
        <v>1200</v>
      </c>
      <c r="P93">
        <f t="shared" si="36"/>
        <v>0</v>
      </c>
      <c r="Q93" s="6">
        <f t="shared" si="26"/>
        <v>0</v>
      </c>
      <c r="R93" s="296">
        <v>11.8</v>
      </c>
      <c r="S93">
        <f t="shared" si="27"/>
        <v>4493.4400000000005</v>
      </c>
      <c r="T93">
        <f t="shared" si="28"/>
        <v>4133.9648000000007</v>
      </c>
      <c r="U93">
        <f t="shared" ca="1" si="29"/>
        <v>0</v>
      </c>
      <c r="V93">
        <f t="shared" si="37"/>
        <v>4133.9648000000007</v>
      </c>
      <c r="W93">
        <f t="shared" ca="1" si="39"/>
        <v>1200</v>
      </c>
      <c r="X93">
        <f t="shared" ca="1" si="38"/>
        <v>2000</v>
      </c>
      <c r="Y93" s="297" t="str">
        <f t="shared" ca="1" si="30"/>
        <v>Yes</v>
      </c>
    </row>
    <row r="94" spans="1:25" outlineLevel="1" x14ac:dyDescent="0.75">
      <c r="A94" s="304">
        <f>Consumption!A94</f>
        <v>41357</v>
      </c>
      <c r="B94" s="305">
        <f>Consumption!B94</f>
        <v>0</v>
      </c>
      <c r="C94" s="41">
        <f ca="1">Consumption!C94</f>
        <v>0</v>
      </c>
      <c r="D94" s="41">
        <f t="shared" si="20"/>
        <v>0.219</v>
      </c>
      <c r="E94" s="41">
        <f t="shared" ca="1" si="31"/>
        <v>7.7830000000000075</v>
      </c>
      <c r="F94" s="306">
        <f ca="1">'Pump Main'!$M$3*1000</f>
        <v>124614.17111887744</v>
      </c>
      <c r="G94" s="41">
        <f t="shared" ca="1" si="21"/>
        <v>0</v>
      </c>
      <c r="H94" s="6">
        <f t="shared" ca="1" si="22"/>
        <v>0</v>
      </c>
      <c r="I94" s="6">
        <f t="shared" ca="1" si="32"/>
        <v>0</v>
      </c>
      <c r="J94" s="6">
        <f t="shared" ca="1" si="23"/>
        <v>0</v>
      </c>
      <c r="K94" s="6">
        <f t="shared" ca="1" si="24"/>
        <v>0</v>
      </c>
      <c r="L94" s="6">
        <f t="shared" ca="1" si="25"/>
        <v>0</v>
      </c>
      <c r="M94">
        <f t="shared" ca="1" si="33"/>
        <v>0</v>
      </c>
      <c r="N94" s="6">
        <f t="shared" si="34"/>
        <v>1200</v>
      </c>
      <c r="O94" s="6">
        <f t="shared" ca="1" si="35"/>
        <v>1200</v>
      </c>
      <c r="P94">
        <f t="shared" si="36"/>
        <v>0</v>
      </c>
      <c r="Q94" s="6">
        <f t="shared" si="26"/>
        <v>0</v>
      </c>
      <c r="R94" s="296">
        <v>11.8</v>
      </c>
      <c r="S94">
        <f t="shared" si="27"/>
        <v>4493.4400000000005</v>
      </c>
      <c r="T94">
        <f t="shared" si="28"/>
        <v>4133.9648000000007</v>
      </c>
      <c r="U94">
        <f t="shared" ca="1" si="29"/>
        <v>0</v>
      </c>
      <c r="V94">
        <f t="shared" si="37"/>
        <v>4133.9648000000007</v>
      </c>
      <c r="W94">
        <f t="shared" ca="1" si="39"/>
        <v>1200</v>
      </c>
      <c r="X94">
        <f t="shared" ca="1" si="38"/>
        <v>2000</v>
      </c>
      <c r="Y94" s="297" t="str">
        <f t="shared" ca="1" si="30"/>
        <v>Yes</v>
      </c>
    </row>
    <row r="95" spans="1:25" outlineLevel="1" x14ac:dyDescent="0.75">
      <c r="A95" s="304">
        <f>Consumption!A95</f>
        <v>41358</v>
      </c>
      <c r="B95" s="305">
        <f>Consumption!B95</f>
        <v>0.4</v>
      </c>
      <c r="C95" s="41">
        <f ca="1">Consumption!C95</f>
        <v>0.04</v>
      </c>
      <c r="D95" s="41">
        <f t="shared" si="20"/>
        <v>0.219</v>
      </c>
      <c r="E95" s="41">
        <f t="shared" ca="1" si="31"/>
        <v>7.6040000000000072</v>
      </c>
      <c r="F95" s="306">
        <f ca="1">'Pump Main'!$M$3*1000</f>
        <v>124614.17111887744</v>
      </c>
      <c r="G95" s="41">
        <f t="shared" ca="1" si="21"/>
        <v>4984.5668447550979</v>
      </c>
      <c r="H95" s="6">
        <f t="shared" ca="1" si="22"/>
        <v>8464.282505955196</v>
      </c>
      <c r="I95" s="6">
        <f t="shared" ca="1" si="32"/>
        <v>2.3511895849875546</v>
      </c>
      <c r="J95" s="6">
        <f t="shared" ca="1" si="23"/>
        <v>200</v>
      </c>
      <c r="K95" s="6">
        <f t="shared" ca="1" si="24"/>
        <v>0.2</v>
      </c>
      <c r="L95" s="6">
        <f t="shared" ca="1" si="25"/>
        <v>0.4</v>
      </c>
      <c r="M95">
        <f t="shared" ca="1" si="33"/>
        <v>111.11111111111111</v>
      </c>
      <c r="N95" s="6">
        <f t="shared" si="34"/>
        <v>1200</v>
      </c>
      <c r="O95" s="6">
        <f t="shared" ca="1" si="35"/>
        <v>1313.4623006960987</v>
      </c>
      <c r="P95">
        <f t="shared" si="36"/>
        <v>0</v>
      </c>
      <c r="Q95" s="6">
        <f t="shared" si="26"/>
        <v>0</v>
      </c>
      <c r="R95" s="296">
        <v>11.8</v>
      </c>
      <c r="S95">
        <f t="shared" si="27"/>
        <v>4493.4400000000005</v>
      </c>
      <c r="T95">
        <f t="shared" si="28"/>
        <v>4133.9648000000007</v>
      </c>
      <c r="U95">
        <f t="shared" ca="1" si="29"/>
        <v>0</v>
      </c>
      <c r="V95">
        <f t="shared" si="37"/>
        <v>4133.9648000000007</v>
      </c>
      <c r="W95">
        <f t="shared" ca="1" si="39"/>
        <v>1313.4623006960987</v>
      </c>
      <c r="X95">
        <f t="shared" ca="1" si="38"/>
        <v>2000</v>
      </c>
      <c r="Y95" s="297" t="str">
        <f t="shared" ca="1" si="30"/>
        <v>Yes</v>
      </c>
    </row>
    <row r="96" spans="1:25" outlineLevel="1" x14ac:dyDescent="0.75">
      <c r="A96" s="304">
        <f>Consumption!A96</f>
        <v>41359</v>
      </c>
      <c r="B96" s="305">
        <f>Consumption!B96</f>
        <v>0.8</v>
      </c>
      <c r="C96" s="41">
        <f ca="1">Consumption!C96</f>
        <v>0.08</v>
      </c>
      <c r="D96" s="41">
        <f t="shared" si="20"/>
        <v>0.219</v>
      </c>
      <c r="E96" s="41">
        <f t="shared" ca="1" si="31"/>
        <v>7.465000000000007</v>
      </c>
      <c r="F96" s="306">
        <f ca="1">'Pump Main'!$M$3*1000</f>
        <v>124614.17111887744</v>
      </c>
      <c r="G96" s="41">
        <f t="shared" ca="1" si="21"/>
        <v>9969.1336895101958</v>
      </c>
      <c r="H96" s="6">
        <f t="shared" ca="1" si="22"/>
        <v>16928.565011910392</v>
      </c>
      <c r="I96" s="6">
        <f t="shared" ca="1" si="32"/>
        <v>4.7023791699751092</v>
      </c>
      <c r="J96" s="6">
        <f t="shared" ca="1" si="23"/>
        <v>400</v>
      </c>
      <c r="K96" s="6">
        <f t="shared" ca="1" si="24"/>
        <v>0.4</v>
      </c>
      <c r="L96" s="6">
        <f t="shared" ca="1" si="25"/>
        <v>0.8</v>
      </c>
      <c r="M96">
        <f t="shared" ca="1" si="33"/>
        <v>222.22222222222223</v>
      </c>
      <c r="N96" s="6">
        <f t="shared" si="34"/>
        <v>1200</v>
      </c>
      <c r="O96" s="6">
        <f t="shared" ca="1" si="35"/>
        <v>1426.9246013921972</v>
      </c>
      <c r="P96">
        <f t="shared" si="36"/>
        <v>0</v>
      </c>
      <c r="Q96" s="6">
        <f t="shared" si="26"/>
        <v>0</v>
      </c>
      <c r="R96" s="296">
        <v>11.8</v>
      </c>
      <c r="S96">
        <f t="shared" si="27"/>
        <v>4493.4400000000005</v>
      </c>
      <c r="T96">
        <f t="shared" si="28"/>
        <v>4133.9648000000007</v>
      </c>
      <c r="U96">
        <f t="shared" ca="1" si="29"/>
        <v>0</v>
      </c>
      <c r="V96">
        <f t="shared" si="37"/>
        <v>4133.9648000000007</v>
      </c>
      <c r="W96">
        <f t="shared" ca="1" si="39"/>
        <v>1426.9246013921972</v>
      </c>
      <c r="X96">
        <f t="shared" ca="1" si="38"/>
        <v>2000</v>
      </c>
      <c r="Y96" s="297" t="str">
        <f t="shared" ca="1" si="30"/>
        <v>Yes</v>
      </c>
    </row>
    <row r="97" spans="1:25" outlineLevel="1" x14ac:dyDescent="0.75">
      <c r="A97" s="304">
        <f>Consumption!A97</f>
        <v>41360</v>
      </c>
      <c r="B97" s="305">
        <f>Consumption!B97</f>
        <v>0</v>
      </c>
      <c r="C97" s="41">
        <f ca="1">Consumption!C97</f>
        <v>0</v>
      </c>
      <c r="D97" s="41">
        <f t="shared" si="20"/>
        <v>0.219</v>
      </c>
      <c r="E97" s="41">
        <f t="shared" ca="1" si="31"/>
        <v>7.2460000000000067</v>
      </c>
      <c r="F97" s="306">
        <f ca="1">'Pump Main'!$M$3*1000</f>
        <v>124614.17111887744</v>
      </c>
      <c r="G97" s="41">
        <f t="shared" ca="1" si="21"/>
        <v>0</v>
      </c>
      <c r="H97" s="6">
        <f t="shared" ca="1" si="22"/>
        <v>0</v>
      </c>
      <c r="I97" s="6">
        <f t="shared" ca="1" si="32"/>
        <v>0</v>
      </c>
      <c r="J97" s="6">
        <f t="shared" ca="1" si="23"/>
        <v>0</v>
      </c>
      <c r="K97" s="6">
        <f t="shared" ca="1" si="24"/>
        <v>0</v>
      </c>
      <c r="L97" s="6">
        <f t="shared" ca="1" si="25"/>
        <v>0</v>
      </c>
      <c r="M97">
        <f t="shared" ca="1" si="33"/>
        <v>0</v>
      </c>
      <c r="N97" s="6">
        <f t="shared" si="34"/>
        <v>1200</v>
      </c>
      <c r="O97" s="6">
        <f t="shared" ca="1" si="35"/>
        <v>1200</v>
      </c>
      <c r="P97">
        <f t="shared" si="36"/>
        <v>0</v>
      </c>
      <c r="Q97" s="6">
        <f t="shared" si="26"/>
        <v>0</v>
      </c>
      <c r="R97" s="296">
        <v>11.8</v>
      </c>
      <c r="S97">
        <f t="shared" si="27"/>
        <v>4493.4400000000005</v>
      </c>
      <c r="T97">
        <f t="shared" si="28"/>
        <v>4133.9648000000007</v>
      </c>
      <c r="U97">
        <f t="shared" ca="1" si="29"/>
        <v>0</v>
      </c>
      <c r="V97">
        <f t="shared" si="37"/>
        <v>4133.9648000000007</v>
      </c>
      <c r="W97">
        <f t="shared" ca="1" si="39"/>
        <v>1200</v>
      </c>
      <c r="X97">
        <f t="shared" ca="1" si="38"/>
        <v>2000</v>
      </c>
      <c r="Y97" s="297" t="str">
        <f t="shared" ca="1" si="30"/>
        <v>Yes</v>
      </c>
    </row>
    <row r="98" spans="1:25" outlineLevel="1" x14ac:dyDescent="0.75">
      <c r="A98" s="304">
        <f>Consumption!A98</f>
        <v>41361</v>
      </c>
      <c r="B98" s="305">
        <f>Consumption!B98</f>
        <v>0</v>
      </c>
      <c r="C98" s="41">
        <f ca="1">Consumption!C98</f>
        <v>0</v>
      </c>
      <c r="D98" s="41">
        <f t="shared" si="20"/>
        <v>0.219</v>
      </c>
      <c r="E98" s="41">
        <f t="shared" ca="1" si="31"/>
        <v>7.0270000000000064</v>
      </c>
      <c r="F98" s="306">
        <f ca="1">'Pump Main'!$M$3*1000</f>
        <v>124614.17111887744</v>
      </c>
      <c r="G98" s="41">
        <f t="shared" ca="1" si="21"/>
        <v>0</v>
      </c>
      <c r="H98" s="6">
        <f t="shared" ca="1" si="22"/>
        <v>0</v>
      </c>
      <c r="I98" s="6">
        <f t="shared" ca="1" si="32"/>
        <v>0</v>
      </c>
      <c r="J98" s="6">
        <f t="shared" ca="1" si="23"/>
        <v>0</v>
      </c>
      <c r="K98" s="6">
        <f t="shared" ca="1" si="24"/>
        <v>0</v>
      </c>
      <c r="L98" s="6">
        <f t="shared" ca="1" si="25"/>
        <v>0</v>
      </c>
      <c r="M98">
        <f t="shared" ca="1" si="33"/>
        <v>0</v>
      </c>
      <c r="N98" s="6">
        <f t="shared" si="34"/>
        <v>1200</v>
      </c>
      <c r="O98" s="6">
        <f t="shared" ca="1" si="35"/>
        <v>1200</v>
      </c>
      <c r="P98">
        <f t="shared" si="36"/>
        <v>0</v>
      </c>
      <c r="Q98" s="6">
        <f t="shared" si="26"/>
        <v>0</v>
      </c>
      <c r="R98" s="296">
        <v>11.8</v>
      </c>
      <c r="S98">
        <f t="shared" si="27"/>
        <v>4493.4400000000005</v>
      </c>
      <c r="T98">
        <f t="shared" si="28"/>
        <v>4133.9648000000007</v>
      </c>
      <c r="U98">
        <f t="shared" ca="1" si="29"/>
        <v>0</v>
      </c>
      <c r="V98">
        <f t="shared" si="37"/>
        <v>4133.9648000000007</v>
      </c>
      <c r="W98">
        <f t="shared" ca="1" si="39"/>
        <v>1200</v>
      </c>
      <c r="X98">
        <f t="shared" ca="1" si="38"/>
        <v>2000</v>
      </c>
      <c r="Y98" s="297" t="str">
        <f t="shared" ca="1" si="30"/>
        <v>Yes</v>
      </c>
    </row>
    <row r="99" spans="1:25" outlineLevel="1" x14ac:dyDescent="0.75">
      <c r="A99" s="304">
        <f>Consumption!A99</f>
        <v>41362</v>
      </c>
      <c r="B99" s="305">
        <f>Consumption!B99</f>
        <v>0</v>
      </c>
      <c r="C99" s="41">
        <f ca="1">Consumption!C99</f>
        <v>0</v>
      </c>
      <c r="D99" s="41">
        <f t="shared" si="20"/>
        <v>0.219</v>
      </c>
      <c r="E99" s="41">
        <f t="shared" ca="1" si="31"/>
        <v>6.808000000000006</v>
      </c>
      <c r="F99" s="306">
        <f ca="1">'Pump Main'!$M$3*1000</f>
        <v>124614.17111887744</v>
      </c>
      <c r="G99" s="41">
        <f t="shared" ca="1" si="21"/>
        <v>0</v>
      </c>
      <c r="H99" s="6">
        <f t="shared" ca="1" si="22"/>
        <v>0</v>
      </c>
      <c r="I99" s="6">
        <f t="shared" ca="1" si="32"/>
        <v>0</v>
      </c>
      <c r="J99" s="6">
        <f t="shared" ca="1" si="23"/>
        <v>0</v>
      </c>
      <c r="K99" s="6">
        <f t="shared" ca="1" si="24"/>
        <v>0</v>
      </c>
      <c r="L99" s="6">
        <f t="shared" ca="1" si="25"/>
        <v>0</v>
      </c>
      <c r="M99">
        <f t="shared" ca="1" si="33"/>
        <v>0</v>
      </c>
      <c r="N99" s="6">
        <f t="shared" si="34"/>
        <v>1200</v>
      </c>
      <c r="O99" s="6">
        <f t="shared" ca="1" si="35"/>
        <v>1200</v>
      </c>
      <c r="P99">
        <f t="shared" si="36"/>
        <v>0</v>
      </c>
      <c r="Q99" s="6">
        <f t="shared" si="26"/>
        <v>0</v>
      </c>
      <c r="R99" s="296">
        <v>11.8</v>
      </c>
      <c r="S99">
        <f t="shared" si="27"/>
        <v>4493.4400000000005</v>
      </c>
      <c r="T99">
        <f t="shared" si="28"/>
        <v>4133.9648000000007</v>
      </c>
      <c r="U99">
        <f t="shared" ca="1" si="29"/>
        <v>0</v>
      </c>
      <c r="V99">
        <f t="shared" si="37"/>
        <v>4133.9648000000007</v>
      </c>
      <c r="W99">
        <f t="shared" ca="1" si="39"/>
        <v>1200</v>
      </c>
      <c r="X99">
        <f t="shared" ca="1" si="38"/>
        <v>2000</v>
      </c>
      <c r="Y99" s="297" t="str">
        <f t="shared" ca="1" si="30"/>
        <v>Yes</v>
      </c>
    </row>
    <row r="100" spans="1:25" outlineLevel="1" x14ac:dyDescent="0.75">
      <c r="A100" s="304">
        <f>Consumption!A100</f>
        <v>41363</v>
      </c>
      <c r="B100" s="305">
        <f>Consumption!B100</f>
        <v>0</v>
      </c>
      <c r="C100" s="41">
        <f ca="1">Consumption!C100</f>
        <v>0</v>
      </c>
      <c r="D100" s="41">
        <f t="shared" si="20"/>
        <v>0.219</v>
      </c>
      <c r="E100" s="41">
        <f t="shared" ca="1" si="31"/>
        <v>6.5890000000000057</v>
      </c>
      <c r="F100" s="306">
        <f ca="1">'Pump Main'!$M$3*1000</f>
        <v>124614.17111887744</v>
      </c>
      <c r="G100" s="41">
        <f t="shared" ca="1" si="21"/>
        <v>0</v>
      </c>
      <c r="H100" s="6">
        <f t="shared" ca="1" si="22"/>
        <v>0</v>
      </c>
      <c r="I100" s="6">
        <f t="shared" ca="1" si="32"/>
        <v>0</v>
      </c>
      <c r="J100" s="6">
        <f t="shared" ca="1" si="23"/>
        <v>0</v>
      </c>
      <c r="K100" s="6">
        <f t="shared" ca="1" si="24"/>
        <v>0</v>
      </c>
      <c r="L100" s="6">
        <f t="shared" ca="1" si="25"/>
        <v>0</v>
      </c>
      <c r="M100">
        <f t="shared" ca="1" si="33"/>
        <v>0</v>
      </c>
      <c r="N100" s="6">
        <f t="shared" si="34"/>
        <v>1200</v>
      </c>
      <c r="O100" s="6">
        <f t="shared" ca="1" si="35"/>
        <v>1200</v>
      </c>
      <c r="P100">
        <f t="shared" si="36"/>
        <v>0</v>
      </c>
      <c r="Q100" s="6">
        <f t="shared" si="26"/>
        <v>0</v>
      </c>
      <c r="R100" s="296">
        <v>11.8</v>
      </c>
      <c r="S100">
        <f t="shared" si="27"/>
        <v>4493.4400000000005</v>
      </c>
      <c r="T100">
        <f t="shared" si="28"/>
        <v>4133.9648000000007</v>
      </c>
      <c r="U100">
        <f t="shared" ca="1" si="29"/>
        <v>0</v>
      </c>
      <c r="V100">
        <f t="shared" si="37"/>
        <v>4133.9648000000007</v>
      </c>
      <c r="W100">
        <f t="shared" ca="1" si="39"/>
        <v>1200</v>
      </c>
      <c r="X100">
        <f t="shared" ca="1" si="38"/>
        <v>2000</v>
      </c>
      <c r="Y100" s="297" t="str">
        <f t="shared" ca="1" si="30"/>
        <v>Yes</v>
      </c>
    </row>
    <row r="101" spans="1:25" outlineLevel="1" x14ac:dyDescent="0.75">
      <c r="A101" s="304">
        <f>Consumption!A101</f>
        <v>41364</v>
      </c>
      <c r="B101" s="305">
        <f>Consumption!B101</f>
        <v>0</v>
      </c>
      <c r="C101" s="41">
        <f ca="1">Consumption!C101</f>
        <v>0</v>
      </c>
      <c r="D101" s="41">
        <f t="shared" si="20"/>
        <v>0.219</v>
      </c>
      <c r="E101" s="41">
        <f t="shared" ca="1" si="31"/>
        <v>6.3700000000000054</v>
      </c>
      <c r="F101" s="306">
        <f ca="1">'Pump Main'!$M$3*1000</f>
        <v>124614.17111887744</v>
      </c>
      <c r="G101" s="41">
        <f t="shared" ca="1" si="21"/>
        <v>0</v>
      </c>
      <c r="H101" s="6">
        <f t="shared" ca="1" si="22"/>
        <v>0</v>
      </c>
      <c r="I101" s="6">
        <f t="shared" ca="1" si="32"/>
        <v>0</v>
      </c>
      <c r="J101" s="6">
        <f t="shared" ca="1" si="23"/>
        <v>0</v>
      </c>
      <c r="K101" s="6">
        <f t="shared" ca="1" si="24"/>
        <v>0</v>
      </c>
      <c r="L101" s="6">
        <f t="shared" ca="1" si="25"/>
        <v>0</v>
      </c>
      <c r="M101">
        <f t="shared" ca="1" si="33"/>
        <v>0</v>
      </c>
      <c r="N101" s="6">
        <f t="shared" si="34"/>
        <v>1200</v>
      </c>
      <c r="O101" s="6">
        <f t="shared" ca="1" si="35"/>
        <v>1200</v>
      </c>
      <c r="P101">
        <f t="shared" si="36"/>
        <v>0</v>
      </c>
      <c r="Q101" s="6">
        <f t="shared" si="26"/>
        <v>0</v>
      </c>
      <c r="R101" s="296">
        <v>11.8</v>
      </c>
      <c r="S101">
        <f t="shared" si="27"/>
        <v>4493.4400000000005</v>
      </c>
      <c r="T101">
        <f t="shared" si="28"/>
        <v>4133.9648000000007</v>
      </c>
      <c r="U101">
        <f t="shared" ca="1" si="29"/>
        <v>0</v>
      </c>
      <c r="V101">
        <f t="shared" si="37"/>
        <v>4133.9648000000007</v>
      </c>
      <c r="W101">
        <f t="shared" ca="1" si="39"/>
        <v>1200</v>
      </c>
      <c r="X101">
        <f t="shared" ca="1" si="38"/>
        <v>2000</v>
      </c>
      <c r="Y101" s="297" t="str">
        <f t="shared" ca="1" si="30"/>
        <v>Yes</v>
      </c>
    </row>
    <row r="102" spans="1:25" outlineLevel="1" x14ac:dyDescent="0.75">
      <c r="A102" s="304">
        <f>Consumption!A102</f>
        <v>41365</v>
      </c>
      <c r="B102" s="305">
        <f>Consumption!B102</f>
        <v>0</v>
      </c>
      <c r="C102" s="41">
        <f ca="1">Consumption!C102</f>
        <v>0</v>
      </c>
      <c r="D102" s="41">
        <f t="shared" si="20"/>
        <v>0.219</v>
      </c>
      <c r="E102" s="41">
        <f t="shared" ca="1" si="31"/>
        <v>6.1510000000000051</v>
      </c>
      <c r="F102" s="306">
        <f ca="1">'Pump Main'!$M$3*1000</f>
        <v>124614.17111887744</v>
      </c>
      <c r="G102" s="41">
        <f t="shared" ca="1" si="21"/>
        <v>0</v>
      </c>
      <c r="H102" s="6">
        <f t="shared" ca="1" si="22"/>
        <v>0</v>
      </c>
      <c r="I102" s="6">
        <f t="shared" ca="1" si="32"/>
        <v>0</v>
      </c>
      <c r="J102" s="6">
        <f t="shared" ca="1" si="23"/>
        <v>0</v>
      </c>
      <c r="K102" s="6">
        <f t="shared" ca="1" si="24"/>
        <v>0</v>
      </c>
      <c r="L102" s="6">
        <f t="shared" ca="1" si="25"/>
        <v>0</v>
      </c>
      <c r="M102">
        <f t="shared" ca="1" si="33"/>
        <v>0</v>
      </c>
      <c r="N102" s="6">
        <f t="shared" si="34"/>
        <v>1200</v>
      </c>
      <c r="O102" s="6">
        <f t="shared" ca="1" si="35"/>
        <v>1200</v>
      </c>
      <c r="P102">
        <f t="shared" si="36"/>
        <v>0</v>
      </c>
      <c r="Q102" s="6">
        <f t="shared" si="26"/>
        <v>0</v>
      </c>
      <c r="R102" s="296">
        <v>13.6</v>
      </c>
      <c r="S102">
        <f t="shared" si="27"/>
        <v>5178.88</v>
      </c>
      <c r="T102">
        <f t="shared" si="28"/>
        <v>4764.5696000000007</v>
      </c>
      <c r="U102">
        <f t="shared" ca="1" si="29"/>
        <v>0</v>
      </c>
      <c r="V102">
        <f t="shared" si="37"/>
        <v>4764.5696000000007</v>
      </c>
      <c r="W102">
        <f t="shared" ca="1" si="39"/>
        <v>1200</v>
      </c>
      <c r="X102">
        <f t="shared" ca="1" si="38"/>
        <v>2000</v>
      </c>
      <c r="Y102" s="297" t="str">
        <f t="shared" ca="1" si="30"/>
        <v>Yes</v>
      </c>
    </row>
    <row r="103" spans="1:25" outlineLevel="1" x14ac:dyDescent="0.75">
      <c r="A103" s="304">
        <f>Consumption!A103</f>
        <v>41366</v>
      </c>
      <c r="B103" s="305">
        <f>Consumption!B103</f>
        <v>0</v>
      </c>
      <c r="C103" s="41">
        <f ca="1">Consumption!C103</f>
        <v>0</v>
      </c>
      <c r="D103" s="41">
        <f t="shared" si="20"/>
        <v>0.219</v>
      </c>
      <c r="E103" s="41">
        <f t="shared" ca="1" si="31"/>
        <v>5.9320000000000048</v>
      </c>
      <c r="F103" s="306">
        <f ca="1">'Pump Main'!$M$3*1000</f>
        <v>124614.17111887744</v>
      </c>
      <c r="G103" s="41">
        <f t="shared" ca="1" si="21"/>
        <v>0</v>
      </c>
      <c r="H103" s="6">
        <f t="shared" ca="1" si="22"/>
        <v>0</v>
      </c>
      <c r="I103" s="6">
        <f t="shared" ca="1" si="32"/>
        <v>0</v>
      </c>
      <c r="J103" s="6">
        <f t="shared" ca="1" si="23"/>
        <v>0</v>
      </c>
      <c r="K103" s="6">
        <f t="shared" ca="1" si="24"/>
        <v>0</v>
      </c>
      <c r="L103" s="6">
        <f t="shared" ca="1" si="25"/>
        <v>0</v>
      </c>
      <c r="M103">
        <f t="shared" ca="1" si="33"/>
        <v>0</v>
      </c>
      <c r="N103" s="6">
        <f t="shared" si="34"/>
        <v>1200</v>
      </c>
      <c r="O103" s="6">
        <f t="shared" ca="1" si="35"/>
        <v>1200</v>
      </c>
      <c r="P103">
        <f t="shared" si="36"/>
        <v>0</v>
      </c>
      <c r="Q103" s="6">
        <f t="shared" si="26"/>
        <v>0</v>
      </c>
      <c r="R103" s="296">
        <v>13.6</v>
      </c>
      <c r="S103">
        <f t="shared" si="27"/>
        <v>5178.88</v>
      </c>
      <c r="T103">
        <f t="shared" si="28"/>
        <v>4764.5696000000007</v>
      </c>
      <c r="U103">
        <f t="shared" ca="1" si="29"/>
        <v>0</v>
      </c>
      <c r="V103">
        <f t="shared" si="37"/>
        <v>4764.5696000000007</v>
      </c>
      <c r="W103">
        <f t="shared" ca="1" si="39"/>
        <v>1200</v>
      </c>
      <c r="X103">
        <f t="shared" ca="1" si="38"/>
        <v>2000</v>
      </c>
      <c r="Y103" s="297" t="str">
        <f t="shared" ca="1" si="30"/>
        <v>Yes</v>
      </c>
    </row>
    <row r="104" spans="1:25" outlineLevel="1" x14ac:dyDescent="0.75">
      <c r="A104" s="304">
        <f>Consumption!A104</f>
        <v>41367</v>
      </c>
      <c r="B104" s="305">
        <f>Consumption!B104</f>
        <v>0</v>
      </c>
      <c r="C104" s="41">
        <f ca="1">Consumption!C104</f>
        <v>0</v>
      </c>
      <c r="D104" s="41">
        <f t="shared" si="20"/>
        <v>0.219</v>
      </c>
      <c r="E104" s="41">
        <f t="shared" ca="1" si="31"/>
        <v>5.7130000000000045</v>
      </c>
      <c r="F104" s="306">
        <f ca="1">'Pump Main'!$M$3*1000</f>
        <v>124614.17111887744</v>
      </c>
      <c r="G104" s="41">
        <f t="shared" ca="1" si="21"/>
        <v>0</v>
      </c>
      <c r="H104" s="6">
        <f t="shared" ca="1" si="22"/>
        <v>0</v>
      </c>
      <c r="I104" s="6">
        <f t="shared" ca="1" si="32"/>
        <v>0</v>
      </c>
      <c r="J104" s="6">
        <f t="shared" ca="1" si="23"/>
        <v>0</v>
      </c>
      <c r="K104" s="6">
        <f t="shared" ca="1" si="24"/>
        <v>0</v>
      </c>
      <c r="L104" s="6">
        <f t="shared" ca="1" si="25"/>
        <v>0</v>
      </c>
      <c r="M104">
        <f t="shared" ca="1" si="33"/>
        <v>0</v>
      </c>
      <c r="N104" s="6">
        <f t="shared" si="34"/>
        <v>1200</v>
      </c>
      <c r="O104" s="6">
        <f t="shared" ca="1" si="35"/>
        <v>1200</v>
      </c>
      <c r="P104">
        <f t="shared" si="36"/>
        <v>0</v>
      </c>
      <c r="Q104" s="6">
        <f t="shared" si="26"/>
        <v>0</v>
      </c>
      <c r="R104" s="296">
        <v>13.6</v>
      </c>
      <c r="S104">
        <f t="shared" si="27"/>
        <v>5178.88</v>
      </c>
      <c r="T104">
        <f t="shared" si="28"/>
        <v>4764.5696000000007</v>
      </c>
      <c r="U104">
        <f t="shared" ca="1" si="29"/>
        <v>0</v>
      </c>
      <c r="V104">
        <f t="shared" si="37"/>
        <v>4764.5696000000007</v>
      </c>
      <c r="W104">
        <f t="shared" ca="1" si="39"/>
        <v>1200</v>
      </c>
      <c r="X104">
        <f t="shared" ca="1" si="38"/>
        <v>2000</v>
      </c>
      <c r="Y104" s="297" t="str">
        <f t="shared" ca="1" si="30"/>
        <v>Yes</v>
      </c>
    </row>
    <row r="105" spans="1:25" outlineLevel="1" x14ac:dyDescent="0.75">
      <c r="A105" s="304">
        <f>Consumption!A105</f>
        <v>41368</v>
      </c>
      <c r="B105" s="305">
        <f>Consumption!B105</f>
        <v>9.8000000000000007</v>
      </c>
      <c r="C105" s="41">
        <f ca="1">Consumption!C105</f>
        <v>0.98000000000000009</v>
      </c>
      <c r="D105" s="41">
        <f t="shared" si="20"/>
        <v>0.219</v>
      </c>
      <c r="E105" s="41">
        <f t="shared" ca="1" si="31"/>
        <v>6.4740000000000046</v>
      </c>
      <c r="F105" s="306">
        <f ca="1">'Pump Main'!$M$3*1000</f>
        <v>124614.17111887744</v>
      </c>
      <c r="G105" s="41">
        <f t="shared" ca="1" si="21"/>
        <v>122121.88769649989</v>
      </c>
      <c r="H105" s="6">
        <f t="shared" ca="1" si="22"/>
        <v>207374.92139590229</v>
      </c>
      <c r="I105" s="6">
        <f t="shared" ca="1" si="32"/>
        <v>57.604144832195082</v>
      </c>
      <c r="J105" s="6">
        <f t="shared" ca="1" si="23"/>
        <v>4900</v>
      </c>
      <c r="K105" s="6">
        <f t="shared" ca="1" si="24"/>
        <v>4.9000000000000004</v>
      </c>
      <c r="L105" s="6">
        <f t="shared" ca="1" si="25"/>
        <v>9.8000000000000007</v>
      </c>
      <c r="M105">
        <f t="shared" ca="1" si="33"/>
        <v>2722.2222222222222</v>
      </c>
      <c r="N105" s="6">
        <f t="shared" si="34"/>
        <v>1200</v>
      </c>
      <c r="O105" s="6">
        <f t="shared" ca="1" si="35"/>
        <v>3979.8263670544175</v>
      </c>
      <c r="P105">
        <f t="shared" si="36"/>
        <v>0</v>
      </c>
      <c r="Q105" s="6">
        <f t="shared" si="26"/>
        <v>0</v>
      </c>
      <c r="R105" s="296">
        <v>13.6</v>
      </c>
      <c r="S105">
        <f t="shared" si="27"/>
        <v>5178.88</v>
      </c>
      <c r="T105">
        <f t="shared" si="28"/>
        <v>4764.5696000000007</v>
      </c>
      <c r="U105">
        <f t="shared" ca="1" si="29"/>
        <v>0</v>
      </c>
      <c r="V105">
        <f t="shared" si="37"/>
        <v>4764.5696000000007</v>
      </c>
      <c r="W105">
        <f t="shared" ca="1" si="39"/>
        <v>3979.8263670544175</v>
      </c>
      <c r="X105">
        <f t="shared" ca="1" si="38"/>
        <v>2000</v>
      </c>
      <c r="Y105" s="297" t="str">
        <f t="shared" ca="1" si="30"/>
        <v>Yes</v>
      </c>
    </row>
    <row r="106" spans="1:25" outlineLevel="1" x14ac:dyDescent="0.75">
      <c r="A106" s="304">
        <f>Consumption!A106</f>
        <v>41369</v>
      </c>
      <c r="B106" s="305">
        <f>Consumption!B106</f>
        <v>2.2000000000000002</v>
      </c>
      <c r="C106" s="41">
        <f ca="1">Consumption!C106</f>
        <v>0.22000000000000003</v>
      </c>
      <c r="D106" s="41">
        <f t="shared" si="20"/>
        <v>0.219</v>
      </c>
      <c r="E106" s="41">
        <f t="shared" ca="1" si="31"/>
        <v>6.4750000000000041</v>
      </c>
      <c r="F106" s="306">
        <f ca="1">'Pump Main'!$M$3*1000</f>
        <v>124614.17111887744</v>
      </c>
      <c r="G106" s="41">
        <f t="shared" ca="1" si="21"/>
        <v>27415.117646153038</v>
      </c>
      <c r="H106" s="6">
        <f t="shared" ca="1" si="22"/>
        <v>46553.553782753574</v>
      </c>
      <c r="I106" s="6">
        <f t="shared" ca="1" si="32"/>
        <v>12.931542717431547</v>
      </c>
      <c r="J106" s="6">
        <f t="shared" ca="1" si="23"/>
        <v>1100</v>
      </c>
      <c r="K106" s="6">
        <f t="shared" ca="1" si="24"/>
        <v>1.1000000000000001</v>
      </c>
      <c r="L106" s="6">
        <f t="shared" ca="1" si="25"/>
        <v>2.2000000000000002</v>
      </c>
      <c r="M106">
        <f t="shared" ca="1" si="33"/>
        <v>611.11111111111109</v>
      </c>
      <c r="N106" s="6">
        <f t="shared" si="34"/>
        <v>1200</v>
      </c>
      <c r="O106" s="6">
        <f t="shared" ca="1" si="35"/>
        <v>1824.0426538285426</v>
      </c>
      <c r="P106">
        <f t="shared" si="36"/>
        <v>0</v>
      </c>
      <c r="Q106" s="6">
        <f t="shared" si="26"/>
        <v>0</v>
      </c>
      <c r="R106" s="296">
        <v>13.6</v>
      </c>
      <c r="S106">
        <f t="shared" si="27"/>
        <v>5178.88</v>
      </c>
      <c r="T106">
        <f t="shared" si="28"/>
        <v>4764.5696000000007</v>
      </c>
      <c r="U106">
        <f t="shared" ca="1" si="29"/>
        <v>0</v>
      </c>
      <c r="V106">
        <f t="shared" si="37"/>
        <v>4764.5696000000007</v>
      </c>
      <c r="W106">
        <f t="shared" ca="1" si="39"/>
        <v>1824.0426538285426</v>
      </c>
      <c r="X106">
        <f t="shared" ca="1" si="38"/>
        <v>2000</v>
      </c>
      <c r="Y106" s="297" t="str">
        <f t="shared" ca="1" si="30"/>
        <v>Yes</v>
      </c>
    </row>
    <row r="107" spans="1:25" outlineLevel="1" x14ac:dyDescent="0.75">
      <c r="A107" s="304">
        <f>Consumption!A107</f>
        <v>41370</v>
      </c>
      <c r="B107" s="305">
        <f>Consumption!B107</f>
        <v>3.4</v>
      </c>
      <c r="C107" s="41">
        <f ca="1">Consumption!C107</f>
        <v>0.34</v>
      </c>
      <c r="D107" s="41">
        <f t="shared" si="20"/>
        <v>0.219</v>
      </c>
      <c r="E107" s="41">
        <f t="shared" ca="1" si="31"/>
        <v>6.5960000000000036</v>
      </c>
      <c r="F107" s="306">
        <f ca="1">'Pump Main'!$M$3*1000</f>
        <v>124614.17111887744</v>
      </c>
      <c r="G107" s="41">
        <f t="shared" ca="1" si="21"/>
        <v>42368.818180418333</v>
      </c>
      <c r="H107" s="6">
        <f t="shared" ca="1" si="22"/>
        <v>71946.401300619167</v>
      </c>
      <c r="I107" s="6">
        <f t="shared" ca="1" si="32"/>
        <v>19.985111472394212</v>
      </c>
      <c r="J107" s="6">
        <f t="shared" ca="1" si="23"/>
        <v>1700.0000000000002</v>
      </c>
      <c r="K107" s="6">
        <f t="shared" ca="1" si="24"/>
        <v>1.7000000000000002</v>
      </c>
      <c r="L107" s="6">
        <f t="shared" ca="1" si="25"/>
        <v>3.4000000000000004</v>
      </c>
      <c r="M107">
        <f t="shared" ca="1" si="33"/>
        <v>944.44444444444457</v>
      </c>
      <c r="N107" s="6">
        <f t="shared" si="34"/>
        <v>1200</v>
      </c>
      <c r="O107" s="6">
        <f t="shared" ca="1" si="35"/>
        <v>2164.4295559168386</v>
      </c>
      <c r="P107">
        <f t="shared" si="36"/>
        <v>0</v>
      </c>
      <c r="Q107" s="6">
        <f t="shared" si="26"/>
        <v>0</v>
      </c>
      <c r="R107" s="296">
        <v>13.6</v>
      </c>
      <c r="S107">
        <f t="shared" si="27"/>
        <v>5178.88</v>
      </c>
      <c r="T107">
        <f t="shared" si="28"/>
        <v>4764.5696000000007</v>
      </c>
      <c r="U107">
        <f t="shared" ca="1" si="29"/>
        <v>0</v>
      </c>
      <c r="V107">
        <f t="shared" si="37"/>
        <v>4764.5696000000007</v>
      </c>
      <c r="W107">
        <f t="shared" ca="1" si="39"/>
        <v>2164.4295559168386</v>
      </c>
      <c r="X107">
        <f t="shared" ca="1" si="38"/>
        <v>2000</v>
      </c>
      <c r="Y107" s="297" t="str">
        <f t="shared" ca="1" si="30"/>
        <v>Yes</v>
      </c>
    </row>
    <row r="108" spans="1:25" outlineLevel="1" x14ac:dyDescent="0.75">
      <c r="A108" s="304">
        <f>Consumption!A108</f>
        <v>41371</v>
      </c>
      <c r="B108" s="305">
        <f>Consumption!B108</f>
        <v>0</v>
      </c>
      <c r="C108" s="41">
        <f ca="1">Consumption!C108</f>
        <v>0</v>
      </c>
      <c r="D108" s="41">
        <f t="shared" si="20"/>
        <v>0.219</v>
      </c>
      <c r="E108" s="41">
        <f t="shared" ca="1" si="31"/>
        <v>6.3770000000000033</v>
      </c>
      <c r="F108" s="306">
        <f ca="1">'Pump Main'!$M$3*1000</f>
        <v>124614.17111887744</v>
      </c>
      <c r="G108" s="41">
        <f t="shared" ca="1" si="21"/>
        <v>0</v>
      </c>
      <c r="H108" s="6">
        <f t="shared" ca="1" si="22"/>
        <v>0</v>
      </c>
      <c r="I108" s="6">
        <f t="shared" ca="1" si="32"/>
        <v>0</v>
      </c>
      <c r="J108" s="6">
        <f t="shared" ca="1" si="23"/>
        <v>0</v>
      </c>
      <c r="K108" s="6">
        <f t="shared" ca="1" si="24"/>
        <v>0</v>
      </c>
      <c r="L108" s="6">
        <f t="shared" ca="1" si="25"/>
        <v>0</v>
      </c>
      <c r="M108">
        <f t="shared" ca="1" si="33"/>
        <v>0</v>
      </c>
      <c r="N108" s="6">
        <f t="shared" si="34"/>
        <v>1200</v>
      </c>
      <c r="O108" s="6">
        <f t="shared" ca="1" si="35"/>
        <v>1200</v>
      </c>
      <c r="P108">
        <f t="shared" si="36"/>
        <v>0</v>
      </c>
      <c r="Q108" s="6">
        <f t="shared" si="26"/>
        <v>0</v>
      </c>
      <c r="R108" s="296">
        <v>13.6</v>
      </c>
      <c r="S108">
        <f t="shared" si="27"/>
        <v>5178.88</v>
      </c>
      <c r="T108">
        <f t="shared" si="28"/>
        <v>4764.5696000000007</v>
      </c>
      <c r="U108">
        <f t="shared" ca="1" si="29"/>
        <v>0</v>
      </c>
      <c r="V108">
        <f t="shared" si="37"/>
        <v>4764.5696000000007</v>
      </c>
      <c r="W108">
        <f t="shared" ca="1" si="39"/>
        <v>1200</v>
      </c>
      <c r="X108">
        <f t="shared" ca="1" si="38"/>
        <v>2000</v>
      </c>
      <c r="Y108" s="297" t="str">
        <f t="shared" ca="1" si="30"/>
        <v>Yes</v>
      </c>
    </row>
    <row r="109" spans="1:25" outlineLevel="1" x14ac:dyDescent="0.75">
      <c r="A109" s="304">
        <f>Consumption!A109</f>
        <v>41372</v>
      </c>
      <c r="B109" s="305">
        <f>Consumption!B109</f>
        <v>2</v>
      </c>
      <c r="C109" s="41">
        <f ca="1">Consumption!C109</f>
        <v>0.2</v>
      </c>
      <c r="D109" s="41">
        <f t="shared" si="20"/>
        <v>0.219</v>
      </c>
      <c r="E109" s="41">
        <f t="shared" ca="1" si="31"/>
        <v>6.3580000000000032</v>
      </c>
      <c r="F109" s="306">
        <f ca="1">'Pump Main'!$M$3*1000</f>
        <v>124614.17111887744</v>
      </c>
      <c r="G109" s="41">
        <f t="shared" ca="1" si="21"/>
        <v>24922.834223775488</v>
      </c>
      <c r="H109" s="6">
        <f t="shared" ca="1" si="22"/>
        <v>42321.412529775975</v>
      </c>
      <c r="I109" s="6">
        <f t="shared" ca="1" si="32"/>
        <v>11.755947924937772</v>
      </c>
      <c r="J109" s="6">
        <f t="shared" ca="1" si="23"/>
        <v>1000</v>
      </c>
      <c r="K109" s="6">
        <f t="shared" ca="1" si="24"/>
        <v>1</v>
      </c>
      <c r="L109" s="6">
        <f t="shared" ca="1" si="25"/>
        <v>2</v>
      </c>
      <c r="M109">
        <f t="shared" ca="1" si="33"/>
        <v>555.55555555555554</v>
      </c>
      <c r="N109" s="6">
        <f t="shared" si="34"/>
        <v>1200</v>
      </c>
      <c r="O109" s="6">
        <f t="shared" ca="1" si="35"/>
        <v>1767.3115034804932</v>
      </c>
      <c r="P109">
        <f t="shared" si="36"/>
        <v>0</v>
      </c>
      <c r="Q109" s="6">
        <f t="shared" si="26"/>
        <v>0</v>
      </c>
      <c r="R109" s="296">
        <v>13.6</v>
      </c>
      <c r="S109">
        <f t="shared" si="27"/>
        <v>5178.88</v>
      </c>
      <c r="T109">
        <f t="shared" si="28"/>
        <v>4764.5696000000007</v>
      </c>
      <c r="U109">
        <f t="shared" ca="1" si="29"/>
        <v>0</v>
      </c>
      <c r="V109">
        <f t="shared" si="37"/>
        <v>4764.5696000000007</v>
      </c>
      <c r="W109">
        <f t="shared" ca="1" si="39"/>
        <v>1767.3115034804932</v>
      </c>
      <c r="X109">
        <f t="shared" ca="1" si="38"/>
        <v>2000</v>
      </c>
      <c r="Y109" s="297" t="str">
        <f t="shared" ca="1" si="30"/>
        <v>Yes</v>
      </c>
    </row>
    <row r="110" spans="1:25" outlineLevel="1" x14ac:dyDescent="0.75">
      <c r="A110" s="304">
        <f>Consumption!A110</f>
        <v>41373</v>
      </c>
      <c r="B110" s="305">
        <f>Consumption!B110</f>
        <v>0</v>
      </c>
      <c r="C110" s="41">
        <f ca="1">Consumption!C110</f>
        <v>0</v>
      </c>
      <c r="D110" s="41">
        <f t="shared" si="20"/>
        <v>0.219</v>
      </c>
      <c r="E110" s="41">
        <f t="shared" ca="1" si="31"/>
        <v>6.1390000000000029</v>
      </c>
      <c r="F110" s="306">
        <f ca="1">'Pump Main'!$M$3*1000</f>
        <v>124614.17111887744</v>
      </c>
      <c r="G110" s="41">
        <f t="shared" ca="1" si="21"/>
        <v>0</v>
      </c>
      <c r="H110" s="6">
        <f t="shared" ca="1" si="22"/>
        <v>0</v>
      </c>
      <c r="I110" s="6">
        <f t="shared" ca="1" si="32"/>
        <v>0</v>
      </c>
      <c r="J110" s="6">
        <f t="shared" ca="1" si="23"/>
        <v>0</v>
      </c>
      <c r="K110" s="6">
        <f t="shared" ca="1" si="24"/>
        <v>0</v>
      </c>
      <c r="L110" s="6">
        <f t="shared" ca="1" si="25"/>
        <v>0</v>
      </c>
      <c r="M110">
        <f t="shared" ca="1" si="33"/>
        <v>0</v>
      </c>
      <c r="N110" s="6">
        <f t="shared" si="34"/>
        <v>1200</v>
      </c>
      <c r="O110" s="6">
        <f t="shared" ca="1" si="35"/>
        <v>1200</v>
      </c>
      <c r="P110">
        <f t="shared" si="36"/>
        <v>0</v>
      </c>
      <c r="Q110" s="6">
        <f t="shared" si="26"/>
        <v>0</v>
      </c>
      <c r="R110" s="296">
        <v>13.6</v>
      </c>
      <c r="S110">
        <f t="shared" si="27"/>
        <v>5178.88</v>
      </c>
      <c r="T110">
        <f t="shared" si="28"/>
        <v>4764.5696000000007</v>
      </c>
      <c r="U110">
        <f t="shared" ca="1" si="29"/>
        <v>0</v>
      </c>
      <c r="V110">
        <f t="shared" si="37"/>
        <v>4764.5696000000007</v>
      </c>
      <c r="W110">
        <f t="shared" ca="1" si="39"/>
        <v>1200</v>
      </c>
      <c r="X110">
        <f t="shared" ca="1" si="38"/>
        <v>2000</v>
      </c>
      <c r="Y110" s="297" t="str">
        <f t="shared" ca="1" si="30"/>
        <v>Yes</v>
      </c>
    </row>
    <row r="111" spans="1:25" outlineLevel="1" x14ac:dyDescent="0.75">
      <c r="A111" s="304">
        <f>Consumption!A111</f>
        <v>41374</v>
      </c>
      <c r="B111" s="305">
        <f>Consumption!B111</f>
        <v>1.2</v>
      </c>
      <c r="C111" s="41">
        <f ca="1">Consumption!C111</f>
        <v>0.12</v>
      </c>
      <c r="D111" s="41">
        <f t="shared" si="20"/>
        <v>0.219</v>
      </c>
      <c r="E111" s="41">
        <f t="shared" ca="1" si="31"/>
        <v>6.0400000000000027</v>
      </c>
      <c r="F111" s="306">
        <f ca="1">'Pump Main'!$M$3*1000</f>
        <v>124614.17111887744</v>
      </c>
      <c r="G111" s="41">
        <f t="shared" ca="1" si="21"/>
        <v>14953.700534265292</v>
      </c>
      <c r="H111" s="6">
        <f t="shared" ca="1" si="22"/>
        <v>25392.847517865586</v>
      </c>
      <c r="I111" s="6">
        <f t="shared" ca="1" si="32"/>
        <v>7.0535687549626624</v>
      </c>
      <c r="J111" s="6">
        <f t="shared" ca="1" si="23"/>
        <v>600</v>
      </c>
      <c r="K111" s="6">
        <f t="shared" ca="1" si="24"/>
        <v>0.6</v>
      </c>
      <c r="L111" s="6">
        <f t="shared" ca="1" si="25"/>
        <v>1.2</v>
      </c>
      <c r="M111">
        <f t="shared" ca="1" si="33"/>
        <v>333.33333333333331</v>
      </c>
      <c r="N111" s="6">
        <f t="shared" si="34"/>
        <v>1200</v>
      </c>
      <c r="O111" s="6">
        <f t="shared" ca="1" si="35"/>
        <v>1540.386902088296</v>
      </c>
      <c r="P111">
        <f t="shared" si="36"/>
        <v>0</v>
      </c>
      <c r="Q111" s="6">
        <f t="shared" si="26"/>
        <v>0</v>
      </c>
      <c r="R111" s="296">
        <v>13.6</v>
      </c>
      <c r="S111">
        <f t="shared" si="27"/>
        <v>5178.88</v>
      </c>
      <c r="T111">
        <f t="shared" si="28"/>
        <v>4764.5696000000007</v>
      </c>
      <c r="U111">
        <f t="shared" ca="1" si="29"/>
        <v>0</v>
      </c>
      <c r="V111">
        <f t="shared" si="37"/>
        <v>4764.5696000000007</v>
      </c>
      <c r="W111">
        <f t="shared" ca="1" si="39"/>
        <v>1540.386902088296</v>
      </c>
      <c r="X111">
        <f t="shared" ca="1" si="38"/>
        <v>2000</v>
      </c>
      <c r="Y111" s="297" t="str">
        <f t="shared" ca="1" si="30"/>
        <v>Yes</v>
      </c>
    </row>
    <row r="112" spans="1:25" outlineLevel="1" x14ac:dyDescent="0.75">
      <c r="A112" s="304">
        <f>Consumption!A112</f>
        <v>41375</v>
      </c>
      <c r="B112" s="305">
        <f>Consumption!B112</f>
        <v>1</v>
      </c>
      <c r="C112" s="41">
        <f ca="1">Consumption!C112</f>
        <v>0.1</v>
      </c>
      <c r="D112" s="41">
        <f t="shared" si="20"/>
        <v>0.219</v>
      </c>
      <c r="E112" s="41">
        <f t="shared" ca="1" si="31"/>
        <v>5.921000000000002</v>
      </c>
      <c r="F112" s="306">
        <f ca="1">'Pump Main'!$M$3*1000</f>
        <v>124614.17111887744</v>
      </c>
      <c r="G112" s="41">
        <f t="shared" ca="1" si="21"/>
        <v>12461.417111887744</v>
      </c>
      <c r="H112" s="6">
        <f t="shared" ca="1" si="22"/>
        <v>21160.706264887987</v>
      </c>
      <c r="I112" s="6">
        <f t="shared" ca="1" si="32"/>
        <v>5.8779739624688858</v>
      </c>
      <c r="J112" s="6">
        <f t="shared" ca="1" si="23"/>
        <v>500</v>
      </c>
      <c r="K112" s="6">
        <f t="shared" ca="1" si="24"/>
        <v>0.5</v>
      </c>
      <c r="L112" s="6">
        <f t="shared" ca="1" si="25"/>
        <v>1</v>
      </c>
      <c r="M112">
        <f t="shared" ca="1" si="33"/>
        <v>277.77777777777777</v>
      </c>
      <c r="N112" s="6">
        <f t="shared" si="34"/>
        <v>1200</v>
      </c>
      <c r="O112" s="6">
        <f t="shared" ca="1" si="35"/>
        <v>1483.6557517402466</v>
      </c>
      <c r="P112">
        <f t="shared" si="36"/>
        <v>0</v>
      </c>
      <c r="Q112" s="6">
        <f t="shared" si="26"/>
        <v>0</v>
      </c>
      <c r="R112" s="296">
        <v>13.6</v>
      </c>
      <c r="S112">
        <f t="shared" si="27"/>
        <v>5178.88</v>
      </c>
      <c r="T112">
        <f t="shared" si="28"/>
        <v>4764.5696000000007</v>
      </c>
      <c r="U112">
        <f t="shared" ca="1" si="29"/>
        <v>0</v>
      </c>
      <c r="V112">
        <f t="shared" si="37"/>
        <v>4764.5696000000007</v>
      </c>
      <c r="W112">
        <f t="shared" ca="1" si="39"/>
        <v>1483.6557517402466</v>
      </c>
      <c r="X112">
        <f t="shared" ca="1" si="38"/>
        <v>2000</v>
      </c>
      <c r="Y112" s="297" t="str">
        <f t="shared" ca="1" si="30"/>
        <v>Yes</v>
      </c>
    </row>
    <row r="113" spans="1:25" outlineLevel="1" x14ac:dyDescent="0.75">
      <c r="A113" s="304">
        <f>Consumption!A113</f>
        <v>41376</v>
      </c>
      <c r="B113" s="305">
        <f>Consumption!B113</f>
        <v>8.4</v>
      </c>
      <c r="C113" s="41">
        <f ca="1">Consumption!C113</f>
        <v>0.84</v>
      </c>
      <c r="D113" s="41">
        <f t="shared" si="20"/>
        <v>0.219</v>
      </c>
      <c r="E113" s="41">
        <f t="shared" ca="1" si="31"/>
        <v>6.5420000000000016</v>
      </c>
      <c r="F113" s="306">
        <f ca="1">'Pump Main'!$M$3*1000</f>
        <v>124614.17111887744</v>
      </c>
      <c r="G113" s="41">
        <f t="shared" ca="1" si="21"/>
        <v>104675.90373985704</v>
      </c>
      <c r="H113" s="6">
        <f t="shared" ca="1" si="22"/>
        <v>177749.93262505907</v>
      </c>
      <c r="I113" s="6">
        <f t="shared" ca="1" si="32"/>
        <v>49.374981284738631</v>
      </c>
      <c r="J113" s="6">
        <f t="shared" ca="1" si="23"/>
        <v>4200</v>
      </c>
      <c r="K113" s="6">
        <f t="shared" ca="1" si="24"/>
        <v>4.2</v>
      </c>
      <c r="L113" s="6">
        <f t="shared" ca="1" si="25"/>
        <v>8.4</v>
      </c>
      <c r="M113">
        <f t="shared" ca="1" si="33"/>
        <v>2333.3333333333335</v>
      </c>
      <c r="N113" s="6">
        <f t="shared" si="34"/>
        <v>1200</v>
      </c>
      <c r="O113" s="6">
        <f t="shared" ca="1" si="35"/>
        <v>3582.7083146180721</v>
      </c>
      <c r="P113">
        <f t="shared" si="36"/>
        <v>0</v>
      </c>
      <c r="Q113" s="6">
        <f t="shared" si="26"/>
        <v>0</v>
      </c>
      <c r="R113" s="296">
        <v>13.6</v>
      </c>
      <c r="S113">
        <f t="shared" si="27"/>
        <v>5178.88</v>
      </c>
      <c r="T113">
        <f t="shared" si="28"/>
        <v>4764.5696000000007</v>
      </c>
      <c r="U113">
        <f t="shared" ca="1" si="29"/>
        <v>0</v>
      </c>
      <c r="V113">
        <f t="shared" si="37"/>
        <v>4764.5696000000007</v>
      </c>
      <c r="W113">
        <f t="shared" ca="1" si="39"/>
        <v>3582.7083146180721</v>
      </c>
      <c r="X113">
        <f t="shared" ca="1" si="38"/>
        <v>2000</v>
      </c>
      <c r="Y113" s="297" t="str">
        <f t="shared" ca="1" si="30"/>
        <v>Yes</v>
      </c>
    </row>
    <row r="114" spans="1:25" outlineLevel="1" x14ac:dyDescent="0.75">
      <c r="A114" s="304">
        <f>Consumption!A114</f>
        <v>41377</v>
      </c>
      <c r="B114" s="305">
        <f>Consumption!B114</f>
        <v>0</v>
      </c>
      <c r="C114" s="41">
        <f ca="1">Consumption!C114</f>
        <v>0</v>
      </c>
      <c r="D114" s="41">
        <f t="shared" si="20"/>
        <v>0.219</v>
      </c>
      <c r="E114" s="41">
        <f t="shared" ca="1" si="31"/>
        <v>6.3230000000000013</v>
      </c>
      <c r="F114" s="306">
        <f ca="1">'Pump Main'!$M$3*1000</f>
        <v>124614.17111887744</v>
      </c>
      <c r="G114" s="41">
        <f t="shared" ca="1" si="21"/>
        <v>0</v>
      </c>
      <c r="H114" s="6">
        <f t="shared" ca="1" si="22"/>
        <v>0</v>
      </c>
      <c r="I114" s="6">
        <f t="shared" ca="1" si="32"/>
        <v>0</v>
      </c>
      <c r="J114" s="6">
        <f t="shared" ca="1" si="23"/>
        <v>0</v>
      </c>
      <c r="K114" s="6">
        <f t="shared" ca="1" si="24"/>
        <v>0</v>
      </c>
      <c r="L114" s="6">
        <f t="shared" ca="1" si="25"/>
        <v>0</v>
      </c>
      <c r="M114">
        <f t="shared" ca="1" si="33"/>
        <v>0</v>
      </c>
      <c r="N114" s="6">
        <f t="shared" si="34"/>
        <v>1200</v>
      </c>
      <c r="O114" s="6">
        <f t="shared" ca="1" si="35"/>
        <v>1200</v>
      </c>
      <c r="P114">
        <f t="shared" si="36"/>
        <v>0</v>
      </c>
      <c r="Q114" s="6">
        <f t="shared" si="26"/>
        <v>0</v>
      </c>
      <c r="R114" s="296">
        <v>13.6</v>
      </c>
      <c r="S114">
        <f t="shared" si="27"/>
        <v>5178.88</v>
      </c>
      <c r="T114">
        <f t="shared" si="28"/>
        <v>4764.5696000000007</v>
      </c>
      <c r="U114">
        <f t="shared" ca="1" si="29"/>
        <v>0</v>
      </c>
      <c r="V114">
        <f t="shared" si="37"/>
        <v>4764.5696000000007</v>
      </c>
      <c r="W114">
        <f t="shared" ca="1" si="39"/>
        <v>1200</v>
      </c>
      <c r="X114">
        <f t="shared" ca="1" si="38"/>
        <v>2000</v>
      </c>
      <c r="Y114" s="297" t="str">
        <f t="shared" ca="1" si="30"/>
        <v>Yes</v>
      </c>
    </row>
    <row r="115" spans="1:25" outlineLevel="1" x14ac:dyDescent="0.75">
      <c r="A115" s="304">
        <f>Consumption!A115</f>
        <v>41378</v>
      </c>
      <c r="B115" s="305">
        <f>Consumption!B115</f>
        <v>0</v>
      </c>
      <c r="C115" s="41">
        <f ca="1">Consumption!C115</f>
        <v>0</v>
      </c>
      <c r="D115" s="41">
        <f t="shared" si="20"/>
        <v>0.219</v>
      </c>
      <c r="E115" s="41">
        <f t="shared" ca="1" si="31"/>
        <v>6.104000000000001</v>
      </c>
      <c r="F115" s="306">
        <f ca="1">'Pump Main'!$M$3*1000</f>
        <v>124614.17111887744</v>
      </c>
      <c r="G115" s="41">
        <f t="shared" ca="1" si="21"/>
        <v>0</v>
      </c>
      <c r="H115" s="6">
        <f t="shared" ca="1" si="22"/>
        <v>0</v>
      </c>
      <c r="I115" s="6">
        <f t="shared" ca="1" si="32"/>
        <v>0</v>
      </c>
      <c r="J115" s="6">
        <f t="shared" ca="1" si="23"/>
        <v>0</v>
      </c>
      <c r="K115" s="6">
        <f t="shared" ca="1" si="24"/>
        <v>0</v>
      </c>
      <c r="L115" s="6">
        <f t="shared" ca="1" si="25"/>
        <v>0</v>
      </c>
      <c r="M115">
        <f t="shared" ca="1" si="33"/>
        <v>0</v>
      </c>
      <c r="N115" s="6">
        <f t="shared" si="34"/>
        <v>1200</v>
      </c>
      <c r="O115" s="6">
        <f t="shared" ca="1" si="35"/>
        <v>1200</v>
      </c>
      <c r="P115">
        <f t="shared" si="36"/>
        <v>0</v>
      </c>
      <c r="Q115" s="6">
        <f t="shared" si="26"/>
        <v>0</v>
      </c>
      <c r="R115" s="296">
        <v>13.6</v>
      </c>
      <c r="S115">
        <f t="shared" si="27"/>
        <v>5178.88</v>
      </c>
      <c r="T115">
        <f t="shared" si="28"/>
        <v>4764.5696000000007</v>
      </c>
      <c r="U115">
        <f t="shared" ca="1" si="29"/>
        <v>0</v>
      </c>
      <c r="V115">
        <f t="shared" si="37"/>
        <v>4764.5696000000007</v>
      </c>
      <c r="W115">
        <f t="shared" ca="1" si="39"/>
        <v>1200</v>
      </c>
      <c r="X115">
        <f t="shared" ca="1" si="38"/>
        <v>2000</v>
      </c>
      <c r="Y115" s="297" t="str">
        <f t="shared" ca="1" si="30"/>
        <v>Yes</v>
      </c>
    </row>
    <row r="116" spans="1:25" outlineLevel="1" x14ac:dyDescent="0.75">
      <c r="A116" s="304">
        <f>Consumption!A116</f>
        <v>41379</v>
      </c>
      <c r="B116" s="305">
        <f>Consumption!B116</f>
        <v>0</v>
      </c>
      <c r="C116" s="41">
        <f ca="1">Consumption!C116</f>
        <v>0</v>
      </c>
      <c r="D116" s="41">
        <f t="shared" si="20"/>
        <v>0.219</v>
      </c>
      <c r="E116" s="41">
        <f t="shared" ca="1" si="31"/>
        <v>5.8850000000000007</v>
      </c>
      <c r="F116" s="306">
        <f ca="1">'Pump Main'!$M$3*1000</f>
        <v>124614.17111887744</v>
      </c>
      <c r="G116" s="41">
        <f t="shared" ca="1" si="21"/>
        <v>0</v>
      </c>
      <c r="H116" s="6">
        <f t="shared" ca="1" si="22"/>
        <v>0</v>
      </c>
      <c r="I116" s="6">
        <f t="shared" ca="1" si="32"/>
        <v>0</v>
      </c>
      <c r="J116" s="6">
        <f t="shared" ca="1" si="23"/>
        <v>0</v>
      </c>
      <c r="K116" s="6">
        <f t="shared" ca="1" si="24"/>
        <v>0</v>
      </c>
      <c r="L116" s="6">
        <f t="shared" ca="1" si="25"/>
        <v>0</v>
      </c>
      <c r="M116">
        <f t="shared" ca="1" si="33"/>
        <v>0</v>
      </c>
      <c r="N116" s="6">
        <f t="shared" si="34"/>
        <v>1200</v>
      </c>
      <c r="O116" s="6">
        <f t="shared" ca="1" si="35"/>
        <v>1200</v>
      </c>
      <c r="P116">
        <f t="shared" si="36"/>
        <v>0</v>
      </c>
      <c r="Q116" s="6">
        <f t="shared" si="26"/>
        <v>0</v>
      </c>
      <c r="R116" s="296">
        <v>13.6</v>
      </c>
      <c r="S116">
        <f t="shared" si="27"/>
        <v>5178.88</v>
      </c>
      <c r="T116">
        <f t="shared" si="28"/>
        <v>4764.5696000000007</v>
      </c>
      <c r="U116">
        <f t="shared" ca="1" si="29"/>
        <v>0</v>
      </c>
      <c r="V116">
        <f t="shared" si="37"/>
        <v>4764.5696000000007</v>
      </c>
      <c r="W116">
        <f t="shared" ca="1" si="39"/>
        <v>1200</v>
      </c>
      <c r="X116">
        <f t="shared" ca="1" si="38"/>
        <v>2000</v>
      </c>
      <c r="Y116" s="297" t="str">
        <f t="shared" ca="1" si="30"/>
        <v>Yes</v>
      </c>
    </row>
    <row r="117" spans="1:25" outlineLevel="1" x14ac:dyDescent="0.75">
      <c r="A117" s="304">
        <f>Consumption!A117</f>
        <v>41380</v>
      </c>
      <c r="B117" s="305">
        <f>Consumption!B117</f>
        <v>0</v>
      </c>
      <c r="C117" s="41">
        <f ca="1">Consumption!C117</f>
        <v>0</v>
      </c>
      <c r="D117" s="41">
        <f t="shared" si="20"/>
        <v>0.219</v>
      </c>
      <c r="E117" s="41">
        <f t="shared" ca="1" si="31"/>
        <v>5.6660000000000004</v>
      </c>
      <c r="F117" s="306">
        <f ca="1">'Pump Main'!$M$3*1000</f>
        <v>124614.17111887744</v>
      </c>
      <c r="G117" s="41">
        <f t="shared" ca="1" si="21"/>
        <v>0</v>
      </c>
      <c r="H117" s="6">
        <f t="shared" ca="1" si="22"/>
        <v>0</v>
      </c>
      <c r="I117" s="6">
        <f t="shared" ca="1" si="32"/>
        <v>0</v>
      </c>
      <c r="J117" s="6">
        <f t="shared" ca="1" si="23"/>
        <v>0</v>
      </c>
      <c r="K117" s="6">
        <f t="shared" ca="1" si="24"/>
        <v>0</v>
      </c>
      <c r="L117" s="6">
        <f t="shared" ca="1" si="25"/>
        <v>0</v>
      </c>
      <c r="M117">
        <f t="shared" ca="1" si="33"/>
        <v>0</v>
      </c>
      <c r="N117" s="6">
        <f t="shared" si="34"/>
        <v>1200</v>
      </c>
      <c r="O117" s="6">
        <f t="shared" ca="1" si="35"/>
        <v>1200</v>
      </c>
      <c r="P117">
        <f t="shared" si="36"/>
        <v>0</v>
      </c>
      <c r="Q117" s="6">
        <f t="shared" si="26"/>
        <v>0</v>
      </c>
      <c r="R117" s="296">
        <v>13.6</v>
      </c>
      <c r="S117">
        <f t="shared" si="27"/>
        <v>5178.88</v>
      </c>
      <c r="T117">
        <f t="shared" si="28"/>
        <v>4764.5696000000007</v>
      </c>
      <c r="U117">
        <f t="shared" ca="1" si="29"/>
        <v>0</v>
      </c>
      <c r="V117">
        <f t="shared" si="37"/>
        <v>4764.5696000000007</v>
      </c>
      <c r="W117">
        <f t="shared" ca="1" si="39"/>
        <v>1200</v>
      </c>
      <c r="X117">
        <f t="shared" ca="1" si="38"/>
        <v>2000</v>
      </c>
      <c r="Y117" s="297" t="str">
        <f t="shared" ca="1" si="30"/>
        <v>Yes</v>
      </c>
    </row>
    <row r="118" spans="1:25" outlineLevel="1" x14ac:dyDescent="0.75">
      <c r="A118" s="304">
        <f>Consumption!A118</f>
        <v>41381</v>
      </c>
      <c r="B118" s="305">
        <f>Consumption!B118</f>
        <v>0</v>
      </c>
      <c r="C118" s="41">
        <f ca="1">Consumption!C118</f>
        <v>0</v>
      </c>
      <c r="D118" s="41">
        <f t="shared" si="20"/>
        <v>0.219</v>
      </c>
      <c r="E118" s="41">
        <f t="shared" ca="1" si="31"/>
        <v>5.4470000000000001</v>
      </c>
      <c r="F118" s="306">
        <f ca="1">'Pump Main'!$M$3*1000</f>
        <v>124614.17111887744</v>
      </c>
      <c r="G118" s="41">
        <f t="shared" ca="1" si="21"/>
        <v>0</v>
      </c>
      <c r="H118" s="6">
        <f t="shared" ca="1" si="22"/>
        <v>0</v>
      </c>
      <c r="I118" s="6">
        <f t="shared" ca="1" si="32"/>
        <v>0</v>
      </c>
      <c r="J118" s="6">
        <f t="shared" ca="1" si="23"/>
        <v>0</v>
      </c>
      <c r="K118" s="6">
        <f t="shared" ca="1" si="24"/>
        <v>0</v>
      </c>
      <c r="L118" s="6">
        <f t="shared" ca="1" si="25"/>
        <v>0</v>
      </c>
      <c r="M118">
        <f t="shared" ca="1" si="33"/>
        <v>0</v>
      </c>
      <c r="N118" s="6">
        <f t="shared" si="34"/>
        <v>1200</v>
      </c>
      <c r="O118" s="6">
        <f t="shared" ca="1" si="35"/>
        <v>1200</v>
      </c>
      <c r="P118">
        <f t="shared" si="36"/>
        <v>0</v>
      </c>
      <c r="Q118" s="6">
        <f t="shared" si="26"/>
        <v>0</v>
      </c>
      <c r="R118" s="296">
        <v>13.6</v>
      </c>
      <c r="S118">
        <f t="shared" si="27"/>
        <v>5178.88</v>
      </c>
      <c r="T118">
        <f t="shared" si="28"/>
        <v>4764.5696000000007</v>
      </c>
      <c r="U118">
        <f t="shared" ca="1" si="29"/>
        <v>0</v>
      </c>
      <c r="V118">
        <f t="shared" si="37"/>
        <v>4764.5696000000007</v>
      </c>
      <c r="W118">
        <f t="shared" ca="1" si="39"/>
        <v>1200</v>
      </c>
      <c r="X118">
        <f t="shared" ca="1" si="38"/>
        <v>2000</v>
      </c>
      <c r="Y118" s="297" t="str">
        <f t="shared" ca="1" si="30"/>
        <v>Yes</v>
      </c>
    </row>
    <row r="119" spans="1:25" outlineLevel="1" x14ac:dyDescent="0.75">
      <c r="A119" s="304">
        <f>Consumption!A119</f>
        <v>41382</v>
      </c>
      <c r="B119" s="305">
        <f>Consumption!B119</f>
        <v>8.1999999999999993</v>
      </c>
      <c r="C119" s="41">
        <f ca="1">Consumption!C119</f>
        <v>0.81999999999999984</v>
      </c>
      <c r="D119" s="41">
        <f t="shared" si="20"/>
        <v>0.219</v>
      </c>
      <c r="E119" s="41">
        <f t="shared" ca="1" si="31"/>
        <v>6.0479999999999992</v>
      </c>
      <c r="F119" s="306">
        <f ca="1">'Pump Main'!$M$3*1000</f>
        <v>124614.17111887744</v>
      </c>
      <c r="G119" s="41">
        <f t="shared" ca="1" si="21"/>
        <v>102183.62031747948</v>
      </c>
      <c r="H119" s="6">
        <f t="shared" ca="1" si="22"/>
        <v>173517.79137208147</v>
      </c>
      <c r="I119" s="6">
        <f t="shared" ca="1" si="32"/>
        <v>48.199386492244855</v>
      </c>
      <c r="J119" s="6">
        <f t="shared" ca="1" si="23"/>
        <v>4100</v>
      </c>
      <c r="K119" s="6">
        <f t="shared" ca="1" si="24"/>
        <v>4.0999999999999996</v>
      </c>
      <c r="L119" s="6">
        <f t="shared" ca="1" si="25"/>
        <v>8.1999999999999993</v>
      </c>
      <c r="M119">
        <f t="shared" ca="1" si="33"/>
        <v>2277.7777777777774</v>
      </c>
      <c r="N119" s="6">
        <f t="shared" si="34"/>
        <v>1200</v>
      </c>
      <c r="O119" s="6">
        <f t="shared" ca="1" si="35"/>
        <v>3525.9771642700221</v>
      </c>
      <c r="P119">
        <f t="shared" si="36"/>
        <v>0</v>
      </c>
      <c r="Q119" s="6">
        <f t="shared" si="26"/>
        <v>0</v>
      </c>
      <c r="R119" s="296">
        <v>13.6</v>
      </c>
      <c r="S119">
        <f t="shared" si="27"/>
        <v>5178.88</v>
      </c>
      <c r="T119">
        <f t="shared" si="28"/>
        <v>4764.5696000000007</v>
      </c>
      <c r="U119">
        <f t="shared" ca="1" si="29"/>
        <v>0</v>
      </c>
      <c r="V119">
        <f t="shared" si="37"/>
        <v>4764.5696000000007</v>
      </c>
      <c r="W119">
        <f t="shared" ca="1" si="39"/>
        <v>3525.9771642700221</v>
      </c>
      <c r="X119">
        <f t="shared" ca="1" si="38"/>
        <v>2000</v>
      </c>
      <c r="Y119" s="297" t="str">
        <f t="shared" ca="1" si="30"/>
        <v>Yes</v>
      </c>
    </row>
    <row r="120" spans="1:25" outlineLevel="1" x14ac:dyDescent="0.75">
      <c r="A120" s="304">
        <f>Consumption!A120</f>
        <v>41383</v>
      </c>
      <c r="B120" s="305">
        <f>Consumption!B120</f>
        <v>0.8</v>
      </c>
      <c r="C120" s="41">
        <f ca="1">Consumption!C120</f>
        <v>0.08</v>
      </c>
      <c r="D120" s="41">
        <f t="shared" si="20"/>
        <v>0.219</v>
      </c>
      <c r="E120" s="41">
        <f t="shared" ca="1" si="31"/>
        <v>5.9089999999999989</v>
      </c>
      <c r="F120" s="306">
        <f ca="1">'Pump Main'!$M$3*1000</f>
        <v>124614.17111887744</v>
      </c>
      <c r="G120" s="41">
        <f t="shared" ca="1" si="21"/>
        <v>9969.1336895101958</v>
      </c>
      <c r="H120" s="6">
        <f t="shared" ca="1" si="22"/>
        <v>16928.565011910392</v>
      </c>
      <c r="I120" s="6">
        <f t="shared" ca="1" si="32"/>
        <v>4.7023791699751092</v>
      </c>
      <c r="J120" s="6">
        <f t="shared" ca="1" si="23"/>
        <v>400</v>
      </c>
      <c r="K120" s="6">
        <f t="shared" ca="1" si="24"/>
        <v>0.4</v>
      </c>
      <c r="L120" s="6">
        <f t="shared" ca="1" si="25"/>
        <v>0.8</v>
      </c>
      <c r="M120">
        <f t="shared" ca="1" si="33"/>
        <v>222.22222222222223</v>
      </c>
      <c r="N120" s="6">
        <f t="shared" si="34"/>
        <v>1200</v>
      </c>
      <c r="O120" s="6">
        <f t="shared" ca="1" si="35"/>
        <v>1426.9246013921972</v>
      </c>
      <c r="P120">
        <f t="shared" si="36"/>
        <v>0</v>
      </c>
      <c r="Q120" s="6">
        <f t="shared" si="26"/>
        <v>0</v>
      </c>
      <c r="R120" s="296">
        <v>13.6</v>
      </c>
      <c r="S120">
        <f t="shared" si="27"/>
        <v>5178.88</v>
      </c>
      <c r="T120">
        <f t="shared" si="28"/>
        <v>4764.5696000000007</v>
      </c>
      <c r="U120">
        <f t="shared" ca="1" si="29"/>
        <v>0</v>
      </c>
      <c r="V120">
        <f t="shared" si="37"/>
        <v>4764.5696000000007</v>
      </c>
      <c r="W120">
        <f t="shared" ca="1" si="39"/>
        <v>1426.9246013921972</v>
      </c>
      <c r="X120">
        <f t="shared" ca="1" si="38"/>
        <v>2000</v>
      </c>
      <c r="Y120" s="297" t="str">
        <f t="shared" ca="1" si="30"/>
        <v>Yes</v>
      </c>
    </row>
    <row r="121" spans="1:25" outlineLevel="1" x14ac:dyDescent="0.75">
      <c r="A121" s="304">
        <f>Consumption!A121</f>
        <v>41384</v>
      </c>
      <c r="B121" s="305">
        <f>Consumption!B121</f>
        <v>0</v>
      </c>
      <c r="C121" s="41">
        <f ca="1">Consumption!C121</f>
        <v>0</v>
      </c>
      <c r="D121" s="41">
        <f t="shared" si="20"/>
        <v>0.219</v>
      </c>
      <c r="E121" s="41">
        <f t="shared" ca="1" si="31"/>
        <v>5.6899999999999986</v>
      </c>
      <c r="F121" s="306">
        <f ca="1">'Pump Main'!$M$3*1000</f>
        <v>124614.17111887744</v>
      </c>
      <c r="G121" s="41">
        <f t="shared" ca="1" si="21"/>
        <v>0</v>
      </c>
      <c r="H121" s="6">
        <f t="shared" ca="1" si="22"/>
        <v>0</v>
      </c>
      <c r="I121" s="6">
        <f t="shared" ca="1" si="32"/>
        <v>0</v>
      </c>
      <c r="J121" s="6">
        <f t="shared" ca="1" si="23"/>
        <v>0</v>
      </c>
      <c r="K121" s="6">
        <f t="shared" ca="1" si="24"/>
        <v>0</v>
      </c>
      <c r="L121" s="6">
        <f t="shared" ca="1" si="25"/>
        <v>0</v>
      </c>
      <c r="M121">
        <f t="shared" ca="1" si="33"/>
        <v>0</v>
      </c>
      <c r="N121" s="6">
        <f t="shared" si="34"/>
        <v>1200</v>
      </c>
      <c r="O121" s="6">
        <f t="shared" ca="1" si="35"/>
        <v>1200</v>
      </c>
      <c r="P121">
        <f t="shared" si="36"/>
        <v>0</v>
      </c>
      <c r="Q121" s="6">
        <f t="shared" si="26"/>
        <v>0</v>
      </c>
      <c r="R121" s="296">
        <v>13.6</v>
      </c>
      <c r="S121">
        <f t="shared" si="27"/>
        <v>5178.88</v>
      </c>
      <c r="T121">
        <f t="shared" si="28"/>
        <v>4764.5696000000007</v>
      </c>
      <c r="U121">
        <f t="shared" ca="1" si="29"/>
        <v>0</v>
      </c>
      <c r="V121">
        <f t="shared" si="37"/>
        <v>4764.5696000000007</v>
      </c>
      <c r="W121">
        <f t="shared" ca="1" si="39"/>
        <v>1200</v>
      </c>
      <c r="X121">
        <f t="shared" ca="1" si="38"/>
        <v>2000</v>
      </c>
      <c r="Y121" s="297" t="str">
        <f t="shared" ca="1" si="30"/>
        <v>Yes</v>
      </c>
    </row>
    <row r="122" spans="1:25" outlineLevel="1" x14ac:dyDescent="0.75">
      <c r="A122" s="304">
        <f>Consumption!A122</f>
        <v>41385</v>
      </c>
      <c r="B122" s="305">
        <f>Consumption!B122</f>
        <v>0</v>
      </c>
      <c r="C122" s="41">
        <f ca="1">Consumption!C122</f>
        <v>0</v>
      </c>
      <c r="D122" s="41">
        <f t="shared" si="20"/>
        <v>0.219</v>
      </c>
      <c r="E122" s="41">
        <f t="shared" ca="1" si="31"/>
        <v>5.4709999999999983</v>
      </c>
      <c r="F122" s="306">
        <f ca="1">'Pump Main'!$M$3*1000</f>
        <v>124614.17111887744</v>
      </c>
      <c r="G122" s="41">
        <f t="shared" ca="1" si="21"/>
        <v>0</v>
      </c>
      <c r="H122" s="6">
        <f t="shared" ca="1" si="22"/>
        <v>0</v>
      </c>
      <c r="I122" s="6">
        <f t="shared" ca="1" si="32"/>
        <v>0</v>
      </c>
      <c r="J122" s="6">
        <f t="shared" ca="1" si="23"/>
        <v>0</v>
      </c>
      <c r="K122" s="6">
        <f t="shared" ca="1" si="24"/>
        <v>0</v>
      </c>
      <c r="L122" s="6">
        <f t="shared" ca="1" si="25"/>
        <v>0</v>
      </c>
      <c r="M122">
        <f t="shared" ca="1" si="33"/>
        <v>0</v>
      </c>
      <c r="N122" s="6">
        <f t="shared" si="34"/>
        <v>1200</v>
      </c>
      <c r="O122" s="6">
        <f t="shared" ca="1" si="35"/>
        <v>1200</v>
      </c>
      <c r="P122">
        <f t="shared" si="36"/>
        <v>0</v>
      </c>
      <c r="Q122" s="6">
        <f t="shared" si="26"/>
        <v>0</v>
      </c>
      <c r="R122" s="296">
        <v>13.6</v>
      </c>
      <c r="S122">
        <f t="shared" si="27"/>
        <v>5178.88</v>
      </c>
      <c r="T122">
        <f t="shared" si="28"/>
        <v>4764.5696000000007</v>
      </c>
      <c r="U122">
        <f t="shared" ca="1" si="29"/>
        <v>0</v>
      </c>
      <c r="V122">
        <f t="shared" si="37"/>
        <v>4764.5696000000007</v>
      </c>
      <c r="W122">
        <f t="shared" ca="1" si="39"/>
        <v>1200</v>
      </c>
      <c r="X122">
        <f t="shared" ca="1" si="38"/>
        <v>2000</v>
      </c>
      <c r="Y122" s="297" t="str">
        <f t="shared" ca="1" si="30"/>
        <v>Yes</v>
      </c>
    </row>
    <row r="123" spans="1:25" outlineLevel="1" x14ac:dyDescent="0.75">
      <c r="A123" s="304">
        <f>Consumption!A123</f>
        <v>41386</v>
      </c>
      <c r="B123" s="305">
        <f>Consumption!B123</f>
        <v>0</v>
      </c>
      <c r="C123" s="41">
        <f ca="1">Consumption!C123</f>
        <v>0</v>
      </c>
      <c r="D123" s="41">
        <f t="shared" si="20"/>
        <v>0.219</v>
      </c>
      <c r="E123" s="41">
        <f t="shared" ca="1" si="31"/>
        <v>5.251999999999998</v>
      </c>
      <c r="F123" s="306">
        <f ca="1">'Pump Main'!$M$3*1000</f>
        <v>124614.17111887744</v>
      </c>
      <c r="G123" s="41">
        <f t="shared" ca="1" si="21"/>
        <v>0</v>
      </c>
      <c r="H123" s="6">
        <f t="shared" ca="1" si="22"/>
        <v>0</v>
      </c>
      <c r="I123" s="6">
        <f t="shared" ca="1" si="32"/>
        <v>0</v>
      </c>
      <c r="J123" s="6">
        <f t="shared" ca="1" si="23"/>
        <v>0</v>
      </c>
      <c r="K123" s="6">
        <f t="shared" ca="1" si="24"/>
        <v>0</v>
      </c>
      <c r="L123" s="6">
        <f t="shared" ca="1" si="25"/>
        <v>0</v>
      </c>
      <c r="M123">
        <f t="shared" ca="1" si="33"/>
        <v>0</v>
      </c>
      <c r="N123" s="6">
        <f t="shared" si="34"/>
        <v>1200</v>
      </c>
      <c r="O123" s="6">
        <f t="shared" ca="1" si="35"/>
        <v>1200</v>
      </c>
      <c r="P123">
        <f t="shared" si="36"/>
        <v>0</v>
      </c>
      <c r="Q123" s="6">
        <f t="shared" si="26"/>
        <v>0</v>
      </c>
      <c r="R123" s="296">
        <v>13.6</v>
      </c>
      <c r="S123">
        <f t="shared" si="27"/>
        <v>5178.88</v>
      </c>
      <c r="T123">
        <f t="shared" si="28"/>
        <v>4764.5696000000007</v>
      </c>
      <c r="U123">
        <f t="shared" ca="1" si="29"/>
        <v>0</v>
      </c>
      <c r="V123">
        <f t="shared" si="37"/>
        <v>4764.5696000000007</v>
      </c>
      <c r="W123">
        <f t="shared" ca="1" si="39"/>
        <v>1200</v>
      </c>
      <c r="X123">
        <f t="shared" ca="1" si="38"/>
        <v>2000</v>
      </c>
      <c r="Y123" s="297" t="str">
        <f t="shared" ca="1" si="30"/>
        <v>Yes</v>
      </c>
    </row>
    <row r="124" spans="1:25" outlineLevel="1" x14ac:dyDescent="0.75">
      <c r="A124" s="304">
        <f>Consumption!A124</f>
        <v>41387</v>
      </c>
      <c r="B124" s="305">
        <f>Consumption!B124</f>
        <v>0</v>
      </c>
      <c r="C124" s="41">
        <f ca="1">Consumption!C124</f>
        <v>0</v>
      </c>
      <c r="D124" s="41">
        <f t="shared" si="20"/>
        <v>0.219</v>
      </c>
      <c r="E124" s="41">
        <f t="shared" ca="1" si="31"/>
        <v>5.0329999999999977</v>
      </c>
      <c r="F124" s="306">
        <f ca="1">'Pump Main'!$M$3*1000</f>
        <v>124614.17111887744</v>
      </c>
      <c r="G124" s="41">
        <f t="shared" ca="1" si="21"/>
        <v>0</v>
      </c>
      <c r="H124" s="6">
        <f t="shared" ca="1" si="22"/>
        <v>0</v>
      </c>
      <c r="I124" s="6">
        <f t="shared" ca="1" si="32"/>
        <v>0</v>
      </c>
      <c r="J124" s="6">
        <f t="shared" ca="1" si="23"/>
        <v>0</v>
      </c>
      <c r="K124" s="6">
        <f t="shared" ca="1" si="24"/>
        <v>0</v>
      </c>
      <c r="L124" s="6">
        <f t="shared" ca="1" si="25"/>
        <v>0</v>
      </c>
      <c r="M124">
        <f t="shared" ca="1" si="33"/>
        <v>0</v>
      </c>
      <c r="N124" s="6">
        <f t="shared" si="34"/>
        <v>1200</v>
      </c>
      <c r="O124" s="6">
        <f t="shared" ca="1" si="35"/>
        <v>1200</v>
      </c>
      <c r="P124">
        <f t="shared" si="36"/>
        <v>0</v>
      </c>
      <c r="Q124" s="6">
        <f t="shared" si="26"/>
        <v>0</v>
      </c>
      <c r="R124" s="296">
        <v>13.6</v>
      </c>
      <c r="S124">
        <f t="shared" si="27"/>
        <v>5178.88</v>
      </c>
      <c r="T124">
        <f t="shared" si="28"/>
        <v>4764.5696000000007</v>
      </c>
      <c r="U124">
        <f t="shared" ca="1" si="29"/>
        <v>0</v>
      </c>
      <c r="V124">
        <f t="shared" si="37"/>
        <v>4764.5696000000007</v>
      </c>
      <c r="W124">
        <f t="shared" ca="1" si="39"/>
        <v>1200</v>
      </c>
      <c r="X124">
        <f t="shared" ca="1" si="38"/>
        <v>2000</v>
      </c>
      <c r="Y124" s="297" t="str">
        <f t="shared" ca="1" si="30"/>
        <v>Yes</v>
      </c>
    </row>
    <row r="125" spans="1:25" outlineLevel="1" x14ac:dyDescent="0.75">
      <c r="A125" s="304">
        <f>Consumption!A125</f>
        <v>41388</v>
      </c>
      <c r="B125" s="305">
        <f>Consumption!B125</f>
        <v>0.6</v>
      </c>
      <c r="C125" s="41">
        <f ca="1">Consumption!C125</f>
        <v>0.06</v>
      </c>
      <c r="D125" s="41">
        <f t="shared" si="20"/>
        <v>0.219</v>
      </c>
      <c r="E125" s="41">
        <f t="shared" ca="1" si="31"/>
        <v>4.873999999999997</v>
      </c>
      <c r="F125" s="306">
        <f ca="1">'Pump Main'!$M$3*1000</f>
        <v>124614.17111887744</v>
      </c>
      <c r="G125" s="41">
        <f t="shared" ca="1" si="21"/>
        <v>7476.850267132646</v>
      </c>
      <c r="H125" s="6">
        <f t="shared" ca="1" si="22"/>
        <v>12696.423758932793</v>
      </c>
      <c r="I125" s="6">
        <f t="shared" ca="1" si="32"/>
        <v>3.5267843774813312</v>
      </c>
      <c r="J125" s="6">
        <f t="shared" ca="1" si="23"/>
        <v>300</v>
      </c>
      <c r="K125" s="6">
        <f t="shared" ca="1" si="24"/>
        <v>0.3</v>
      </c>
      <c r="L125" s="6">
        <f t="shared" ca="1" si="25"/>
        <v>0.6</v>
      </c>
      <c r="M125">
        <f t="shared" ca="1" si="33"/>
        <v>166.66666666666666</v>
      </c>
      <c r="N125" s="6">
        <f t="shared" si="34"/>
        <v>1200</v>
      </c>
      <c r="O125" s="6">
        <f t="shared" ca="1" si="35"/>
        <v>1370.1934510441479</v>
      </c>
      <c r="P125">
        <f t="shared" si="36"/>
        <v>0</v>
      </c>
      <c r="Q125" s="6">
        <f t="shared" si="26"/>
        <v>0</v>
      </c>
      <c r="R125" s="296">
        <v>13.6</v>
      </c>
      <c r="S125">
        <f t="shared" si="27"/>
        <v>5178.88</v>
      </c>
      <c r="T125">
        <f t="shared" si="28"/>
        <v>4764.5696000000007</v>
      </c>
      <c r="U125">
        <f t="shared" ca="1" si="29"/>
        <v>0</v>
      </c>
      <c r="V125">
        <f t="shared" si="37"/>
        <v>4764.5696000000007</v>
      </c>
      <c r="W125">
        <f t="shared" ca="1" si="39"/>
        <v>1370.1934510441479</v>
      </c>
      <c r="X125">
        <f t="shared" ca="1" si="38"/>
        <v>2000</v>
      </c>
      <c r="Y125" s="297" t="str">
        <f t="shared" ca="1" si="30"/>
        <v>Yes</v>
      </c>
    </row>
    <row r="126" spans="1:25" outlineLevel="1" x14ac:dyDescent="0.75">
      <c r="A126" s="304">
        <f>Consumption!A126</f>
        <v>41389</v>
      </c>
      <c r="B126" s="305">
        <f>Consumption!B126</f>
        <v>1.2</v>
      </c>
      <c r="C126" s="41">
        <f ca="1">Consumption!C126</f>
        <v>0.12</v>
      </c>
      <c r="D126" s="41">
        <f t="shared" si="20"/>
        <v>0.219</v>
      </c>
      <c r="E126" s="41">
        <f t="shared" ca="1" si="31"/>
        <v>4.7749999999999968</v>
      </c>
      <c r="F126" s="306">
        <f ca="1">'Pump Main'!$M$3*1000</f>
        <v>124614.17111887744</v>
      </c>
      <c r="G126" s="41">
        <f t="shared" ca="1" si="21"/>
        <v>14953.700534265292</v>
      </c>
      <c r="H126" s="6">
        <f t="shared" ca="1" si="22"/>
        <v>25392.847517865586</v>
      </c>
      <c r="I126" s="6">
        <f t="shared" ca="1" si="32"/>
        <v>7.0535687549626624</v>
      </c>
      <c r="J126" s="6">
        <f t="shared" ca="1" si="23"/>
        <v>600</v>
      </c>
      <c r="K126" s="6">
        <f t="shared" ca="1" si="24"/>
        <v>0.6</v>
      </c>
      <c r="L126" s="6">
        <f t="shared" ca="1" si="25"/>
        <v>1.2</v>
      </c>
      <c r="M126">
        <f t="shared" ca="1" si="33"/>
        <v>333.33333333333331</v>
      </c>
      <c r="N126" s="6">
        <f t="shared" si="34"/>
        <v>1200</v>
      </c>
      <c r="O126" s="6">
        <f t="shared" ca="1" si="35"/>
        <v>1540.386902088296</v>
      </c>
      <c r="P126">
        <f t="shared" si="36"/>
        <v>0</v>
      </c>
      <c r="Q126" s="6">
        <f t="shared" si="26"/>
        <v>0</v>
      </c>
      <c r="R126" s="296">
        <v>13.6</v>
      </c>
      <c r="S126">
        <f t="shared" si="27"/>
        <v>5178.88</v>
      </c>
      <c r="T126">
        <f t="shared" si="28"/>
        <v>4764.5696000000007</v>
      </c>
      <c r="U126">
        <f t="shared" ca="1" si="29"/>
        <v>0</v>
      </c>
      <c r="V126">
        <f t="shared" si="37"/>
        <v>4764.5696000000007</v>
      </c>
      <c r="W126">
        <f t="shared" ca="1" si="39"/>
        <v>1540.386902088296</v>
      </c>
      <c r="X126">
        <f t="shared" ca="1" si="38"/>
        <v>2000</v>
      </c>
      <c r="Y126" s="297" t="str">
        <f t="shared" ca="1" si="30"/>
        <v>Yes</v>
      </c>
    </row>
    <row r="127" spans="1:25" outlineLevel="1" x14ac:dyDescent="0.75">
      <c r="A127" s="304">
        <f>Consumption!A127</f>
        <v>41390</v>
      </c>
      <c r="B127" s="305">
        <f>Consumption!B127</f>
        <v>18.600000000000001</v>
      </c>
      <c r="C127" s="41">
        <f ca="1">Consumption!C127</f>
        <v>1.8600000000000003</v>
      </c>
      <c r="D127" s="41">
        <f t="shared" si="20"/>
        <v>0.219</v>
      </c>
      <c r="E127" s="41">
        <f t="shared" ca="1" si="31"/>
        <v>6.4159999999999968</v>
      </c>
      <c r="F127" s="306">
        <f ca="1">'Pump Main'!$M$3*1000</f>
        <v>124614.17111887744</v>
      </c>
      <c r="G127" s="41">
        <f t="shared" ca="1" si="21"/>
        <v>231782.35828111207</v>
      </c>
      <c r="H127" s="6">
        <f t="shared" ca="1" si="22"/>
        <v>393589.13652691664</v>
      </c>
      <c r="I127" s="6">
        <f t="shared" ca="1" si="32"/>
        <v>109.33031570192129</v>
      </c>
      <c r="J127" s="6">
        <f t="shared" ca="1" si="23"/>
        <v>9300</v>
      </c>
      <c r="K127" s="6">
        <f t="shared" ca="1" si="24"/>
        <v>9.3000000000000007</v>
      </c>
      <c r="L127" s="6">
        <f t="shared" ca="1" si="25"/>
        <v>18.600000000000001</v>
      </c>
      <c r="M127">
        <f t="shared" ca="1" si="33"/>
        <v>5166.666666666667</v>
      </c>
      <c r="N127" s="6">
        <f t="shared" si="34"/>
        <v>1200</v>
      </c>
      <c r="O127" s="6">
        <f t="shared" ca="1" si="35"/>
        <v>6475.9969823685879</v>
      </c>
      <c r="P127">
        <f t="shared" si="36"/>
        <v>0</v>
      </c>
      <c r="Q127" s="6">
        <f t="shared" si="26"/>
        <v>0</v>
      </c>
      <c r="R127" s="296">
        <v>13.6</v>
      </c>
      <c r="S127">
        <f t="shared" si="27"/>
        <v>5178.88</v>
      </c>
      <c r="T127">
        <f t="shared" si="28"/>
        <v>4764.5696000000007</v>
      </c>
      <c r="U127">
        <f t="shared" ca="1" si="29"/>
        <v>0</v>
      </c>
      <c r="V127">
        <f t="shared" si="37"/>
        <v>4764.5696000000007</v>
      </c>
      <c r="W127">
        <f t="shared" ca="1" si="39"/>
        <v>6311.0273433600005</v>
      </c>
      <c r="X127">
        <f t="shared" ca="1" si="38"/>
        <v>0</v>
      </c>
      <c r="Y127" s="297" t="str">
        <f t="shared" ca="1" si="30"/>
        <v>No</v>
      </c>
    </row>
    <row r="128" spans="1:25" outlineLevel="1" x14ac:dyDescent="0.75">
      <c r="A128" s="304">
        <f>Consumption!A128</f>
        <v>41391</v>
      </c>
      <c r="B128" s="305">
        <f>Consumption!B128</f>
        <v>2.8</v>
      </c>
      <c r="C128" s="41">
        <f ca="1">Consumption!C128</f>
        <v>0.28000000000000003</v>
      </c>
      <c r="D128" s="41">
        <f t="shared" si="20"/>
        <v>0.219</v>
      </c>
      <c r="E128" s="41">
        <f t="shared" ca="1" si="31"/>
        <v>6.4769999999999968</v>
      </c>
      <c r="F128" s="306">
        <f ca="1">'Pump Main'!$M$3*1000</f>
        <v>124614.17111887744</v>
      </c>
      <c r="G128" s="41">
        <f t="shared" ca="1" si="21"/>
        <v>34891.967913285684</v>
      </c>
      <c r="H128" s="6">
        <f t="shared" ca="1" si="22"/>
        <v>59249.97754168637</v>
      </c>
      <c r="I128" s="6">
        <f t="shared" ca="1" si="32"/>
        <v>16.458327094912882</v>
      </c>
      <c r="J128" s="6">
        <f t="shared" ca="1" si="23"/>
        <v>1400.0000000000002</v>
      </c>
      <c r="K128" s="6">
        <f t="shared" ca="1" si="24"/>
        <v>1.4000000000000001</v>
      </c>
      <c r="L128" s="6">
        <f t="shared" ca="1" si="25"/>
        <v>2.8000000000000003</v>
      </c>
      <c r="M128">
        <f t="shared" ca="1" si="33"/>
        <v>777.77777777777794</v>
      </c>
      <c r="N128" s="6">
        <f t="shared" si="34"/>
        <v>1200</v>
      </c>
      <c r="O128" s="6">
        <f t="shared" ca="1" si="35"/>
        <v>1994.2361048726907</v>
      </c>
      <c r="P128">
        <f t="shared" si="36"/>
        <v>0</v>
      </c>
      <c r="Q128" s="6">
        <f t="shared" si="26"/>
        <v>0</v>
      </c>
      <c r="R128" s="296">
        <v>13.6</v>
      </c>
      <c r="S128">
        <f t="shared" si="27"/>
        <v>5178.88</v>
      </c>
      <c r="T128">
        <f t="shared" si="28"/>
        <v>4764.5696000000007</v>
      </c>
      <c r="U128">
        <f t="shared" ca="1" si="29"/>
        <v>0</v>
      </c>
      <c r="V128">
        <f t="shared" si="37"/>
        <v>4764.5696000000007</v>
      </c>
      <c r="W128">
        <f t="shared" ca="1" si="39"/>
        <v>1994.2361048726907</v>
      </c>
      <c r="X128">
        <f t="shared" ca="1" si="38"/>
        <v>2000</v>
      </c>
      <c r="Y128" s="297" t="str">
        <f t="shared" ca="1" si="30"/>
        <v>Yes</v>
      </c>
    </row>
    <row r="129" spans="1:25" outlineLevel="1" x14ac:dyDescent="0.75">
      <c r="A129" s="304">
        <f>Consumption!A129</f>
        <v>41392</v>
      </c>
      <c r="B129" s="305">
        <f>Consumption!B129</f>
        <v>7</v>
      </c>
      <c r="C129" s="41">
        <f ca="1">Consumption!C129</f>
        <v>0.7</v>
      </c>
      <c r="D129" s="41">
        <f t="shared" si="20"/>
        <v>0.219</v>
      </c>
      <c r="E129" s="41">
        <f t="shared" ca="1" si="31"/>
        <v>6.9579999999999966</v>
      </c>
      <c r="F129" s="306">
        <f ca="1">'Pump Main'!$M$3*1000</f>
        <v>124614.17111887744</v>
      </c>
      <c r="G129" s="41">
        <f t="shared" ca="1" si="21"/>
        <v>87229.919783214194</v>
      </c>
      <c r="H129" s="6">
        <f t="shared" ca="1" si="22"/>
        <v>148124.9438542159</v>
      </c>
      <c r="I129" s="6">
        <f t="shared" ca="1" si="32"/>
        <v>41.145817737282194</v>
      </c>
      <c r="J129" s="6">
        <f t="shared" ca="1" si="23"/>
        <v>3500</v>
      </c>
      <c r="K129" s="6">
        <f t="shared" ca="1" si="24"/>
        <v>3.5</v>
      </c>
      <c r="L129" s="6">
        <f t="shared" ca="1" si="25"/>
        <v>7</v>
      </c>
      <c r="M129">
        <f t="shared" ca="1" si="33"/>
        <v>1944.4444444444443</v>
      </c>
      <c r="N129" s="6">
        <f t="shared" si="34"/>
        <v>1200</v>
      </c>
      <c r="O129" s="6">
        <f t="shared" ca="1" si="35"/>
        <v>3185.5902621817268</v>
      </c>
      <c r="P129">
        <f t="shared" si="36"/>
        <v>0</v>
      </c>
      <c r="Q129" s="6">
        <f t="shared" si="26"/>
        <v>0</v>
      </c>
      <c r="R129" s="296">
        <v>13.6</v>
      </c>
      <c r="S129">
        <f t="shared" si="27"/>
        <v>5178.88</v>
      </c>
      <c r="T129">
        <f t="shared" si="28"/>
        <v>4764.5696000000007</v>
      </c>
      <c r="U129">
        <f t="shared" ca="1" si="29"/>
        <v>0</v>
      </c>
      <c r="V129">
        <f t="shared" si="37"/>
        <v>4764.5696000000007</v>
      </c>
      <c r="W129">
        <f t="shared" ca="1" si="39"/>
        <v>3185.5902621817268</v>
      </c>
      <c r="X129">
        <f t="shared" ca="1" si="38"/>
        <v>2000</v>
      </c>
      <c r="Y129" s="297" t="str">
        <f t="shared" ca="1" si="30"/>
        <v>Yes</v>
      </c>
    </row>
    <row r="130" spans="1:25" outlineLevel="1" x14ac:dyDescent="0.75">
      <c r="A130" s="304">
        <f>Consumption!A130</f>
        <v>41393</v>
      </c>
      <c r="B130" s="305">
        <f>Consumption!B130</f>
        <v>0</v>
      </c>
      <c r="C130" s="41">
        <f ca="1">Consumption!C130</f>
        <v>0</v>
      </c>
      <c r="D130" s="41">
        <f t="shared" si="20"/>
        <v>0.219</v>
      </c>
      <c r="E130" s="41">
        <f t="shared" ca="1" si="31"/>
        <v>6.7389999999999963</v>
      </c>
      <c r="F130" s="306">
        <f ca="1">'Pump Main'!$M$3*1000</f>
        <v>124614.17111887744</v>
      </c>
      <c r="G130" s="41">
        <f t="shared" ca="1" si="21"/>
        <v>0</v>
      </c>
      <c r="H130" s="6">
        <f t="shared" ca="1" si="22"/>
        <v>0</v>
      </c>
      <c r="I130" s="6">
        <f t="shared" ca="1" si="32"/>
        <v>0</v>
      </c>
      <c r="J130" s="6">
        <f t="shared" ca="1" si="23"/>
        <v>0</v>
      </c>
      <c r="K130" s="6">
        <f t="shared" ca="1" si="24"/>
        <v>0</v>
      </c>
      <c r="L130" s="6">
        <f t="shared" ca="1" si="25"/>
        <v>0</v>
      </c>
      <c r="M130">
        <f t="shared" ca="1" si="33"/>
        <v>0</v>
      </c>
      <c r="N130" s="6">
        <f t="shared" si="34"/>
        <v>1200</v>
      </c>
      <c r="O130" s="6">
        <f t="shared" ca="1" si="35"/>
        <v>1200</v>
      </c>
      <c r="P130">
        <f t="shared" si="36"/>
        <v>0</v>
      </c>
      <c r="Q130" s="6">
        <f t="shared" si="26"/>
        <v>0</v>
      </c>
      <c r="R130" s="296">
        <v>13.6</v>
      </c>
      <c r="S130">
        <f t="shared" si="27"/>
        <v>5178.88</v>
      </c>
      <c r="T130">
        <f t="shared" si="28"/>
        <v>4764.5696000000007</v>
      </c>
      <c r="U130">
        <f t="shared" ca="1" si="29"/>
        <v>0</v>
      </c>
      <c r="V130">
        <f t="shared" si="37"/>
        <v>4764.5696000000007</v>
      </c>
      <c r="W130">
        <f t="shared" ca="1" si="39"/>
        <v>1200</v>
      </c>
      <c r="X130">
        <f t="shared" ca="1" si="38"/>
        <v>2000</v>
      </c>
      <c r="Y130" s="297" t="str">
        <f t="shared" ca="1" si="30"/>
        <v>Yes</v>
      </c>
    </row>
    <row r="131" spans="1:25" outlineLevel="1" x14ac:dyDescent="0.75">
      <c r="A131" s="304">
        <f>Consumption!A131</f>
        <v>41394</v>
      </c>
      <c r="B131" s="305">
        <f>Consumption!B131</f>
        <v>0.2</v>
      </c>
      <c r="C131" s="41">
        <f ca="1">Consumption!C131</f>
        <v>0.02</v>
      </c>
      <c r="D131" s="41">
        <f t="shared" si="20"/>
        <v>0.219</v>
      </c>
      <c r="E131" s="41">
        <f t="shared" ca="1" si="31"/>
        <v>6.5399999999999956</v>
      </c>
      <c r="F131" s="306">
        <f ca="1">'Pump Main'!$M$3*1000</f>
        <v>124614.17111887744</v>
      </c>
      <c r="G131" s="41">
        <f t="shared" ca="1" si="21"/>
        <v>2492.283422377549</v>
      </c>
      <c r="H131" s="6">
        <f t="shared" ca="1" si="22"/>
        <v>4232.141252977598</v>
      </c>
      <c r="I131" s="6">
        <f t="shared" ca="1" si="32"/>
        <v>1.1755947924937773</v>
      </c>
      <c r="J131" s="6">
        <f t="shared" ca="1" si="23"/>
        <v>100</v>
      </c>
      <c r="K131" s="6">
        <f t="shared" ca="1" si="24"/>
        <v>0.1</v>
      </c>
      <c r="L131" s="6">
        <f t="shared" ca="1" si="25"/>
        <v>0.2</v>
      </c>
      <c r="M131">
        <f t="shared" ca="1" si="33"/>
        <v>55.555555555555557</v>
      </c>
      <c r="N131" s="6">
        <f t="shared" si="34"/>
        <v>1200</v>
      </c>
      <c r="O131" s="6">
        <f t="shared" ca="1" si="35"/>
        <v>1256.7311503480494</v>
      </c>
      <c r="P131">
        <f t="shared" si="36"/>
        <v>0</v>
      </c>
      <c r="Q131" s="6">
        <f t="shared" si="26"/>
        <v>0</v>
      </c>
      <c r="R131" s="296">
        <v>13.6</v>
      </c>
      <c r="S131">
        <f t="shared" si="27"/>
        <v>5178.88</v>
      </c>
      <c r="T131">
        <f t="shared" si="28"/>
        <v>4764.5696000000007</v>
      </c>
      <c r="U131">
        <f t="shared" ca="1" si="29"/>
        <v>0</v>
      </c>
      <c r="V131">
        <f t="shared" si="37"/>
        <v>4764.5696000000007</v>
      </c>
      <c r="W131">
        <f t="shared" ca="1" si="39"/>
        <v>1256.7311503480494</v>
      </c>
      <c r="X131">
        <f t="shared" ca="1" si="38"/>
        <v>2000</v>
      </c>
      <c r="Y131" s="297" t="str">
        <f t="shared" ca="1" si="30"/>
        <v>Yes</v>
      </c>
    </row>
    <row r="132" spans="1:25" outlineLevel="1" x14ac:dyDescent="0.75">
      <c r="A132" s="304">
        <f>Consumption!A132</f>
        <v>41395</v>
      </c>
      <c r="B132" s="305">
        <f>Consumption!B132</f>
        <v>0.2</v>
      </c>
      <c r="C132" s="41">
        <f ca="1">Consumption!C132</f>
        <v>0.02</v>
      </c>
      <c r="D132" s="41">
        <f t="shared" si="20"/>
        <v>0.219</v>
      </c>
      <c r="E132" s="41">
        <f t="shared" ca="1" si="31"/>
        <v>6.3409999999999949</v>
      </c>
      <c r="F132" s="306">
        <f ca="1">'Pump Main'!$M$3*1000</f>
        <v>124614.17111887744</v>
      </c>
      <c r="G132" s="41">
        <f t="shared" ca="1" si="21"/>
        <v>2492.283422377549</v>
      </c>
      <c r="H132" s="6">
        <f t="shared" ca="1" si="22"/>
        <v>4232.141252977598</v>
      </c>
      <c r="I132" s="6">
        <f t="shared" ca="1" si="32"/>
        <v>1.1755947924937773</v>
      </c>
      <c r="J132" s="6">
        <f t="shared" ca="1" si="23"/>
        <v>100</v>
      </c>
      <c r="K132" s="6">
        <f t="shared" ca="1" si="24"/>
        <v>0.1</v>
      </c>
      <c r="L132" s="6">
        <f t="shared" ca="1" si="25"/>
        <v>0.2</v>
      </c>
      <c r="M132">
        <f t="shared" ca="1" si="33"/>
        <v>55.555555555555557</v>
      </c>
      <c r="N132" s="6">
        <f t="shared" si="34"/>
        <v>1200</v>
      </c>
      <c r="O132" s="6">
        <f t="shared" ca="1" si="35"/>
        <v>1256.7311503480494</v>
      </c>
      <c r="P132">
        <f t="shared" si="36"/>
        <v>0</v>
      </c>
      <c r="Q132" s="6">
        <f t="shared" si="26"/>
        <v>0</v>
      </c>
      <c r="R132" s="296">
        <v>15.3</v>
      </c>
      <c r="S132">
        <f t="shared" si="27"/>
        <v>5826.2400000000007</v>
      </c>
      <c r="T132">
        <f t="shared" si="28"/>
        <v>5360.140800000001</v>
      </c>
      <c r="U132">
        <f t="shared" ca="1" si="29"/>
        <v>0</v>
      </c>
      <c r="V132">
        <f t="shared" si="37"/>
        <v>5360.140800000001</v>
      </c>
      <c r="W132">
        <f t="shared" ca="1" si="39"/>
        <v>1256.7311503480494</v>
      </c>
      <c r="X132">
        <f t="shared" ca="1" si="38"/>
        <v>2000</v>
      </c>
      <c r="Y132" s="297" t="str">
        <f t="shared" ca="1" si="30"/>
        <v>Yes</v>
      </c>
    </row>
    <row r="133" spans="1:25" outlineLevel="1" x14ac:dyDescent="0.75">
      <c r="A133" s="304">
        <f>Consumption!A133</f>
        <v>41396</v>
      </c>
      <c r="B133" s="305">
        <f>Consumption!B133</f>
        <v>1</v>
      </c>
      <c r="C133" s="41">
        <f ca="1">Consumption!C133</f>
        <v>0.1</v>
      </c>
      <c r="D133" s="41">
        <f t="shared" si="20"/>
        <v>0.219</v>
      </c>
      <c r="E133" s="41">
        <f t="shared" ca="1" si="31"/>
        <v>6.2219999999999942</v>
      </c>
      <c r="F133" s="306">
        <f ca="1">'Pump Main'!$M$3*1000</f>
        <v>124614.17111887744</v>
      </c>
      <c r="G133" s="41">
        <f t="shared" ca="1" si="21"/>
        <v>12461.417111887744</v>
      </c>
      <c r="H133" s="6">
        <f t="shared" ca="1" si="22"/>
        <v>21160.706264887987</v>
      </c>
      <c r="I133" s="6">
        <f t="shared" ca="1" si="32"/>
        <v>5.8779739624688858</v>
      </c>
      <c r="J133" s="6">
        <f t="shared" ca="1" si="23"/>
        <v>500</v>
      </c>
      <c r="K133" s="6">
        <f t="shared" ca="1" si="24"/>
        <v>0.5</v>
      </c>
      <c r="L133" s="6">
        <f t="shared" ca="1" si="25"/>
        <v>1</v>
      </c>
      <c r="M133">
        <f t="shared" ca="1" si="33"/>
        <v>277.77777777777777</v>
      </c>
      <c r="N133" s="6">
        <f t="shared" si="34"/>
        <v>1200</v>
      </c>
      <c r="O133" s="6">
        <f t="shared" ca="1" si="35"/>
        <v>1483.6557517402466</v>
      </c>
      <c r="P133">
        <f t="shared" si="36"/>
        <v>0</v>
      </c>
      <c r="Q133" s="6">
        <f t="shared" si="26"/>
        <v>0</v>
      </c>
      <c r="R133" s="296">
        <v>15.3</v>
      </c>
      <c r="S133">
        <f t="shared" si="27"/>
        <v>5826.2400000000007</v>
      </c>
      <c r="T133">
        <f t="shared" si="28"/>
        <v>5360.140800000001</v>
      </c>
      <c r="U133">
        <f t="shared" ca="1" si="29"/>
        <v>0</v>
      </c>
      <c r="V133">
        <f t="shared" si="37"/>
        <v>5360.140800000001</v>
      </c>
      <c r="W133">
        <f t="shared" ca="1" si="39"/>
        <v>1483.6557517402466</v>
      </c>
      <c r="X133">
        <f t="shared" ca="1" si="38"/>
        <v>2000</v>
      </c>
      <c r="Y133" s="297" t="str">
        <f t="shared" ca="1" si="30"/>
        <v>Yes</v>
      </c>
    </row>
    <row r="134" spans="1:25" outlineLevel="1" x14ac:dyDescent="0.75">
      <c r="A134" s="304">
        <f>Consumption!A134</f>
        <v>41397</v>
      </c>
      <c r="B134" s="305">
        <f>Consumption!B134</f>
        <v>0</v>
      </c>
      <c r="C134" s="41">
        <f ca="1">Consumption!C134</f>
        <v>0</v>
      </c>
      <c r="D134" s="41">
        <f t="shared" si="20"/>
        <v>0.219</v>
      </c>
      <c r="E134" s="41">
        <f t="shared" ca="1" si="31"/>
        <v>6.0029999999999939</v>
      </c>
      <c r="F134" s="306">
        <f ca="1">'Pump Main'!$M$3*1000</f>
        <v>124614.17111887744</v>
      </c>
      <c r="G134" s="41">
        <f t="shared" ca="1" si="21"/>
        <v>0</v>
      </c>
      <c r="H134" s="6">
        <f t="shared" ca="1" si="22"/>
        <v>0</v>
      </c>
      <c r="I134" s="6">
        <f t="shared" ca="1" si="32"/>
        <v>0</v>
      </c>
      <c r="J134" s="6">
        <f t="shared" ca="1" si="23"/>
        <v>0</v>
      </c>
      <c r="K134" s="6">
        <f t="shared" ca="1" si="24"/>
        <v>0</v>
      </c>
      <c r="L134" s="6">
        <f t="shared" ca="1" si="25"/>
        <v>0</v>
      </c>
      <c r="M134">
        <f t="shared" ca="1" si="33"/>
        <v>0</v>
      </c>
      <c r="N134" s="6">
        <f t="shared" si="34"/>
        <v>1200</v>
      </c>
      <c r="O134" s="6">
        <f t="shared" ca="1" si="35"/>
        <v>1200</v>
      </c>
      <c r="P134">
        <f t="shared" si="36"/>
        <v>0</v>
      </c>
      <c r="Q134" s="6">
        <f t="shared" si="26"/>
        <v>0</v>
      </c>
      <c r="R134" s="296">
        <v>15.3</v>
      </c>
      <c r="S134">
        <f t="shared" si="27"/>
        <v>5826.2400000000007</v>
      </c>
      <c r="T134">
        <f t="shared" si="28"/>
        <v>5360.140800000001</v>
      </c>
      <c r="U134">
        <f t="shared" ca="1" si="29"/>
        <v>0</v>
      </c>
      <c r="V134">
        <f t="shared" si="37"/>
        <v>5360.140800000001</v>
      </c>
      <c r="W134">
        <f t="shared" ca="1" si="39"/>
        <v>1200</v>
      </c>
      <c r="X134">
        <f t="shared" ca="1" si="38"/>
        <v>2000</v>
      </c>
      <c r="Y134" s="297" t="str">
        <f t="shared" ca="1" si="30"/>
        <v>Yes</v>
      </c>
    </row>
    <row r="135" spans="1:25" outlineLevel="1" x14ac:dyDescent="0.75">
      <c r="A135" s="304">
        <f>Consumption!A135</f>
        <v>41398</v>
      </c>
      <c r="B135" s="305">
        <f>Consumption!B135</f>
        <v>0</v>
      </c>
      <c r="C135" s="41">
        <f ca="1">Consumption!C135</f>
        <v>0</v>
      </c>
      <c r="D135" s="41">
        <f t="shared" si="20"/>
        <v>0.219</v>
      </c>
      <c r="E135" s="41">
        <f t="shared" ca="1" si="31"/>
        <v>5.7839999999999936</v>
      </c>
      <c r="F135" s="306">
        <f ca="1">'Pump Main'!$M$3*1000</f>
        <v>124614.17111887744</v>
      </c>
      <c r="G135" s="41">
        <f t="shared" ca="1" si="21"/>
        <v>0</v>
      </c>
      <c r="H135" s="6">
        <f t="shared" ca="1" si="22"/>
        <v>0</v>
      </c>
      <c r="I135" s="6">
        <f t="shared" ca="1" si="32"/>
        <v>0</v>
      </c>
      <c r="J135" s="6">
        <f t="shared" ca="1" si="23"/>
        <v>0</v>
      </c>
      <c r="K135" s="6">
        <f t="shared" ca="1" si="24"/>
        <v>0</v>
      </c>
      <c r="L135" s="6">
        <f t="shared" ca="1" si="25"/>
        <v>0</v>
      </c>
      <c r="M135">
        <f t="shared" ca="1" si="33"/>
        <v>0</v>
      </c>
      <c r="N135" s="6">
        <f t="shared" si="34"/>
        <v>1200</v>
      </c>
      <c r="O135" s="6">
        <f t="shared" ca="1" si="35"/>
        <v>1200</v>
      </c>
      <c r="P135">
        <f t="shared" si="36"/>
        <v>0</v>
      </c>
      <c r="Q135" s="6">
        <f t="shared" si="26"/>
        <v>0</v>
      </c>
      <c r="R135" s="296">
        <v>15.3</v>
      </c>
      <c r="S135">
        <f t="shared" si="27"/>
        <v>5826.2400000000007</v>
      </c>
      <c r="T135">
        <f t="shared" si="28"/>
        <v>5360.140800000001</v>
      </c>
      <c r="U135">
        <f t="shared" ca="1" si="29"/>
        <v>0</v>
      </c>
      <c r="V135">
        <f t="shared" si="37"/>
        <v>5360.140800000001</v>
      </c>
      <c r="W135">
        <f t="shared" ca="1" si="39"/>
        <v>1200</v>
      </c>
      <c r="X135">
        <f t="shared" ca="1" si="38"/>
        <v>2000</v>
      </c>
      <c r="Y135" s="297" t="str">
        <f t="shared" ca="1" si="30"/>
        <v>Yes</v>
      </c>
    </row>
    <row r="136" spans="1:25" outlineLevel="1" x14ac:dyDescent="0.75">
      <c r="A136" s="304">
        <f>Consumption!A136</f>
        <v>41399</v>
      </c>
      <c r="B136" s="305">
        <f>Consumption!B136</f>
        <v>0</v>
      </c>
      <c r="C136" s="41">
        <f ca="1">Consumption!C136</f>
        <v>0</v>
      </c>
      <c r="D136" s="41">
        <f t="shared" si="20"/>
        <v>0.219</v>
      </c>
      <c r="E136" s="41">
        <f t="shared" ca="1" si="31"/>
        <v>5.5649999999999933</v>
      </c>
      <c r="F136" s="306">
        <f ca="1">'Pump Main'!$M$3*1000</f>
        <v>124614.17111887744</v>
      </c>
      <c r="G136" s="41">
        <f t="shared" ca="1" si="21"/>
        <v>0</v>
      </c>
      <c r="H136" s="6">
        <f t="shared" ca="1" si="22"/>
        <v>0</v>
      </c>
      <c r="I136" s="6">
        <f t="shared" ca="1" si="32"/>
        <v>0</v>
      </c>
      <c r="J136" s="6">
        <f t="shared" ca="1" si="23"/>
        <v>0</v>
      </c>
      <c r="K136" s="6">
        <f t="shared" ca="1" si="24"/>
        <v>0</v>
      </c>
      <c r="L136" s="6">
        <f t="shared" ca="1" si="25"/>
        <v>0</v>
      </c>
      <c r="M136">
        <f t="shared" ca="1" si="33"/>
        <v>0</v>
      </c>
      <c r="N136" s="6">
        <f t="shared" si="34"/>
        <v>1200</v>
      </c>
      <c r="O136" s="6">
        <f t="shared" ca="1" si="35"/>
        <v>1200</v>
      </c>
      <c r="P136">
        <f t="shared" si="36"/>
        <v>0</v>
      </c>
      <c r="Q136" s="6">
        <f t="shared" si="26"/>
        <v>0</v>
      </c>
      <c r="R136" s="296">
        <v>15.3</v>
      </c>
      <c r="S136">
        <f t="shared" si="27"/>
        <v>5826.2400000000007</v>
      </c>
      <c r="T136">
        <f t="shared" si="28"/>
        <v>5360.140800000001</v>
      </c>
      <c r="U136">
        <f t="shared" ca="1" si="29"/>
        <v>0</v>
      </c>
      <c r="V136">
        <f t="shared" si="37"/>
        <v>5360.140800000001</v>
      </c>
      <c r="W136">
        <f t="shared" ca="1" si="39"/>
        <v>1200</v>
      </c>
      <c r="X136">
        <f t="shared" ca="1" si="38"/>
        <v>2000</v>
      </c>
      <c r="Y136" s="297" t="str">
        <f t="shared" ca="1" si="30"/>
        <v>Yes</v>
      </c>
    </row>
    <row r="137" spans="1:25" outlineLevel="1" x14ac:dyDescent="0.75">
      <c r="A137" s="304">
        <f>Consumption!A137</f>
        <v>41400</v>
      </c>
      <c r="B137" s="305">
        <f>Consumption!B137</f>
        <v>0</v>
      </c>
      <c r="C137" s="41">
        <f ca="1">Consumption!C137</f>
        <v>0</v>
      </c>
      <c r="D137" s="41">
        <f t="shared" si="20"/>
        <v>0.219</v>
      </c>
      <c r="E137" s="41">
        <f t="shared" ca="1" si="31"/>
        <v>5.345999999999993</v>
      </c>
      <c r="F137" s="306">
        <f ca="1">'Pump Main'!$M$3*1000</f>
        <v>124614.17111887744</v>
      </c>
      <c r="G137" s="41">
        <f t="shared" ca="1" si="21"/>
        <v>0</v>
      </c>
      <c r="H137" s="6">
        <f t="shared" ca="1" si="22"/>
        <v>0</v>
      </c>
      <c r="I137" s="6">
        <f t="shared" ca="1" si="32"/>
        <v>0</v>
      </c>
      <c r="J137" s="6">
        <f t="shared" ca="1" si="23"/>
        <v>0</v>
      </c>
      <c r="K137" s="6">
        <f t="shared" ca="1" si="24"/>
        <v>0</v>
      </c>
      <c r="L137" s="6">
        <f t="shared" ca="1" si="25"/>
        <v>0</v>
      </c>
      <c r="M137">
        <f t="shared" ca="1" si="33"/>
        <v>0</v>
      </c>
      <c r="N137" s="6">
        <f t="shared" si="34"/>
        <v>1200</v>
      </c>
      <c r="O137" s="6">
        <f t="shared" ca="1" si="35"/>
        <v>1200</v>
      </c>
      <c r="P137">
        <f t="shared" si="36"/>
        <v>0</v>
      </c>
      <c r="Q137" s="6">
        <f t="shared" si="26"/>
        <v>0</v>
      </c>
      <c r="R137" s="296">
        <v>15.3</v>
      </c>
      <c r="S137">
        <f t="shared" si="27"/>
        <v>5826.2400000000007</v>
      </c>
      <c r="T137">
        <f t="shared" si="28"/>
        <v>5360.140800000001</v>
      </c>
      <c r="U137">
        <f t="shared" ca="1" si="29"/>
        <v>0</v>
      </c>
      <c r="V137">
        <f t="shared" si="37"/>
        <v>5360.140800000001</v>
      </c>
      <c r="W137">
        <f t="shared" ca="1" si="39"/>
        <v>1200</v>
      </c>
      <c r="X137">
        <f t="shared" ca="1" si="38"/>
        <v>2000</v>
      </c>
      <c r="Y137" s="297" t="str">
        <f t="shared" ca="1" si="30"/>
        <v>Yes</v>
      </c>
    </row>
    <row r="138" spans="1:25" outlineLevel="1" x14ac:dyDescent="0.75">
      <c r="A138" s="304">
        <f>Consumption!A138</f>
        <v>41401</v>
      </c>
      <c r="B138" s="305">
        <f>Consumption!B138</f>
        <v>0</v>
      </c>
      <c r="C138" s="41">
        <f ca="1">Consumption!C138</f>
        <v>0</v>
      </c>
      <c r="D138" s="41">
        <f t="shared" si="20"/>
        <v>0.219</v>
      </c>
      <c r="E138" s="41">
        <f t="shared" ca="1" si="31"/>
        <v>5.1269999999999927</v>
      </c>
      <c r="F138" s="306">
        <f ca="1">'Pump Main'!$M$3*1000</f>
        <v>124614.17111887744</v>
      </c>
      <c r="G138" s="41">
        <f t="shared" ca="1" si="21"/>
        <v>0</v>
      </c>
      <c r="H138" s="6">
        <f t="shared" ca="1" si="22"/>
        <v>0</v>
      </c>
      <c r="I138" s="6">
        <f t="shared" ca="1" si="32"/>
        <v>0</v>
      </c>
      <c r="J138" s="6">
        <f t="shared" ca="1" si="23"/>
        <v>0</v>
      </c>
      <c r="K138" s="6">
        <f t="shared" ca="1" si="24"/>
        <v>0</v>
      </c>
      <c r="L138" s="6">
        <f t="shared" ca="1" si="25"/>
        <v>0</v>
      </c>
      <c r="M138">
        <f t="shared" ca="1" si="33"/>
        <v>0</v>
      </c>
      <c r="N138" s="6">
        <f t="shared" si="34"/>
        <v>1200</v>
      </c>
      <c r="O138" s="6">
        <f t="shared" ca="1" si="35"/>
        <v>1200</v>
      </c>
      <c r="P138">
        <f t="shared" si="36"/>
        <v>0</v>
      </c>
      <c r="Q138" s="6">
        <f t="shared" si="26"/>
        <v>0</v>
      </c>
      <c r="R138" s="296">
        <v>15.3</v>
      </c>
      <c r="S138">
        <f t="shared" si="27"/>
        <v>5826.2400000000007</v>
      </c>
      <c r="T138">
        <f t="shared" si="28"/>
        <v>5360.140800000001</v>
      </c>
      <c r="U138">
        <f t="shared" ca="1" si="29"/>
        <v>0</v>
      </c>
      <c r="V138">
        <f t="shared" si="37"/>
        <v>5360.140800000001</v>
      </c>
      <c r="W138">
        <f t="shared" ca="1" si="39"/>
        <v>1200</v>
      </c>
      <c r="X138">
        <f t="shared" ca="1" si="38"/>
        <v>2000</v>
      </c>
      <c r="Y138" s="297" t="str">
        <f t="shared" ca="1" si="30"/>
        <v>Yes</v>
      </c>
    </row>
    <row r="139" spans="1:25" outlineLevel="1" x14ac:dyDescent="0.75">
      <c r="A139" s="304">
        <f>Consumption!A139</f>
        <v>41402</v>
      </c>
      <c r="B139" s="305">
        <f>Consumption!B139</f>
        <v>0</v>
      </c>
      <c r="C139" s="41">
        <f ca="1">Consumption!C139</f>
        <v>0</v>
      </c>
      <c r="D139" s="41">
        <f t="shared" si="20"/>
        <v>0.219</v>
      </c>
      <c r="E139" s="41">
        <f t="shared" ca="1" si="31"/>
        <v>4.9079999999999924</v>
      </c>
      <c r="F139" s="306">
        <f ca="1">'Pump Main'!$M$3*1000</f>
        <v>124614.17111887744</v>
      </c>
      <c r="G139" s="41">
        <f t="shared" ca="1" si="21"/>
        <v>0</v>
      </c>
      <c r="H139" s="6">
        <f t="shared" ca="1" si="22"/>
        <v>0</v>
      </c>
      <c r="I139" s="6">
        <f t="shared" ca="1" si="32"/>
        <v>0</v>
      </c>
      <c r="J139" s="6">
        <f t="shared" ca="1" si="23"/>
        <v>0</v>
      </c>
      <c r="K139" s="6">
        <f t="shared" ca="1" si="24"/>
        <v>0</v>
      </c>
      <c r="L139" s="6">
        <f t="shared" ca="1" si="25"/>
        <v>0</v>
      </c>
      <c r="M139">
        <f t="shared" ca="1" si="33"/>
        <v>0</v>
      </c>
      <c r="N139" s="6">
        <f t="shared" si="34"/>
        <v>1200</v>
      </c>
      <c r="O139" s="6">
        <f t="shared" ca="1" si="35"/>
        <v>1200</v>
      </c>
      <c r="P139">
        <f t="shared" si="36"/>
        <v>0</v>
      </c>
      <c r="Q139" s="6">
        <f t="shared" si="26"/>
        <v>0</v>
      </c>
      <c r="R139" s="296">
        <v>15.3</v>
      </c>
      <c r="S139">
        <f t="shared" si="27"/>
        <v>5826.2400000000007</v>
      </c>
      <c r="T139">
        <f t="shared" si="28"/>
        <v>5360.140800000001</v>
      </c>
      <c r="U139">
        <f t="shared" ca="1" si="29"/>
        <v>0</v>
      </c>
      <c r="V139">
        <f t="shared" si="37"/>
        <v>5360.140800000001</v>
      </c>
      <c r="W139">
        <f t="shared" ca="1" si="39"/>
        <v>1200</v>
      </c>
      <c r="X139">
        <f t="shared" ca="1" si="38"/>
        <v>2000</v>
      </c>
      <c r="Y139" s="297" t="str">
        <f ca="1">IF(IF($N$3, FALSE, W139 &lt; O139),"No", "Yes")</f>
        <v>Yes</v>
      </c>
    </row>
    <row r="140" spans="1:25" outlineLevel="1" x14ac:dyDescent="0.75">
      <c r="A140" s="304">
        <f>Consumption!A140</f>
        <v>41403</v>
      </c>
      <c r="B140" s="305">
        <f>Consumption!B140</f>
        <v>0</v>
      </c>
      <c r="C140" s="41">
        <f ca="1">Consumption!C140</f>
        <v>0</v>
      </c>
      <c r="D140" s="41">
        <f t="shared" ref="D140:D203" si="40">$B$4/1000</f>
        <v>0.219</v>
      </c>
      <c r="E140" s="41">
        <f t="shared" ca="1" si="31"/>
        <v>4.6889999999999921</v>
      </c>
      <c r="F140" s="306">
        <f ca="1">'Pump Main'!$M$3*1000</f>
        <v>124614.17111887744</v>
      </c>
      <c r="G140" s="41">
        <f t="shared" ref="G140:G203" ca="1" si="41">C140*F140</f>
        <v>0</v>
      </c>
      <c r="H140" s="6">
        <f t="shared" ref="H140:H203" ca="1" si="42">G140/$H$1</f>
        <v>0</v>
      </c>
      <c r="I140" s="6">
        <f t="shared" ca="1" si="32"/>
        <v>0</v>
      </c>
      <c r="J140" s="6">
        <f t="shared" ref="J140:J203" ca="1" si="43">$K$4*$K$2/$K$1*C140*1000</f>
        <v>0</v>
      </c>
      <c r="K140" s="6">
        <f t="shared" ref="K140:K203" ca="1" si="44">J140/1000</f>
        <v>0</v>
      </c>
      <c r="L140" s="6">
        <f t="shared" ref="L140:L203" ca="1" si="45">$K$3*K140</f>
        <v>0</v>
      </c>
      <c r="M140">
        <f t="shared" ca="1" si="33"/>
        <v>0</v>
      </c>
      <c r="N140" s="6">
        <f t="shared" si="34"/>
        <v>1200</v>
      </c>
      <c r="O140" s="6">
        <f t="shared" ca="1" si="35"/>
        <v>1200</v>
      </c>
      <c r="P140">
        <f t="shared" si="36"/>
        <v>0</v>
      </c>
      <c r="Q140" s="6">
        <f t="shared" ref="Q140:Q203" si="46">IF($N$3,P140*3600/10^6 / $N$5 / $N$4, 0)</f>
        <v>0</v>
      </c>
      <c r="R140" s="296">
        <v>15.3</v>
      </c>
      <c r="S140">
        <f t="shared" ref="S140:S203" si="47">IF($Q$1, $Q$2 * $Q$3 * R140 * $Q$4 * $Q$5, 0)</f>
        <v>5826.2400000000007</v>
      </c>
      <c r="T140">
        <f t="shared" ref="T140:T203" si="48">S140*$Q$6</f>
        <v>5360.140800000001</v>
      </c>
      <c r="U140">
        <f t="shared" ref="U140:U203" ca="1" si="49">$T$1/$T$2*C140/$T$3/1000*$T$4</f>
        <v>0</v>
      </c>
      <c r="V140">
        <f t="shared" si="37"/>
        <v>5360.140800000001</v>
      </c>
      <c r="W140">
        <f t="shared" ca="1" si="39"/>
        <v>1200</v>
      </c>
      <c r="X140">
        <f t="shared" ca="1" si="38"/>
        <v>2000</v>
      </c>
      <c r="Y140" s="297" t="str">
        <f t="shared" ref="Y140:Y203" ca="1" si="50">IF(IF($N$3, FALSE, W140 &lt; O140),"No", "Yes")</f>
        <v>Yes</v>
      </c>
    </row>
    <row r="141" spans="1:25" outlineLevel="1" x14ac:dyDescent="0.75">
      <c r="A141" s="304">
        <f>Consumption!A141</f>
        <v>41404</v>
      </c>
      <c r="B141" s="305">
        <f>Consumption!B141</f>
        <v>0</v>
      </c>
      <c r="C141" s="41">
        <f ca="1">Consumption!C141</f>
        <v>0</v>
      </c>
      <c r="D141" s="41">
        <f t="shared" si="40"/>
        <v>0.219</v>
      </c>
      <c r="E141" s="41">
        <f t="shared" ref="E141:E204" ca="1" si="51">E140+C141-D141</f>
        <v>4.4699999999999918</v>
      </c>
      <c r="F141" s="306">
        <f ca="1">'Pump Main'!$M$3*1000</f>
        <v>124614.17111887744</v>
      </c>
      <c r="G141" s="41">
        <f t="shared" ca="1" si="41"/>
        <v>0</v>
      </c>
      <c r="H141" s="6">
        <f t="shared" ca="1" si="42"/>
        <v>0</v>
      </c>
      <c r="I141" s="6">
        <f t="shared" ref="I141:I204" ca="1" si="52">H141/3600</f>
        <v>0</v>
      </c>
      <c r="J141" s="6">
        <f t="shared" ca="1" si="43"/>
        <v>0</v>
      </c>
      <c r="K141" s="6">
        <f t="shared" ca="1" si="44"/>
        <v>0</v>
      </c>
      <c r="L141" s="6">
        <f t="shared" ca="1" si="45"/>
        <v>0</v>
      </c>
      <c r="M141">
        <f t="shared" ref="M141:M204" ca="1" si="53">L141*10^6/3600</f>
        <v>0</v>
      </c>
      <c r="N141" s="6">
        <f t="shared" ref="N141:N204" si="54">$N$1*$N$2</f>
        <v>1200</v>
      </c>
      <c r="O141" s="6">
        <f t="shared" ref="O141:O204" ca="1" si="55">I141+M141+N141</f>
        <v>1200</v>
      </c>
      <c r="P141">
        <f t="shared" ref="P141:P204" si="56">IF($N$3, O141-N141+V141, 0)</f>
        <v>0</v>
      </c>
      <c r="Q141" s="6">
        <f t="shared" si="46"/>
        <v>0</v>
      </c>
      <c r="R141" s="296">
        <v>15.3</v>
      </c>
      <c r="S141">
        <f t="shared" si="47"/>
        <v>5826.2400000000007</v>
      </c>
      <c r="T141">
        <f t="shared" si="48"/>
        <v>5360.140800000001</v>
      </c>
      <c r="U141">
        <f t="shared" ca="1" si="49"/>
        <v>0</v>
      </c>
      <c r="V141">
        <f t="shared" ref="V141:V204" si="57">IF($N$3, (X141-X140+W141/$W$2)/$W$2, T141)</f>
        <v>5360.140800000001</v>
      </c>
      <c r="W141">
        <f t="shared" ca="1" si="39"/>
        <v>1200</v>
      </c>
      <c r="X141">
        <f t="shared" ref="X141:X204" ca="1" si="58">IF($N$3, 0, MIN(X140+V141*$W$2 - W141 / $W$2, $W$1*$W$3))</f>
        <v>2000</v>
      </c>
      <c r="Y141" s="297" t="str">
        <f t="shared" ca="1" si="50"/>
        <v>Yes</v>
      </c>
    </row>
    <row r="142" spans="1:25" outlineLevel="1" x14ac:dyDescent="0.75">
      <c r="A142" s="304">
        <f>Consumption!A142</f>
        <v>41405</v>
      </c>
      <c r="B142" s="305">
        <f>Consumption!B142</f>
        <v>21.8</v>
      </c>
      <c r="C142" s="41">
        <f ca="1">Consumption!C142</f>
        <v>2.1800000000000002</v>
      </c>
      <c r="D142" s="41">
        <f t="shared" si="40"/>
        <v>0.219</v>
      </c>
      <c r="E142" s="41">
        <f t="shared" ca="1" si="51"/>
        <v>6.4309999999999912</v>
      </c>
      <c r="F142" s="306">
        <f ca="1">'Pump Main'!$M$3*1000</f>
        <v>124614.17111887744</v>
      </c>
      <c r="G142" s="41">
        <f t="shared" ca="1" si="41"/>
        <v>271658.89303915284</v>
      </c>
      <c r="H142" s="6">
        <f t="shared" ca="1" si="42"/>
        <v>461303.39657455817</v>
      </c>
      <c r="I142" s="6">
        <f t="shared" ca="1" si="52"/>
        <v>128.13983238182172</v>
      </c>
      <c r="J142" s="6">
        <f t="shared" ca="1" si="43"/>
        <v>10900</v>
      </c>
      <c r="K142" s="6">
        <f t="shared" ca="1" si="44"/>
        <v>10.9</v>
      </c>
      <c r="L142" s="6">
        <f t="shared" ca="1" si="45"/>
        <v>21.8</v>
      </c>
      <c r="M142">
        <f t="shared" ca="1" si="53"/>
        <v>6055.5555555555557</v>
      </c>
      <c r="N142" s="6">
        <f t="shared" si="54"/>
        <v>1200</v>
      </c>
      <c r="O142" s="6">
        <f t="shared" ca="1" si="55"/>
        <v>7383.6953879373777</v>
      </c>
      <c r="P142">
        <f t="shared" si="56"/>
        <v>0</v>
      </c>
      <c r="Q142" s="6">
        <f t="shared" si="46"/>
        <v>0</v>
      </c>
      <c r="R142" s="296">
        <v>15.3</v>
      </c>
      <c r="S142">
        <f t="shared" si="47"/>
        <v>5826.2400000000007</v>
      </c>
      <c r="T142">
        <f t="shared" si="48"/>
        <v>5360.140800000001</v>
      </c>
      <c r="U142">
        <f t="shared" ca="1" si="49"/>
        <v>0</v>
      </c>
      <c r="V142">
        <f t="shared" si="57"/>
        <v>5360.140800000001</v>
      </c>
      <c r="W142">
        <f t="shared" ref="W142:W205" ca="1" si="59">IF($N$3, N142, MIN(O142, $W$2 * (X141+V142*$W$2)))</f>
        <v>6859.9057612800007</v>
      </c>
      <c r="X142">
        <f t="shared" ca="1" si="58"/>
        <v>0</v>
      </c>
      <c r="Y142" s="297" t="str">
        <f t="shared" ca="1" si="50"/>
        <v>No</v>
      </c>
    </row>
    <row r="143" spans="1:25" outlineLevel="1" x14ac:dyDescent="0.75">
      <c r="A143" s="304">
        <f>Consumption!A143</f>
        <v>41406</v>
      </c>
      <c r="B143" s="305">
        <f>Consumption!B143</f>
        <v>9.1</v>
      </c>
      <c r="C143" s="41">
        <f ca="1">Consumption!C143</f>
        <v>0.91</v>
      </c>
      <c r="D143" s="41">
        <f t="shared" si="40"/>
        <v>0.219</v>
      </c>
      <c r="E143" s="41">
        <f t="shared" ca="1" si="51"/>
        <v>7.121999999999991</v>
      </c>
      <c r="F143" s="306">
        <f ca="1">'Pump Main'!$M$3*1000</f>
        <v>124614.17111887744</v>
      </c>
      <c r="G143" s="41">
        <f t="shared" ca="1" si="41"/>
        <v>113398.89571817846</v>
      </c>
      <c r="H143" s="6">
        <f t="shared" ca="1" si="42"/>
        <v>192562.42701048069</v>
      </c>
      <c r="I143" s="6">
        <f t="shared" ca="1" si="52"/>
        <v>53.489563058466857</v>
      </c>
      <c r="J143" s="6">
        <f t="shared" ca="1" si="43"/>
        <v>4550</v>
      </c>
      <c r="K143" s="6">
        <f t="shared" ca="1" si="44"/>
        <v>4.55</v>
      </c>
      <c r="L143" s="6">
        <f t="shared" ca="1" si="45"/>
        <v>9.1</v>
      </c>
      <c r="M143">
        <f t="shared" ca="1" si="53"/>
        <v>2527.7777777777778</v>
      </c>
      <c r="N143" s="6">
        <f t="shared" si="54"/>
        <v>1200</v>
      </c>
      <c r="O143" s="6">
        <f t="shared" ca="1" si="55"/>
        <v>3781.2673408362448</v>
      </c>
      <c r="P143">
        <f t="shared" si="56"/>
        <v>0</v>
      </c>
      <c r="Q143" s="6">
        <f t="shared" si="46"/>
        <v>0</v>
      </c>
      <c r="R143" s="296">
        <v>15.3</v>
      </c>
      <c r="S143">
        <f t="shared" si="47"/>
        <v>5826.2400000000007</v>
      </c>
      <c r="T143">
        <f t="shared" si="48"/>
        <v>5360.140800000001</v>
      </c>
      <c r="U143">
        <f t="shared" ca="1" si="49"/>
        <v>0</v>
      </c>
      <c r="V143">
        <f t="shared" si="57"/>
        <v>5360.140800000001</v>
      </c>
      <c r="W143">
        <f t="shared" ca="1" si="59"/>
        <v>3781.2673408362448</v>
      </c>
      <c r="X143">
        <f t="shared" ca="1" si="58"/>
        <v>1206.9150212955792</v>
      </c>
      <c r="Y143" s="297" t="str">
        <f t="shared" ca="1" si="50"/>
        <v>Yes</v>
      </c>
    </row>
    <row r="144" spans="1:25" outlineLevel="1" x14ac:dyDescent="0.75">
      <c r="A144" s="304">
        <f>Consumption!A144</f>
        <v>41407</v>
      </c>
      <c r="B144" s="305">
        <f>Consumption!B144</f>
        <v>1</v>
      </c>
      <c r="C144" s="41">
        <f ca="1">Consumption!C144</f>
        <v>0.1</v>
      </c>
      <c r="D144" s="41">
        <f t="shared" si="40"/>
        <v>0.219</v>
      </c>
      <c r="E144" s="41">
        <f t="shared" ca="1" si="51"/>
        <v>7.0029999999999903</v>
      </c>
      <c r="F144" s="306">
        <f ca="1">'Pump Main'!$M$3*1000</f>
        <v>124614.17111887744</v>
      </c>
      <c r="G144" s="41">
        <f t="shared" ca="1" si="41"/>
        <v>12461.417111887744</v>
      </c>
      <c r="H144" s="6">
        <f t="shared" ca="1" si="42"/>
        <v>21160.706264887987</v>
      </c>
      <c r="I144" s="6">
        <f t="shared" ca="1" si="52"/>
        <v>5.8779739624688858</v>
      </c>
      <c r="J144" s="6">
        <f t="shared" ca="1" si="43"/>
        <v>500</v>
      </c>
      <c r="K144" s="6">
        <f t="shared" ca="1" si="44"/>
        <v>0.5</v>
      </c>
      <c r="L144" s="6">
        <f t="shared" ca="1" si="45"/>
        <v>1</v>
      </c>
      <c r="M144">
        <f t="shared" ca="1" si="53"/>
        <v>277.77777777777777</v>
      </c>
      <c r="N144" s="6">
        <f t="shared" si="54"/>
        <v>1200</v>
      </c>
      <c r="O144" s="6">
        <f t="shared" ca="1" si="55"/>
        <v>1483.6557517402466</v>
      </c>
      <c r="P144">
        <f t="shared" si="56"/>
        <v>0</v>
      </c>
      <c r="Q144" s="6">
        <f t="shared" si="46"/>
        <v>0</v>
      </c>
      <c r="R144" s="296">
        <v>15.3</v>
      </c>
      <c r="S144">
        <f t="shared" si="47"/>
        <v>5826.2400000000007</v>
      </c>
      <c r="T144">
        <f t="shared" si="48"/>
        <v>5360.140800000001</v>
      </c>
      <c r="U144">
        <f t="shared" ca="1" si="49"/>
        <v>0</v>
      </c>
      <c r="V144">
        <f t="shared" si="57"/>
        <v>5360.140800000001</v>
      </c>
      <c r="W144">
        <f t="shared" ca="1" si="59"/>
        <v>1483.6557517402466</v>
      </c>
      <c r="X144">
        <f t="shared" ca="1" si="58"/>
        <v>2000</v>
      </c>
      <c r="Y144" s="297" t="str">
        <f t="shared" ca="1" si="50"/>
        <v>Yes</v>
      </c>
    </row>
    <row r="145" spans="1:25" outlineLevel="1" x14ac:dyDescent="0.75">
      <c r="A145" s="304">
        <f>Consumption!A145</f>
        <v>41408</v>
      </c>
      <c r="B145" s="305">
        <f>Consumption!B145</f>
        <v>2.6</v>
      </c>
      <c r="C145" s="41">
        <f ca="1">Consumption!C145</f>
        <v>0.26</v>
      </c>
      <c r="D145" s="41">
        <f t="shared" si="40"/>
        <v>0.219</v>
      </c>
      <c r="E145" s="41">
        <f t="shared" ca="1" si="51"/>
        <v>7.0439999999999898</v>
      </c>
      <c r="F145" s="306">
        <f ca="1">'Pump Main'!$M$3*1000</f>
        <v>124614.17111887744</v>
      </c>
      <c r="G145" s="41">
        <f t="shared" ca="1" si="41"/>
        <v>32399.684490908134</v>
      </c>
      <c r="H145" s="6">
        <f t="shared" ca="1" si="42"/>
        <v>55017.836288708771</v>
      </c>
      <c r="I145" s="6">
        <f t="shared" ca="1" si="52"/>
        <v>15.282732302419102</v>
      </c>
      <c r="J145" s="6">
        <f t="shared" ca="1" si="43"/>
        <v>1300</v>
      </c>
      <c r="K145" s="6">
        <f t="shared" ca="1" si="44"/>
        <v>1.3</v>
      </c>
      <c r="L145" s="6">
        <f t="shared" ca="1" si="45"/>
        <v>2.6</v>
      </c>
      <c r="M145">
        <f t="shared" ca="1" si="53"/>
        <v>722.22222222222217</v>
      </c>
      <c r="N145" s="6">
        <f t="shared" si="54"/>
        <v>1200</v>
      </c>
      <c r="O145" s="6">
        <f t="shared" ca="1" si="55"/>
        <v>1937.5049545246411</v>
      </c>
      <c r="P145">
        <f t="shared" si="56"/>
        <v>0</v>
      </c>
      <c r="Q145" s="6">
        <f t="shared" si="46"/>
        <v>0</v>
      </c>
      <c r="R145" s="296">
        <v>15.3</v>
      </c>
      <c r="S145">
        <f t="shared" si="47"/>
        <v>5826.2400000000007</v>
      </c>
      <c r="T145">
        <f t="shared" si="48"/>
        <v>5360.140800000001</v>
      </c>
      <c r="U145">
        <f t="shared" ca="1" si="49"/>
        <v>0</v>
      </c>
      <c r="V145">
        <f t="shared" si="57"/>
        <v>5360.140800000001</v>
      </c>
      <c r="W145">
        <f t="shared" ca="1" si="59"/>
        <v>1937.5049545246411</v>
      </c>
      <c r="X145">
        <f t="shared" ca="1" si="58"/>
        <v>2000</v>
      </c>
      <c r="Y145" s="297" t="str">
        <f t="shared" ca="1" si="50"/>
        <v>Yes</v>
      </c>
    </row>
    <row r="146" spans="1:25" outlineLevel="1" x14ac:dyDescent="0.75">
      <c r="A146" s="304">
        <f>Consumption!A146</f>
        <v>41409</v>
      </c>
      <c r="B146" s="305">
        <f>Consumption!B146</f>
        <v>1.2</v>
      </c>
      <c r="C146" s="41">
        <f ca="1">Consumption!C146</f>
        <v>0.12</v>
      </c>
      <c r="D146" s="41">
        <f t="shared" si="40"/>
        <v>0.219</v>
      </c>
      <c r="E146" s="41">
        <f t="shared" ca="1" si="51"/>
        <v>6.9449999999999896</v>
      </c>
      <c r="F146" s="306">
        <f ca="1">'Pump Main'!$M$3*1000</f>
        <v>124614.17111887744</v>
      </c>
      <c r="G146" s="41">
        <f t="shared" ca="1" si="41"/>
        <v>14953.700534265292</v>
      </c>
      <c r="H146" s="6">
        <f t="shared" ca="1" si="42"/>
        <v>25392.847517865586</v>
      </c>
      <c r="I146" s="6">
        <f t="shared" ca="1" si="52"/>
        <v>7.0535687549626624</v>
      </c>
      <c r="J146" s="6">
        <f t="shared" ca="1" si="43"/>
        <v>600</v>
      </c>
      <c r="K146" s="6">
        <f t="shared" ca="1" si="44"/>
        <v>0.6</v>
      </c>
      <c r="L146" s="6">
        <f t="shared" ca="1" si="45"/>
        <v>1.2</v>
      </c>
      <c r="M146">
        <f t="shared" ca="1" si="53"/>
        <v>333.33333333333331</v>
      </c>
      <c r="N146" s="6">
        <f t="shared" si="54"/>
        <v>1200</v>
      </c>
      <c r="O146" s="6">
        <f t="shared" ca="1" si="55"/>
        <v>1540.386902088296</v>
      </c>
      <c r="P146">
        <f t="shared" si="56"/>
        <v>0</v>
      </c>
      <c r="Q146" s="6">
        <f t="shared" si="46"/>
        <v>0</v>
      </c>
      <c r="R146" s="296">
        <v>15.3</v>
      </c>
      <c r="S146">
        <f t="shared" si="47"/>
        <v>5826.2400000000007</v>
      </c>
      <c r="T146">
        <f t="shared" si="48"/>
        <v>5360.140800000001</v>
      </c>
      <c r="U146">
        <f t="shared" ca="1" si="49"/>
        <v>0</v>
      </c>
      <c r="V146">
        <f t="shared" si="57"/>
        <v>5360.140800000001</v>
      </c>
      <c r="W146">
        <f t="shared" ca="1" si="59"/>
        <v>1540.386902088296</v>
      </c>
      <c r="X146">
        <f t="shared" ca="1" si="58"/>
        <v>2000</v>
      </c>
      <c r="Y146" s="297" t="str">
        <f t="shared" ca="1" si="50"/>
        <v>Yes</v>
      </c>
    </row>
    <row r="147" spans="1:25" outlineLevel="1" x14ac:dyDescent="0.75">
      <c r="A147" s="304">
        <f>Consumption!A147</f>
        <v>41410</v>
      </c>
      <c r="B147" s="305">
        <f>Consumption!B147</f>
        <v>0</v>
      </c>
      <c r="C147" s="41">
        <f ca="1">Consumption!C147</f>
        <v>0</v>
      </c>
      <c r="D147" s="41">
        <f t="shared" si="40"/>
        <v>0.219</v>
      </c>
      <c r="E147" s="41">
        <f t="shared" ca="1" si="51"/>
        <v>6.7259999999999893</v>
      </c>
      <c r="F147" s="306">
        <f ca="1">'Pump Main'!$M$3*1000</f>
        <v>124614.17111887744</v>
      </c>
      <c r="G147" s="41">
        <f t="shared" ca="1" si="41"/>
        <v>0</v>
      </c>
      <c r="H147" s="6">
        <f t="shared" ca="1" si="42"/>
        <v>0</v>
      </c>
      <c r="I147" s="6">
        <f t="shared" ca="1" si="52"/>
        <v>0</v>
      </c>
      <c r="J147" s="6">
        <f t="shared" ca="1" si="43"/>
        <v>0</v>
      </c>
      <c r="K147" s="6">
        <f t="shared" ca="1" si="44"/>
        <v>0</v>
      </c>
      <c r="L147" s="6">
        <f t="shared" ca="1" si="45"/>
        <v>0</v>
      </c>
      <c r="M147">
        <f t="shared" ca="1" si="53"/>
        <v>0</v>
      </c>
      <c r="N147" s="6">
        <f t="shared" si="54"/>
        <v>1200</v>
      </c>
      <c r="O147" s="6">
        <f t="shared" ca="1" si="55"/>
        <v>1200</v>
      </c>
      <c r="P147">
        <f t="shared" si="56"/>
        <v>0</v>
      </c>
      <c r="Q147" s="6">
        <f t="shared" si="46"/>
        <v>0</v>
      </c>
      <c r="R147" s="296">
        <v>15.3</v>
      </c>
      <c r="S147">
        <f t="shared" si="47"/>
        <v>5826.2400000000007</v>
      </c>
      <c r="T147">
        <f t="shared" si="48"/>
        <v>5360.140800000001</v>
      </c>
      <c r="U147">
        <f t="shared" ca="1" si="49"/>
        <v>0</v>
      </c>
      <c r="V147">
        <f t="shared" si="57"/>
        <v>5360.140800000001</v>
      </c>
      <c r="W147">
        <f t="shared" ca="1" si="59"/>
        <v>1200</v>
      </c>
      <c r="X147">
        <f t="shared" ca="1" si="58"/>
        <v>2000</v>
      </c>
      <c r="Y147" s="297" t="str">
        <f t="shared" ca="1" si="50"/>
        <v>Yes</v>
      </c>
    </row>
    <row r="148" spans="1:25" outlineLevel="1" x14ac:dyDescent="0.75">
      <c r="A148" s="304">
        <f>Consumption!A148</f>
        <v>41411</v>
      </c>
      <c r="B148" s="305">
        <f>Consumption!B148</f>
        <v>0.4</v>
      </c>
      <c r="C148" s="41">
        <f ca="1">Consumption!C148</f>
        <v>0.04</v>
      </c>
      <c r="D148" s="41">
        <f t="shared" si="40"/>
        <v>0.219</v>
      </c>
      <c r="E148" s="41">
        <f t="shared" ca="1" si="51"/>
        <v>6.5469999999999891</v>
      </c>
      <c r="F148" s="306">
        <f ca="1">'Pump Main'!$M$3*1000</f>
        <v>124614.17111887744</v>
      </c>
      <c r="G148" s="41">
        <f t="shared" ca="1" si="41"/>
        <v>4984.5668447550979</v>
      </c>
      <c r="H148" s="6">
        <f t="shared" ca="1" si="42"/>
        <v>8464.282505955196</v>
      </c>
      <c r="I148" s="6">
        <f t="shared" ca="1" si="52"/>
        <v>2.3511895849875546</v>
      </c>
      <c r="J148" s="6">
        <f t="shared" ca="1" si="43"/>
        <v>200</v>
      </c>
      <c r="K148" s="6">
        <f t="shared" ca="1" si="44"/>
        <v>0.2</v>
      </c>
      <c r="L148" s="6">
        <f t="shared" ca="1" si="45"/>
        <v>0.4</v>
      </c>
      <c r="M148">
        <f t="shared" ca="1" si="53"/>
        <v>111.11111111111111</v>
      </c>
      <c r="N148" s="6">
        <f t="shared" si="54"/>
        <v>1200</v>
      </c>
      <c r="O148" s="6">
        <f t="shared" ca="1" si="55"/>
        <v>1313.4623006960987</v>
      </c>
      <c r="P148">
        <f t="shared" si="56"/>
        <v>0</v>
      </c>
      <c r="Q148" s="6">
        <f t="shared" si="46"/>
        <v>0</v>
      </c>
      <c r="R148" s="296">
        <v>15.3</v>
      </c>
      <c r="S148">
        <f t="shared" si="47"/>
        <v>5826.2400000000007</v>
      </c>
      <c r="T148">
        <f t="shared" si="48"/>
        <v>5360.140800000001</v>
      </c>
      <c r="U148">
        <f t="shared" ca="1" si="49"/>
        <v>0</v>
      </c>
      <c r="V148">
        <f t="shared" si="57"/>
        <v>5360.140800000001</v>
      </c>
      <c r="W148">
        <f t="shared" ca="1" si="59"/>
        <v>1313.4623006960987</v>
      </c>
      <c r="X148">
        <f t="shared" ca="1" si="58"/>
        <v>2000</v>
      </c>
      <c r="Y148" s="297" t="str">
        <f t="shared" ca="1" si="50"/>
        <v>Yes</v>
      </c>
    </row>
    <row r="149" spans="1:25" outlineLevel="1" x14ac:dyDescent="0.75">
      <c r="A149" s="304">
        <f>Consumption!A149</f>
        <v>41412</v>
      </c>
      <c r="B149" s="305">
        <f>Consumption!B149</f>
        <v>1.6</v>
      </c>
      <c r="C149" s="41">
        <f ca="1">Consumption!C149</f>
        <v>0.16</v>
      </c>
      <c r="D149" s="41">
        <f t="shared" si="40"/>
        <v>0.219</v>
      </c>
      <c r="E149" s="41">
        <f t="shared" ca="1" si="51"/>
        <v>6.4879999999999889</v>
      </c>
      <c r="F149" s="306">
        <f ca="1">'Pump Main'!$M$3*1000</f>
        <v>124614.17111887744</v>
      </c>
      <c r="G149" s="41">
        <f t="shared" ca="1" si="41"/>
        <v>19938.267379020392</v>
      </c>
      <c r="H149" s="6">
        <f t="shared" ca="1" si="42"/>
        <v>33857.130023820784</v>
      </c>
      <c r="I149" s="6">
        <f t="shared" ca="1" si="52"/>
        <v>9.4047583399502184</v>
      </c>
      <c r="J149" s="6">
        <f t="shared" ca="1" si="43"/>
        <v>800</v>
      </c>
      <c r="K149" s="6">
        <f t="shared" ca="1" si="44"/>
        <v>0.8</v>
      </c>
      <c r="L149" s="6">
        <f t="shared" ca="1" si="45"/>
        <v>1.6</v>
      </c>
      <c r="M149">
        <f t="shared" ca="1" si="53"/>
        <v>444.44444444444446</v>
      </c>
      <c r="N149" s="6">
        <f t="shared" si="54"/>
        <v>1200</v>
      </c>
      <c r="O149" s="6">
        <f t="shared" ca="1" si="55"/>
        <v>1653.8492027843947</v>
      </c>
      <c r="P149">
        <f t="shared" si="56"/>
        <v>0</v>
      </c>
      <c r="Q149" s="6">
        <f t="shared" si="46"/>
        <v>0</v>
      </c>
      <c r="R149" s="296">
        <v>15.3</v>
      </c>
      <c r="S149">
        <f t="shared" si="47"/>
        <v>5826.2400000000007</v>
      </c>
      <c r="T149">
        <f t="shared" si="48"/>
        <v>5360.140800000001</v>
      </c>
      <c r="U149">
        <f t="shared" ca="1" si="49"/>
        <v>0</v>
      </c>
      <c r="V149">
        <f t="shared" si="57"/>
        <v>5360.140800000001</v>
      </c>
      <c r="W149">
        <f t="shared" ca="1" si="59"/>
        <v>1653.8492027843947</v>
      </c>
      <c r="X149">
        <f t="shared" ca="1" si="58"/>
        <v>2000</v>
      </c>
      <c r="Y149" s="297" t="str">
        <f t="shared" ca="1" si="50"/>
        <v>Yes</v>
      </c>
    </row>
    <row r="150" spans="1:25" outlineLevel="1" x14ac:dyDescent="0.75">
      <c r="A150" s="304">
        <f>Consumption!A150</f>
        <v>41413</v>
      </c>
      <c r="B150" s="305">
        <f>Consumption!B150</f>
        <v>0</v>
      </c>
      <c r="C150" s="41">
        <f ca="1">Consumption!C150</f>
        <v>0</v>
      </c>
      <c r="D150" s="41">
        <f t="shared" si="40"/>
        <v>0.219</v>
      </c>
      <c r="E150" s="41">
        <f t="shared" ca="1" si="51"/>
        <v>6.2689999999999886</v>
      </c>
      <c r="F150" s="306">
        <f ca="1">'Pump Main'!$M$3*1000</f>
        <v>124614.17111887744</v>
      </c>
      <c r="G150" s="41">
        <f t="shared" ca="1" si="41"/>
        <v>0</v>
      </c>
      <c r="H150" s="6">
        <f t="shared" ca="1" si="42"/>
        <v>0</v>
      </c>
      <c r="I150" s="6">
        <f t="shared" ca="1" si="52"/>
        <v>0</v>
      </c>
      <c r="J150" s="6">
        <f t="shared" ca="1" si="43"/>
        <v>0</v>
      </c>
      <c r="K150" s="6">
        <f t="shared" ca="1" si="44"/>
        <v>0</v>
      </c>
      <c r="L150" s="6">
        <f t="shared" ca="1" si="45"/>
        <v>0</v>
      </c>
      <c r="M150">
        <f t="shared" ca="1" si="53"/>
        <v>0</v>
      </c>
      <c r="N150" s="6">
        <f t="shared" si="54"/>
        <v>1200</v>
      </c>
      <c r="O150" s="6">
        <f t="shared" ca="1" si="55"/>
        <v>1200</v>
      </c>
      <c r="P150">
        <f t="shared" si="56"/>
        <v>0</v>
      </c>
      <c r="Q150" s="6">
        <f t="shared" si="46"/>
        <v>0</v>
      </c>
      <c r="R150" s="296">
        <v>15.3</v>
      </c>
      <c r="S150">
        <f t="shared" si="47"/>
        <v>5826.2400000000007</v>
      </c>
      <c r="T150">
        <f t="shared" si="48"/>
        <v>5360.140800000001</v>
      </c>
      <c r="U150">
        <f t="shared" ca="1" si="49"/>
        <v>0</v>
      </c>
      <c r="V150">
        <f t="shared" si="57"/>
        <v>5360.140800000001</v>
      </c>
      <c r="W150">
        <f t="shared" ca="1" si="59"/>
        <v>1200</v>
      </c>
      <c r="X150">
        <f t="shared" ca="1" si="58"/>
        <v>2000</v>
      </c>
      <c r="Y150" s="297" t="str">
        <f t="shared" ca="1" si="50"/>
        <v>Yes</v>
      </c>
    </row>
    <row r="151" spans="1:25" outlineLevel="1" x14ac:dyDescent="0.75">
      <c r="A151" s="304">
        <f>Consumption!A151</f>
        <v>41414</v>
      </c>
      <c r="B151" s="305">
        <f>Consumption!B151</f>
        <v>2.8</v>
      </c>
      <c r="C151" s="41">
        <f ca="1">Consumption!C151</f>
        <v>0.28000000000000003</v>
      </c>
      <c r="D151" s="41">
        <f t="shared" si="40"/>
        <v>0.219</v>
      </c>
      <c r="E151" s="41">
        <f t="shared" ca="1" si="51"/>
        <v>6.3299999999999885</v>
      </c>
      <c r="F151" s="306">
        <f ca="1">'Pump Main'!$M$3*1000</f>
        <v>124614.17111887744</v>
      </c>
      <c r="G151" s="41">
        <f t="shared" ca="1" si="41"/>
        <v>34891.967913285684</v>
      </c>
      <c r="H151" s="6">
        <f t="shared" ca="1" si="42"/>
        <v>59249.97754168637</v>
      </c>
      <c r="I151" s="6">
        <f t="shared" ca="1" si="52"/>
        <v>16.458327094912882</v>
      </c>
      <c r="J151" s="6">
        <f t="shared" ca="1" si="43"/>
        <v>1400.0000000000002</v>
      </c>
      <c r="K151" s="6">
        <f t="shared" ca="1" si="44"/>
        <v>1.4000000000000001</v>
      </c>
      <c r="L151" s="6">
        <f t="shared" ca="1" si="45"/>
        <v>2.8000000000000003</v>
      </c>
      <c r="M151">
        <f t="shared" ca="1" si="53"/>
        <v>777.77777777777794</v>
      </c>
      <c r="N151" s="6">
        <f t="shared" si="54"/>
        <v>1200</v>
      </c>
      <c r="O151" s="6">
        <f t="shared" ca="1" si="55"/>
        <v>1994.2361048726907</v>
      </c>
      <c r="P151">
        <f t="shared" si="56"/>
        <v>0</v>
      </c>
      <c r="Q151" s="6">
        <f t="shared" si="46"/>
        <v>0</v>
      </c>
      <c r="R151" s="296">
        <v>15.3</v>
      </c>
      <c r="S151">
        <f t="shared" si="47"/>
        <v>5826.2400000000007</v>
      </c>
      <c r="T151">
        <f t="shared" si="48"/>
        <v>5360.140800000001</v>
      </c>
      <c r="U151">
        <f t="shared" ca="1" si="49"/>
        <v>0</v>
      </c>
      <c r="V151">
        <f t="shared" si="57"/>
        <v>5360.140800000001</v>
      </c>
      <c r="W151">
        <f t="shared" ca="1" si="59"/>
        <v>1994.2361048726907</v>
      </c>
      <c r="X151">
        <f t="shared" ca="1" si="58"/>
        <v>2000</v>
      </c>
      <c r="Y151" s="297" t="str">
        <f t="shared" ca="1" si="50"/>
        <v>Yes</v>
      </c>
    </row>
    <row r="152" spans="1:25" outlineLevel="1" x14ac:dyDescent="0.75">
      <c r="A152" s="304">
        <f>Consumption!A152</f>
        <v>41415</v>
      </c>
      <c r="B152" s="305">
        <f>Consumption!B152</f>
        <v>3.6</v>
      </c>
      <c r="C152" s="41">
        <f ca="1">Consumption!C152</f>
        <v>0.36</v>
      </c>
      <c r="D152" s="41">
        <f t="shared" si="40"/>
        <v>0.219</v>
      </c>
      <c r="E152" s="41">
        <f t="shared" ca="1" si="51"/>
        <v>6.4709999999999885</v>
      </c>
      <c r="F152" s="306">
        <f ca="1">'Pump Main'!$M$3*1000</f>
        <v>124614.17111887744</v>
      </c>
      <c r="G152" s="41">
        <f t="shared" ca="1" si="41"/>
        <v>44861.101602795876</v>
      </c>
      <c r="H152" s="6">
        <f t="shared" ca="1" si="42"/>
        <v>76178.542553596752</v>
      </c>
      <c r="I152" s="6">
        <f t="shared" ca="1" si="52"/>
        <v>21.160706264887988</v>
      </c>
      <c r="J152" s="6">
        <f t="shared" ca="1" si="43"/>
        <v>1799.9999999999998</v>
      </c>
      <c r="K152" s="6">
        <f t="shared" ca="1" si="44"/>
        <v>1.7999999999999998</v>
      </c>
      <c r="L152" s="6">
        <f t="shared" ca="1" si="45"/>
        <v>3.5999999999999996</v>
      </c>
      <c r="M152">
        <f t="shared" ca="1" si="53"/>
        <v>999.99999999999989</v>
      </c>
      <c r="N152" s="6">
        <f t="shared" si="54"/>
        <v>1200</v>
      </c>
      <c r="O152" s="6">
        <f t="shared" ca="1" si="55"/>
        <v>2221.1607062648877</v>
      </c>
      <c r="P152">
        <f t="shared" si="56"/>
        <v>0</v>
      </c>
      <c r="Q152" s="6">
        <f t="shared" si="46"/>
        <v>0</v>
      </c>
      <c r="R152" s="296">
        <v>15.3</v>
      </c>
      <c r="S152">
        <f t="shared" si="47"/>
        <v>5826.2400000000007</v>
      </c>
      <c r="T152">
        <f t="shared" si="48"/>
        <v>5360.140800000001</v>
      </c>
      <c r="U152">
        <f t="shared" ca="1" si="49"/>
        <v>0</v>
      </c>
      <c r="V152">
        <f t="shared" si="57"/>
        <v>5360.140800000001</v>
      </c>
      <c r="W152">
        <f t="shared" ca="1" si="59"/>
        <v>2221.1607062648877</v>
      </c>
      <c r="X152">
        <f t="shared" ca="1" si="58"/>
        <v>2000</v>
      </c>
      <c r="Y152" s="297" t="str">
        <f t="shared" ca="1" si="50"/>
        <v>Yes</v>
      </c>
    </row>
    <row r="153" spans="1:25" outlineLevel="1" x14ac:dyDescent="0.75">
      <c r="A153" s="304">
        <f>Consumption!A153</f>
        <v>41416</v>
      </c>
      <c r="B153" s="305">
        <f>Consumption!B153</f>
        <v>0.4</v>
      </c>
      <c r="C153" s="41">
        <f ca="1">Consumption!C153</f>
        <v>0.04</v>
      </c>
      <c r="D153" s="41">
        <f t="shared" si="40"/>
        <v>0.219</v>
      </c>
      <c r="E153" s="41">
        <f t="shared" ca="1" si="51"/>
        <v>6.2919999999999883</v>
      </c>
      <c r="F153" s="306">
        <f ca="1">'Pump Main'!$M$3*1000</f>
        <v>124614.17111887744</v>
      </c>
      <c r="G153" s="41">
        <f t="shared" ca="1" si="41"/>
        <v>4984.5668447550979</v>
      </c>
      <c r="H153" s="6">
        <f t="shared" ca="1" si="42"/>
        <v>8464.282505955196</v>
      </c>
      <c r="I153" s="6">
        <f t="shared" ca="1" si="52"/>
        <v>2.3511895849875546</v>
      </c>
      <c r="J153" s="6">
        <f t="shared" ca="1" si="43"/>
        <v>200</v>
      </c>
      <c r="K153" s="6">
        <f t="shared" ca="1" si="44"/>
        <v>0.2</v>
      </c>
      <c r="L153" s="6">
        <f t="shared" ca="1" si="45"/>
        <v>0.4</v>
      </c>
      <c r="M153">
        <f t="shared" ca="1" si="53"/>
        <v>111.11111111111111</v>
      </c>
      <c r="N153" s="6">
        <f t="shared" si="54"/>
        <v>1200</v>
      </c>
      <c r="O153" s="6">
        <f t="shared" ca="1" si="55"/>
        <v>1313.4623006960987</v>
      </c>
      <c r="P153">
        <f t="shared" si="56"/>
        <v>0</v>
      </c>
      <c r="Q153" s="6">
        <f t="shared" si="46"/>
        <v>0</v>
      </c>
      <c r="R153" s="296">
        <v>15.3</v>
      </c>
      <c r="S153">
        <f t="shared" si="47"/>
        <v>5826.2400000000007</v>
      </c>
      <c r="T153">
        <f t="shared" si="48"/>
        <v>5360.140800000001</v>
      </c>
      <c r="U153">
        <f t="shared" ca="1" si="49"/>
        <v>0</v>
      </c>
      <c r="V153">
        <f t="shared" si="57"/>
        <v>5360.140800000001</v>
      </c>
      <c r="W153">
        <f t="shared" ca="1" si="59"/>
        <v>1313.4623006960987</v>
      </c>
      <c r="X153">
        <f t="shared" ca="1" si="58"/>
        <v>2000</v>
      </c>
      <c r="Y153" s="297" t="str">
        <f t="shared" ca="1" si="50"/>
        <v>Yes</v>
      </c>
    </row>
    <row r="154" spans="1:25" outlineLevel="1" x14ac:dyDescent="0.75">
      <c r="A154" s="304">
        <f>Consumption!A154</f>
        <v>41417</v>
      </c>
      <c r="B154" s="305">
        <f>Consumption!B154</f>
        <v>9.4</v>
      </c>
      <c r="C154" s="41">
        <f ca="1">Consumption!C154</f>
        <v>0.94</v>
      </c>
      <c r="D154" s="41">
        <f t="shared" si="40"/>
        <v>0.219</v>
      </c>
      <c r="E154" s="41">
        <f t="shared" ca="1" si="51"/>
        <v>7.0129999999999884</v>
      </c>
      <c r="F154" s="306">
        <f ca="1">'Pump Main'!$M$3*1000</f>
        <v>124614.17111887744</v>
      </c>
      <c r="G154" s="41">
        <f t="shared" ca="1" si="41"/>
        <v>117137.32085174478</v>
      </c>
      <c r="H154" s="6">
        <f t="shared" ca="1" si="42"/>
        <v>198910.63888994706</v>
      </c>
      <c r="I154" s="6">
        <f t="shared" ca="1" si="52"/>
        <v>55.252955247207517</v>
      </c>
      <c r="J154" s="6">
        <f t="shared" ca="1" si="43"/>
        <v>4699.9999999999991</v>
      </c>
      <c r="K154" s="6">
        <f t="shared" ca="1" si="44"/>
        <v>4.6999999999999993</v>
      </c>
      <c r="L154" s="6">
        <f t="shared" ca="1" si="45"/>
        <v>9.3999999999999986</v>
      </c>
      <c r="M154">
        <f t="shared" ca="1" si="53"/>
        <v>2611.1111111111104</v>
      </c>
      <c r="N154" s="6">
        <f t="shared" si="54"/>
        <v>1200</v>
      </c>
      <c r="O154" s="6">
        <f t="shared" ca="1" si="55"/>
        <v>3866.3640663583178</v>
      </c>
      <c r="P154">
        <f t="shared" si="56"/>
        <v>0</v>
      </c>
      <c r="Q154" s="6">
        <f t="shared" si="46"/>
        <v>0</v>
      </c>
      <c r="R154" s="296">
        <v>15.3</v>
      </c>
      <c r="S154">
        <f t="shared" si="47"/>
        <v>5826.2400000000007</v>
      </c>
      <c r="T154">
        <f t="shared" si="48"/>
        <v>5360.140800000001</v>
      </c>
      <c r="U154">
        <f t="shared" ca="1" si="49"/>
        <v>0</v>
      </c>
      <c r="V154">
        <f t="shared" si="57"/>
        <v>5360.140800000001</v>
      </c>
      <c r="W154">
        <f t="shared" ca="1" si="59"/>
        <v>3866.3640663583178</v>
      </c>
      <c r="X154">
        <f t="shared" ca="1" si="58"/>
        <v>2000</v>
      </c>
      <c r="Y154" s="297" t="str">
        <f t="shared" ca="1" si="50"/>
        <v>Yes</v>
      </c>
    </row>
    <row r="155" spans="1:25" outlineLevel="1" x14ac:dyDescent="0.75">
      <c r="A155" s="304">
        <f>Consumption!A155</f>
        <v>41418</v>
      </c>
      <c r="B155" s="305">
        <f>Consumption!B155</f>
        <v>1.4</v>
      </c>
      <c r="C155" s="41">
        <f ca="1">Consumption!C155</f>
        <v>0.14000000000000001</v>
      </c>
      <c r="D155" s="41">
        <f t="shared" si="40"/>
        <v>0.219</v>
      </c>
      <c r="E155" s="41">
        <f t="shared" ca="1" si="51"/>
        <v>6.9339999999999877</v>
      </c>
      <c r="F155" s="306">
        <f ca="1">'Pump Main'!$M$3*1000</f>
        <v>124614.17111887744</v>
      </c>
      <c r="G155" s="41">
        <f t="shared" ca="1" si="41"/>
        <v>17445.983956642842</v>
      </c>
      <c r="H155" s="6">
        <f t="shared" ca="1" si="42"/>
        <v>29624.988770843185</v>
      </c>
      <c r="I155" s="6">
        <f t="shared" ca="1" si="52"/>
        <v>8.2291635474564409</v>
      </c>
      <c r="J155" s="6">
        <f t="shared" ca="1" si="43"/>
        <v>700.00000000000011</v>
      </c>
      <c r="K155" s="6">
        <f t="shared" ca="1" si="44"/>
        <v>0.70000000000000007</v>
      </c>
      <c r="L155" s="6">
        <f t="shared" ca="1" si="45"/>
        <v>1.4000000000000001</v>
      </c>
      <c r="M155">
        <f t="shared" ca="1" si="53"/>
        <v>388.88888888888897</v>
      </c>
      <c r="N155" s="6">
        <f t="shared" si="54"/>
        <v>1200</v>
      </c>
      <c r="O155" s="6">
        <f t="shared" ca="1" si="55"/>
        <v>1597.1180524363454</v>
      </c>
      <c r="P155">
        <f t="shared" si="56"/>
        <v>0</v>
      </c>
      <c r="Q155" s="6">
        <f t="shared" si="46"/>
        <v>0</v>
      </c>
      <c r="R155" s="296">
        <v>15.3</v>
      </c>
      <c r="S155">
        <f t="shared" si="47"/>
        <v>5826.2400000000007</v>
      </c>
      <c r="T155">
        <f t="shared" si="48"/>
        <v>5360.140800000001</v>
      </c>
      <c r="U155">
        <f t="shared" ca="1" si="49"/>
        <v>0</v>
      </c>
      <c r="V155">
        <f t="shared" si="57"/>
        <v>5360.140800000001</v>
      </c>
      <c r="W155">
        <f t="shared" ca="1" si="59"/>
        <v>1597.1180524363454</v>
      </c>
      <c r="X155">
        <f t="shared" ca="1" si="58"/>
        <v>2000</v>
      </c>
      <c r="Y155" s="297" t="str">
        <f t="shared" ca="1" si="50"/>
        <v>Yes</v>
      </c>
    </row>
    <row r="156" spans="1:25" outlineLevel="1" x14ac:dyDescent="0.75">
      <c r="A156" s="304">
        <f>Consumption!A156</f>
        <v>41419</v>
      </c>
      <c r="B156" s="305">
        <f>Consumption!B156</f>
        <v>1.2</v>
      </c>
      <c r="C156" s="41">
        <f ca="1">Consumption!C156</f>
        <v>0.12</v>
      </c>
      <c r="D156" s="41">
        <f t="shared" si="40"/>
        <v>0.219</v>
      </c>
      <c r="E156" s="41">
        <f t="shared" ca="1" si="51"/>
        <v>6.8349999999999875</v>
      </c>
      <c r="F156" s="306">
        <f ca="1">'Pump Main'!$M$3*1000</f>
        <v>124614.17111887744</v>
      </c>
      <c r="G156" s="41">
        <f t="shared" ca="1" si="41"/>
        <v>14953.700534265292</v>
      </c>
      <c r="H156" s="6">
        <f t="shared" ca="1" si="42"/>
        <v>25392.847517865586</v>
      </c>
      <c r="I156" s="6">
        <f t="shared" ca="1" si="52"/>
        <v>7.0535687549626624</v>
      </c>
      <c r="J156" s="6">
        <f t="shared" ca="1" si="43"/>
        <v>600</v>
      </c>
      <c r="K156" s="6">
        <f t="shared" ca="1" si="44"/>
        <v>0.6</v>
      </c>
      <c r="L156" s="6">
        <f t="shared" ca="1" si="45"/>
        <v>1.2</v>
      </c>
      <c r="M156">
        <f t="shared" ca="1" si="53"/>
        <v>333.33333333333331</v>
      </c>
      <c r="N156" s="6">
        <f t="shared" si="54"/>
        <v>1200</v>
      </c>
      <c r="O156" s="6">
        <f t="shared" ca="1" si="55"/>
        <v>1540.386902088296</v>
      </c>
      <c r="P156">
        <f t="shared" si="56"/>
        <v>0</v>
      </c>
      <c r="Q156" s="6">
        <f t="shared" si="46"/>
        <v>0</v>
      </c>
      <c r="R156" s="296">
        <v>15.3</v>
      </c>
      <c r="S156">
        <f t="shared" si="47"/>
        <v>5826.2400000000007</v>
      </c>
      <c r="T156">
        <f t="shared" si="48"/>
        <v>5360.140800000001</v>
      </c>
      <c r="U156">
        <f t="shared" ca="1" si="49"/>
        <v>0</v>
      </c>
      <c r="V156">
        <f t="shared" si="57"/>
        <v>5360.140800000001</v>
      </c>
      <c r="W156">
        <f t="shared" ca="1" si="59"/>
        <v>1540.386902088296</v>
      </c>
      <c r="X156">
        <f t="shared" ca="1" si="58"/>
        <v>2000</v>
      </c>
      <c r="Y156" s="297" t="str">
        <f t="shared" ca="1" si="50"/>
        <v>Yes</v>
      </c>
    </row>
    <row r="157" spans="1:25" outlineLevel="1" x14ac:dyDescent="0.75">
      <c r="A157" s="304">
        <f>Consumption!A157</f>
        <v>41420</v>
      </c>
      <c r="B157" s="305">
        <f>Consumption!B157</f>
        <v>2.2000000000000002</v>
      </c>
      <c r="C157" s="41">
        <f ca="1">Consumption!C157</f>
        <v>0.22000000000000003</v>
      </c>
      <c r="D157" s="41">
        <f t="shared" si="40"/>
        <v>0.219</v>
      </c>
      <c r="E157" s="41">
        <f t="shared" ca="1" si="51"/>
        <v>6.835999999999987</v>
      </c>
      <c r="F157" s="306">
        <f ca="1">'Pump Main'!$M$3*1000</f>
        <v>124614.17111887744</v>
      </c>
      <c r="G157" s="41">
        <f t="shared" ca="1" si="41"/>
        <v>27415.117646153038</v>
      </c>
      <c r="H157" s="6">
        <f t="shared" ca="1" si="42"/>
        <v>46553.553782753574</v>
      </c>
      <c r="I157" s="6">
        <f t="shared" ca="1" si="52"/>
        <v>12.931542717431547</v>
      </c>
      <c r="J157" s="6">
        <f t="shared" ca="1" si="43"/>
        <v>1100</v>
      </c>
      <c r="K157" s="6">
        <f t="shared" ca="1" si="44"/>
        <v>1.1000000000000001</v>
      </c>
      <c r="L157" s="6">
        <f t="shared" ca="1" si="45"/>
        <v>2.2000000000000002</v>
      </c>
      <c r="M157">
        <f t="shared" ca="1" si="53"/>
        <v>611.11111111111109</v>
      </c>
      <c r="N157" s="6">
        <f t="shared" si="54"/>
        <v>1200</v>
      </c>
      <c r="O157" s="6">
        <f t="shared" ca="1" si="55"/>
        <v>1824.0426538285426</v>
      </c>
      <c r="P157">
        <f t="shared" si="56"/>
        <v>0</v>
      </c>
      <c r="Q157" s="6">
        <f t="shared" si="46"/>
        <v>0</v>
      </c>
      <c r="R157" s="296">
        <v>15.3</v>
      </c>
      <c r="S157">
        <f t="shared" si="47"/>
        <v>5826.2400000000007</v>
      </c>
      <c r="T157">
        <f t="shared" si="48"/>
        <v>5360.140800000001</v>
      </c>
      <c r="U157">
        <f t="shared" ca="1" si="49"/>
        <v>0</v>
      </c>
      <c r="V157">
        <f t="shared" si="57"/>
        <v>5360.140800000001</v>
      </c>
      <c r="W157">
        <f t="shared" ca="1" si="59"/>
        <v>1824.0426538285426</v>
      </c>
      <c r="X157">
        <f t="shared" ca="1" si="58"/>
        <v>2000</v>
      </c>
      <c r="Y157" s="297" t="str">
        <f t="shared" ca="1" si="50"/>
        <v>Yes</v>
      </c>
    </row>
    <row r="158" spans="1:25" outlineLevel="1" x14ac:dyDescent="0.75">
      <c r="A158" s="304">
        <f>Consumption!A158</f>
        <v>41421</v>
      </c>
      <c r="B158" s="305">
        <f>Consumption!B158</f>
        <v>0.8</v>
      </c>
      <c r="C158" s="41">
        <f ca="1">Consumption!C158</f>
        <v>0.08</v>
      </c>
      <c r="D158" s="41">
        <f t="shared" si="40"/>
        <v>0.219</v>
      </c>
      <c r="E158" s="41">
        <f t="shared" ca="1" si="51"/>
        <v>6.6969999999999867</v>
      </c>
      <c r="F158" s="306">
        <f ca="1">'Pump Main'!$M$3*1000</f>
        <v>124614.17111887744</v>
      </c>
      <c r="G158" s="41">
        <f t="shared" ca="1" si="41"/>
        <v>9969.1336895101958</v>
      </c>
      <c r="H158" s="6">
        <f t="shared" ca="1" si="42"/>
        <v>16928.565011910392</v>
      </c>
      <c r="I158" s="6">
        <f t="shared" ca="1" si="52"/>
        <v>4.7023791699751092</v>
      </c>
      <c r="J158" s="6">
        <f t="shared" ca="1" si="43"/>
        <v>400</v>
      </c>
      <c r="K158" s="6">
        <f t="shared" ca="1" si="44"/>
        <v>0.4</v>
      </c>
      <c r="L158" s="6">
        <f t="shared" ca="1" si="45"/>
        <v>0.8</v>
      </c>
      <c r="M158">
        <f t="shared" ca="1" si="53"/>
        <v>222.22222222222223</v>
      </c>
      <c r="N158" s="6">
        <f t="shared" si="54"/>
        <v>1200</v>
      </c>
      <c r="O158" s="6">
        <f t="shared" ca="1" si="55"/>
        <v>1426.9246013921972</v>
      </c>
      <c r="P158">
        <f t="shared" si="56"/>
        <v>0</v>
      </c>
      <c r="Q158" s="6">
        <f t="shared" si="46"/>
        <v>0</v>
      </c>
      <c r="R158" s="296">
        <v>15.3</v>
      </c>
      <c r="S158">
        <f t="shared" si="47"/>
        <v>5826.2400000000007</v>
      </c>
      <c r="T158">
        <f t="shared" si="48"/>
        <v>5360.140800000001</v>
      </c>
      <c r="U158">
        <f t="shared" ca="1" si="49"/>
        <v>0</v>
      </c>
      <c r="V158">
        <f t="shared" si="57"/>
        <v>5360.140800000001</v>
      </c>
      <c r="W158">
        <f t="shared" ca="1" si="59"/>
        <v>1426.9246013921972</v>
      </c>
      <c r="X158">
        <f t="shared" ca="1" si="58"/>
        <v>2000</v>
      </c>
      <c r="Y158" s="297" t="str">
        <f t="shared" ca="1" si="50"/>
        <v>Yes</v>
      </c>
    </row>
    <row r="159" spans="1:25" outlineLevel="1" x14ac:dyDescent="0.75">
      <c r="A159" s="304">
        <f>Consumption!A159</f>
        <v>41422</v>
      </c>
      <c r="B159" s="305">
        <f>Consumption!B159</f>
        <v>0.4</v>
      </c>
      <c r="C159" s="41">
        <f ca="1">Consumption!C159</f>
        <v>0.04</v>
      </c>
      <c r="D159" s="41">
        <f t="shared" si="40"/>
        <v>0.219</v>
      </c>
      <c r="E159" s="41">
        <f t="shared" ca="1" si="51"/>
        <v>6.5179999999999865</v>
      </c>
      <c r="F159" s="306">
        <f ca="1">'Pump Main'!$M$3*1000</f>
        <v>124614.17111887744</v>
      </c>
      <c r="G159" s="41">
        <f t="shared" ca="1" si="41"/>
        <v>4984.5668447550979</v>
      </c>
      <c r="H159" s="6">
        <f t="shared" ca="1" si="42"/>
        <v>8464.282505955196</v>
      </c>
      <c r="I159" s="6">
        <f t="shared" ca="1" si="52"/>
        <v>2.3511895849875546</v>
      </c>
      <c r="J159" s="6">
        <f t="shared" ca="1" si="43"/>
        <v>200</v>
      </c>
      <c r="K159" s="6">
        <f t="shared" ca="1" si="44"/>
        <v>0.2</v>
      </c>
      <c r="L159" s="6">
        <f t="shared" ca="1" si="45"/>
        <v>0.4</v>
      </c>
      <c r="M159">
        <f t="shared" ca="1" si="53"/>
        <v>111.11111111111111</v>
      </c>
      <c r="N159" s="6">
        <f t="shared" si="54"/>
        <v>1200</v>
      </c>
      <c r="O159" s="6">
        <f t="shared" ca="1" si="55"/>
        <v>1313.4623006960987</v>
      </c>
      <c r="P159">
        <f t="shared" si="56"/>
        <v>0</v>
      </c>
      <c r="Q159" s="6">
        <f t="shared" si="46"/>
        <v>0</v>
      </c>
      <c r="R159" s="296">
        <v>15.3</v>
      </c>
      <c r="S159">
        <f t="shared" si="47"/>
        <v>5826.2400000000007</v>
      </c>
      <c r="T159">
        <f t="shared" si="48"/>
        <v>5360.140800000001</v>
      </c>
      <c r="U159">
        <f t="shared" ca="1" si="49"/>
        <v>0</v>
      </c>
      <c r="V159">
        <f t="shared" si="57"/>
        <v>5360.140800000001</v>
      </c>
      <c r="W159">
        <f t="shared" ca="1" si="59"/>
        <v>1313.4623006960987</v>
      </c>
      <c r="X159">
        <f t="shared" ca="1" si="58"/>
        <v>2000</v>
      </c>
      <c r="Y159" s="297" t="str">
        <f t="shared" ca="1" si="50"/>
        <v>Yes</v>
      </c>
    </row>
    <row r="160" spans="1:25" outlineLevel="1" x14ac:dyDescent="0.75">
      <c r="A160" s="304">
        <f>Consumption!A160</f>
        <v>41423</v>
      </c>
      <c r="B160" s="305">
        <f>Consumption!B160</f>
        <v>2.4</v>
      </c>
      <c r="C160" s="41">
        <f ca="1">Consumption!C160</f>
        <v>0.24</v>
      </c>
      <c r="D160" s="41">
        <f t="shared" si="40"/>
        <v>0.219</v>
      </c>
      <c r="E160" s="41">
        <f t="shared" ca="1" si="51"/>
        <v>6.5389999999999864</v>
      </c>
      <c r="F160" s="306">
        <f ca="1">'Pump Main'!$M$3*1000</f>
        <v>124614.17111887744</v>
      </c>
      <c r="G160" s="41">
        <f t="shared" ca="1" si="41"/>
        <v>29907.401068530584</v>
      </c>
      <c r="H160" s="6">
        <f t="shared" ca="1" si="42"/>
        <v>50785.695035731173</v>
      </c>
      <c r="I160" s="6">
        <f t="shared" ca="1" si="52"/>
        <v>14.107137509925325</v>
      </c>
      <c r="J160" s="6">
        <f t="shared" ca="1" si="43"/>
        <v>1200</v>
      </c>
      <c r="K160" s="6">
        <f t="shared" ca="1" si="44"/>
        <v>1.2</v>
      </c>
      <c r="L160" s="6">
        <f t="shared" ca="1" si="45"/>
        <v>2.4</v>
      </c>
      <c r="M160">
        <f t="shared" ca="1" si="53"/>
        <v>666.66666666666663</v>
      </c>
      <c r="N160" s="6">
        <f t="shared" si="54"/>
        <v>1200</v>
      </c>
      <c r="O160" s="6">
        <f t="shared" ca="1" si="55"/>
        <v>1880.773804176592</v>
      </c>
      <c r="P160">
        <f t="shared" si="56"/>
        <v>0</v>
      </c>
      <c r="Q160" s="6">
        <f t="shared" si="46"/>
        <v>0</v>
      </c>
      <c r="R160" s="296">
        <v>15.3</v>
      </c>
      <c r="S160">
        <f t="shared" si="47"/>
        <v>5826.2400000000007</v>
      </c>
      <c r="T160">
        <f t="shared" si="48"/>
        <v>5360.140800000001</v>
      </c>
      <c r="U160">
        <f t="shared" ca="1" si="49"/>
        <v>0</v>
      </c>
      <c r="V160">
        <f t="shared" si="57"/>
        <v>5360.140800000001</v>
      </c>
      <c r="W160">
        <f t="shared" ca="1" si="59"/>
        <v>1880.773804176592</v>
      </c>
      <c r="X160">
        <f t="shared" ca="1" si="58"/>
        <v>2000</v>
      </c>
      <c r="Y160" s="297" t="str">
        <f t="shared" ca="1" si="50"/>
        <v>Yes</v>
      </c>
    </row>
    <row r="161" spans="1:25" outlineLevel="1" x14ac:dyDescent="0.75">
      <c r="A161" s="304">
        <f>Consumption!A161</f>
        <v>41424</v>
      </c>
      <c r="B161" s="305">
        <f>Consumption!B161</f>
        <v>3.6</v>
      </c>
      <c r="C161" s="41">
        <f ca="1">Consumption!C161</f>
        <v>0.36</v>
      </c>
      <c r="D161" s="41">
        <f t="shared" si="40"/>
        <v>0.219</v>
      </c>
      <c r="E161" s="41">
        <f t="shared" ca="1" si="51"/>
        <v>6.6799999999999864</v>
      </c>
      <c r="F161" s="306">
        <f ca="1">'Pump Main'!$M$3*1000</f>
        <v>124614.17111887744</v>
      </c>
      <c r="G161" s="41">
        <f t="shared" ca="1" si="41"/>
        <v>44861.101602795876</v>
      </c>
      <c r="H161" s="6">
        <f t="shared" ca="1" si="42"/>
        <v>76178.542553596752</v>
      </c>
      <c r="I161" s="6">
        <f t="shared" ca="1" si="52"/>
        <v>21.160706264887988</v>
      </c>
      <c r="J161" s="6">
        <f t="shared" ca="1" si="43"/>
        <v>1799.9999999999998</v>
      </c>
      <c r="K161" s="6">
        <f t="shared" ca="1" si="44"/>
        <v>1.7999999999999998</v>
      </c>
      <c r="L161" s="6">
        <f t="shared" ca="1" si="45"/>
        <v>3.5999999999999996</v>
      </c>
      <c r="M161">
        <f t="shared" ca="1" si="53"/>
        <v>999.99999999999989</v>
      </c>
      <c r="N161" s="6">
        <f t="shared" si="54"/>
        <v>1200</v>
      </c>
      <c r="O161" s="6">
        <f t="shared" ca="1" si="55"/>
        <v>2221.1607062648877</v>
      </c>
      <c r="P161">
        <f t="shared" si="56"/>
        <v>0</v>
      </c>
      <c r="Q161" s="6">
        <f t="shared" si="46"/>
        <v>0</v>
      </c>
      <c r="R161" s="296">
        <v>15.3</v>
      </c>
      <c r="S161">
        <f t="shared" si="47"/>
        <v>5826.2400000000007</v>
      </c>
      <c r="T161">
        <f t="shared" si="48"/>
        <v>5360.140800000001</v>
      </c>
      <c r="U161">
        <f t="shared" ca="1" si="49"/>
        <v>0</v>
      </c>
      <c r="V161">
        <f t="shared" si="57"/>
        <v>5360.140800000001</v>
      </c>
      <c r="W161">
        <f t="shared" ca="1" si="59"/>
        <v>2221.1607062648877</v>
      </c>
      <c r="X161">
        <f t="shared" ca="1" si="58"/>
        <v>2000</v>
      </c>
      <c r="Y161" s="297" t="str">
        <f t="shared" ca="1" si="50"/>
        <v>Yes</v>
      </c>
    </row>
    <row r="162" spans="1:25" outlineLevel="1" x14ac:dyDescent="0.75">
      <c r="A162" s="304">
        <f>Consumption!A162</f>
        <v>41425</v>
      </c>
      <c r="B162" s="305">
        <f>Consumption!B162</f>
        <v>0.2</v>
      </c>
      <c r="C162" s="41">
        <f ca="1">Consumption!C162</f>
        <v>0.02</v>
      </c>
      <c r="D162" s="41">
        <f t="shared" si="40"/>
        <v>0.219</v>
      </c>
      <c r="E162" s="41">
        <f t="shared" ca="1" si="51"/>
        <v>6.4809999999999857</v>
      </c>
      <c r="F162" s="306">
        <f ca="1">'Pump Main'!$M$3*1000</f>
        <v>124614.17111887744</v>
      </c>
      <c r="G162" s="41">
        <f t="shared" ca="1" si="41"/>
        <v>2492.283422377549</v>
      </c>
      <c r="H162" s="6">
        <f t="shared" ca="1" si="42"/>
        <v>4232.141252977598</v>
      </c>
      <c r="I162" s="6">
        <f t="shared" ca="1" si="52"/>
        <v>1.1755947924937773</v>
      </c>
      <c r="J162" s="6">
        <f t="shared" ca="1" si="43"/>
        <v>100</v>
      </c>
      <c r="K162" s="6">
        <f t="shared" ca="1" si="44"/>
        <v>0.1</v>
      </c>
      <c r="L162" s="6">
        <f t="shared" ca="1" si="45"/>
        <v>0.2</v>
      </c>
      <c r="M162">
        <f t="shared" ca="1" si="53"/>
        <v>55.555555555555557</v>
      </c>
      <c r="N162" s="6">
        <f t="shared" si="54"/>
        <v>1200</v>
      </c>
      <c r="O162" s="6">
        <f t="shared" ca="1" si="55"/>
        <v>1256.7311503480494</v>
      </c>
      <c r="P162">
        <f t="shared" si="56"/>
        <v>0</v>
      </c>
      <c r="Q162" s="6">
        <f t="shared" si="46"/>
        <v>0</v>
      </c>
      <c r="R162" s="296">
        <v>16</v>
      </c>
      <c r="S162">
        <f t="shared" si="47"/>
        <v>6092.8</v>
      </c>
      <c r="T162">
        <f t="shared" si="48"/>
        <v>5605.3760000000002</v>
      </c>
      <c r="U162">
        <f t="shared" ca="1" si="49"/>
        <v>0</v>
      </c>
      <c r="V162">
        <f t="shared" si="57"/>
        <v>5605.3760000000002</v>
      </c>
      <c r="W162">
        <f t="shared" ca="1" si="59"/>
        <v>1256.7311503480494</v>
      </c>
      <c r="X162">
        <f t="shared" ca="1" si="58"/>
        <v>2000</v>
      </c>
      <c r="Y162" s="297" t="str">
        <f t="shared" ca="1" si="50"/>
        <v>Yes</v>
      </c>
    </row>
    <row r="163" spans="1:25" outlineLevel="1" x14ac:dyDescent="0.75">
      <c r="A163" s="304">
        <f>Consumption!A163</f>
        <v>41426</v>
      </c>
      <c r="B163" s="305">
        <f>Consumption!B163</f>
        <v>0.6</v>
      </c>
      <c r="C163" s="41">
        <f ca="1">Consumption!C163</f>
        <v>0.06</v>
      </c>
      <c r="D163" s="41">
        <f t="shared" si="40"/>
        <v>0.219</v>
      </c>
      <c r="E163" s="41">
        <f t="shared" ca="1" si="51"/>
        <v>6.321999999999985</v>
      </c>
      <c r="F163" s="306">
        <f ca="1">'Pump Main'!$M$3*1000</f>
        <v>124614.17111887744</v>
      </c>
      <c r="G163" s="41">
        <f t="shared" ca="1" si="41"/>
        <v>7476.850267132646</v>
      </c>
      <c r="H163" s="6">
        <f t="shared" ca="1" si="42"/>
        <v>12696.423758932793</v>
      </c>
      <c r="I163" s="6">
        <f t="shared" ca="1" si="52"/>
        <v>3.5267843774813312</v>
      </c>
      <c r="J163" s="6">
        <f t="shared" ca="1" si="43"/>
        <v>300</v>
      </c>
      <c r="K163" s="6">
        <f t="shared" ca="1" si="44"/>
        <v>0.3</v>
      </c>
      <c r="L163" s="6">
        <f t="shared" ca="1" si="45"/>
        <v>0.6</v>
      </c>
      <c r="M163">
        <f t="shared" ca="1" si="53"/>
        <v>166.66666666666666</v>
      </c>
      <c r="N163" s="6">
        <f t="shared" si="54"/>
        <v>1200</v>
      </c>
      <c r="O163" s="6">
        <f t="shared" ca="1" si="55"/>
        <v>1370.1934510441479</v>
      </c>
      <c r="P163">
        <f t="shared" si="56"/>
        <v>0</v>
      </c>
      <c r="Q163" s="6">
        <f t="shared" si="46"/>
        <v>0</v>
      </c>
      <c r="R163" s="296">
        <v>16</v>
      </c>
      <c r="S163">
        <f t="shared" si="47"/>
        <v>6092.8</v>
      </c>
      <c r="T163">
        <f t="shared" si="48"/>
        <v>5605.3760000000002</v>
      </c>
      <c r="U163">
        <f t="shared" ca="1" si="49"/>
        <v>0</v>
      </c>
      <c r="V163">
        <f t="shared" si="57"/>
        <v>5605.3760000000002</v>
      </c>
      <c r="W163">
        <f t="shared" ca="1" si="59"/>
        <v>1370.1934510441479</v>
      </c>
      <c r="X163">
        <f t="shared" ca="1" si="58"/>
        <v>2000</v>
      </c>
      <c r="Y163" s="297" t="str">
        <f t="shared" ca="1" si="50"/>
        <v>Yes</v>
      </c>
    </row>
    <row r="164" spans="1:25" outlineLevel="1" x14ac:dyDescent="0.75">
      <c r="A164" s="304">
        <f>Consumption!A164</f>
        <v>41427</v>
      </c>
      <c r="B164" s="305">
        <f>Consumption!B164</f>
        <v>0</v>
      </c>
      <c r="C164" s="41">
        <f ca="1">Consumption!C164</f>
        <v>0</v>
      </c>
      <c r="D164" s="41">
        <f t="shared" si="40"/>
        <v>0.219</v>
      </c>
      <c r="E164" s="41">
        <f t="shared" ca="1" si="51"/>
        <v>6.1029999999999847</v>
      </c>
      <c r="F164" s="306">
        <f ca="1">'Pump Main'!$M$3*1000</f>
        <v>124614.17111887744</v>
      </c>
      <c r="G164" s="41">
        <f t="shared" ca="1" si="41"/>
        <v>0</v>
      </c>
      <c r="H164" s="6">
        <f t="shared" ca="1" si="42"/>
        <v>0</v>
      </c>
      <c r="I164" s="6">
        <f t="shared" ca="1" si="52"/>
        <v>0</v>
      </c>
      <c r="J164" s="6">
        <f t="shared" ca="1" si="43"/>
        <v>0</v>
      </c>
      <c r="K164" s="6">
        <f t="shared" ca="1" si="44"/>
        <v>0</v>
      </c>
      <c r="L164" s="6">
        <f t="shared" ca="1" si="45"/>
        <v>0</v>
      </c>
      <c r="M164">
        <f t="shared" ca="1" si="53"/>
        <v>0</v>
      </c>
      <c r="N164" s="6">
        <f t="shared" si="54"/>
        <v>1200</v>
      </c>
      <c r="O164" s="6">
        <f t="shared" ca="1" si="55"/>
        <v>1200</v>
      </c>
      <c r="P164">
        <f t="shared" si="56"/>
        <v>0</v>
      </c>
      <c r="Q164" s="6">
        <f t="shared" si="46"/>
        <v>0</v>
      </c>
      <c r="R164" s="296">
        <v>16</v>
      </c>
      <c r="S164">
        <f t="shared" si="47"/>
        <v>6092.8</v>
      </c>
      <c r="T164">
        <f t="shared" si="48"/>
        <v>5605.3760000000002</v>
      </c>
      <c r="U164">
        <f t="shared" ca="1" si="49"/>
        <v>0</v>
      </c>
      <c r="V164">
        <f t="shared" si="57"/>
        <v>5605.3760000000002</v>
      </c>
      <c r="W164">
        <f t="shared" ca="1" si="59"/>
        <v>1200</v>
      </c>
      <c r="X164">
        <f t="shared" ca="1" si="58"/>
        <v>2000</v>
      </c>
      <c r="Y164" s="297" t="str">
        <f t="shared" ca="1" si="50"/>
        <v>Yes</v>
      </c>
    </row>
    <row r="165" spans="1:25" outlineLevel="1" x14ac:dyDescent="0.75">
      <c r="A165" s="304">
        <f>Consumption!A165</f>
        <v>41428</v>
      </c>
      <c r="B165" s="305">
        <f>Consumption!B165</f>
        <v>0</v>
      </c>
      <c r="C165" s="41">
        <f ca="1">Consumption!C165</f>
        <v>0</v>
      </c>
      <c r="D165" s="41">
        <f t="shared" si="40"/>
        <v>0.219</v>
      </c>
      <c r="E165" s="41">
        <f t="shared" ca="1" si="51"/>
        <v>5.8839999999999844</v>
      </c>
      <c r="F165" s="306">
        <f ca="1">'Pump Main'!$M$3*1000</f>
        <v>124614.17111887744</v>
      </c>
      <c r="G165" s="41">
        <f t="shared" ca="1" si="41"/>
        <v>0</v>
      </c>
      <c r="H165" s="6">
        <f t="shared" ca="1" si="42"/>
        <v>0</v>
      </c>
      <c r="I165" s="6">
        <f t="shared" ca="1" si="52"/>
        <v>0</v>
      </c>
      <c r="J165" s="6">
        <f t="shared" ca="1" si="43"/>
        <v>0</v>
      </c>
      <c r="K165" s="6">
        <f t="shared" ca="1" si="44"/>
        <v>0</v>
      </c>
      <c r="L165" s="6">
        <f t="shared" ca="1" si="45"/>
        <v>0</v>
      </c>
      <c r="M165">
        <f t="shared" ca="1" si="53"/>
        <v>0</v>
      </c>
      <c r="N165" s="6">
        <f t="shared" si="54"/>
        <v>1200</v>
      </c>
      <c r="O165" s="6">
        <f t="shared" ca="1" si="55"/>
        <v>1200</v>
      </c>
      <c r="P165">
        <f t="shared" si="56"/>
        <v>0</v>
      </c>
      <c r="Q165" s="6">
        <f t="shared" si="46"/>
        <v>0</v>
      </c>
      <c r="R165" s="296">
        <v>16</v>
      </c>
      <c r="S165">
        <f t="shared" si="47"/>
        <v>6092.8</v>
      </c>
      <c r="T165">
        <f t="shared" si="48"/>
        <v>5605.3760000000002</v>
      </c>
      <c r="U165">
        <f t="shared" ca="1" si="49"/>
        <v>0</v>
      </c>
      <c r="V165">
        <f t="shared" si="57"/>
        <v>5605.3760000000002</v>
      </c>
      <c r="W165">
        <f t="shared" ca="1" si="59"/>
        <v>1200</v>
      </c>
      <c r="X165">
        <f t="shared" ca="1" si="58"/>
        <v>2000</v>
      </c>
      <c r="Y165" s="297" t="str">
        <f t="shared" ca="1" si="50"/>
        <v>Yes</v>
      </c>
    </row>
    <row r="166" spans="1:25" outlineLevel="1" x14ac:dyDescent="0.75">
      <c r="A166" s="304">
        <f>Consumption!A166</f>
        <v>41429</v>
      </c>
      <c r="B166" s="305">
        <f>Consumption!B166</f>
        <v>0.4</v>
      </c>
      <c r="C166" s="41">
        <f ca="1">Consumption!C166</f>
        <v>0.04</v>
      </c>
      <c r="D166" s="41">
        <f t="shared" si="40"/>
        <v>0.219</v>
      </c>
      <c r="E166" s="41">
        <f t="shared" ca="1" si="51"/>
        <v>5.7049999999999841</v>
      </c>
      <c r="F166" s="306">
        <f ca="1">'Pump Main'!$M$3*1000</f>
        <v>124614.17111887744</v>
      </c>
      <c r="G166" s="41">
        <f t="shared" ca="1" si="41"/>
        <v>4984.5668447550979</v>
      </c>
      <c r="H166" s="6">
        <f t="shared" ca="1" si="42"/>
        <v>8464.282505955196</v>
      </c>
      <c r="I166" s="6">
        <f t="shared" ca="1" si="52"/>
        <v>2.3511895849875546</v>
      </c>
      <c r="J166" s="6">
        <f t="shared" ca="1" si="43"/>
        <v>200</v>
      </c>
      <c r="K166" s="6">
        <f t="shared" ca="1" si="44"/>
        <v>0.2</v>
      </c>
      <c r="L166" s="6">
        <f t="shared" ca="1" si="45"/>
        <v>0.4</v>
      </c>
      <c r="M166">
        <f t="shared" ca="1" si="53"/>
        <v>111.11111111111111</v>
      </c>
      <c r="N166" s="6">
        <f t="shared" si="54"/>
        <v>1200</v>
      </c>
      <c r="O166" s="6">
        <f t="shared" ca="1" si="55"/>
        <v>1313.4623006960987</v>
      </c>
      <c r="P166">
        <f t="shared" si="56"/>
        <v>0</v>
      </c>
      <c r="Q166" s="6">
        <f t="shared" si="46"/>
        <v>0</v>
      </c>
      <c r="R166" s="296">
        <v>16</v>
      </c>
      <c r="S166">
        <f t="shared" si="47"/>
        <v>6092.8</v>
      </c>
      <c r="T166">
        <f t="shared" si="48"/>
        <v>5605.3760000000002</v>
      </c>
      <c r="U166">
        <f t="shared" ca="1" si="49"/>
        <v>0</v>
      </c>
      <c r="V166">
        <f t="shared" si="57"/>
        <v>5605.3760000000002</v>
      </c>
      <c r="W166">
        <f t="shared" ca="1" si="59"/>
        <v>1313.4623006960987</v>
      </c>
      <c r="X166">
        <f t="shared" ca="1" si="58"/>
        <v>2000</v>
      </c>
      <c r="Y166" s="297" t="str">
        <f t="shared" ca="1" si="50"/>
        <v>Yes</v>
      </c>
    </row>
    <row r="167" spans="1:25" outlineLevel="1" x14ac:dyDescent="0.75">
      <c r="A167" s="304">
        <f>Consumption!A167</f>
        <v>41430</v>
      </c>
      <c r="B167" s="305">
        <f>Consumption!B167</f>
        <v>0</v>
      </c>
      <c r="C167" s="41">
        <f ca="1">Consumption!C167</f>
        <v>0</v>
      </c>
      <c r="D167" s="41">
        <f t="shared" si="40"/>
        <v>0.219</v>
      </c>
      <c r="E167" s="41">
        <f t="shared" ca="1" si="51"/>
        <v>5.4859999999999838</v>
      </c>
      <c r="F167" s="306">
        <f ca="1">'Pump Main'!$M$3*1000</f>
        <v>124614.17111887744</v>
      </c>
      <c r="G167" s="41">
        <f t="shared" ca="1" si="41"/>
        <v>0</v>
      </c>
      <c r="H167" s="6">
        <f t="shared" ca="1" si="42"/>
        <v>0</v>
      </c>
      <c r="I167" s="6">
        <f t="shared" ca="1" si="52"/>
        <v>0</v>
      </c>
      <c r="J167" s="6">
        <f t="shared" ca="1" si="43"/>
        <v>0</v>
      </c>
      <c r="K167" s="6">
        <f t="shared" ca="1" si="44"/>
        <v>0</v>
      </c>
      <c r="L167" s="6">
        <f t="shared" ca="1" si="45"/>
        <v>0</v>
      </c>
      <c r="M167">
        <f t="shared" ca="1" si="53"/>
        <v>0</v>
      </c>
      <c r="N167" s="6">
        <f t="shared" si="54"/>
        <v>1200</v>
      </c>
      <c r="O167" s="6">
        <f t="shared" ca="1" si="55"/>
        <v>1200</v>
      </c>
      <c r="P167">
        <f t="shared" si="56"/>
        <v>0</v>
      </c>
      <c r="Q167" s="6">
        <f t="shared" si="46"/>
        <v>0</v>
      </c>
      <c r="R167" s="296">
        <v>16</v>
      </c>
      <c r="S167">
        <f t="shared" si="47"/>
        <v>6092.8</v>
      </c>
      <c r="T167">
        <f t="shared" si="48"/>
        <v>5605.3760000000002</v>
      </c>
      <c r="U167">
        <f t="shared" ca="1" si="49"/>
        <v>0</v>
      </c>
      <c r="V167">
        <f t="shared" si="57"/>
        <v>5605.3760000000002</v>
      </c>
      <c r="W167">
        <f t="shared" ca="1" si="59"/>
        <v>1200</v>
      </c>
      <c r="X167">
        <f t="shared" ca="1" si="58"/>
        <v>2000</v>
      </c>
      <c r="Y167" s="297" t="str">
        <f t="shared" ca="1" si="50"/>
        <v>Yes</v>
      </c>
    </row>
    <row r="168" spans="1:25" outlineLevel="1" x14ac:dyDescent="0.75">
      <c r="A168" s="304">
        <f>Consumption!A168</f>
        <v>41431</v>
      </c>
      <c r="B168" s="305">
        <f>Consumption!B168</f>
        <v>11.4</v>
      </c>
      <c r="C168" s="41">
        <f ca="1">Consumption!C168</f>
        <v>1.1399999999999999</v>
      </c>
      <c r="D168" s="41">
        <f t="shared" si="40"/>
        <v>0.219</v>
      </c>
      <c r="E168" s="41">
        <f t="shared" ca="1" si="51"/>
        <v>6.4069999999999832</v>
      </c>
      <c r="F168" s="306">
        <f ca="1">'Pump Main'!$M$3*1000</f>
        <v>124614.17111887744</v>
      </c>
      <c r="G168" s="41">
        <f t="shared" ca="1" si="41"/>
        <v>142060.15507552028</v>
      </c>
      <c r="H168" s="6">
        <f t="shared" ca="1" si="42"/>
        <v>241232.05141972305</v>
      </c>
      <c r="I168" s="6">
        <f t="shared" ca="1" si="52"/>
        <v>67.008903172145295</v>
      </c>
      <c r="J168" s="6">
        <f t="shared" ca="1" si="43"/>
        <v>5699.9999999999991</v>
      </c>
      <c r="K168" s="6">
        <f t="shared" ca="1" si="44"/>
        <v>5.6999999999999993</v>
      </c>
      <c r="L168" s="6">
        <f t="shared" ca="1" si="45"/>
        <v>11.399999999999999</v>
      </c>
      <c r="M168">
        <f t="shared" ca="1" si="53"/>
        <v>3166.6666666666661</v>
      </c>
      <c r="N168" s="6">
        <f t="shared" si="54"/>
        <v>1200</v>
      </c>
      <c r="O168" s="6">
        <f t="shared" ca="1" si="55"/>
        <v>4433.6755698388115</v>
      </c>
      <c r="P168">
        <f t="shared" si="56"/>
        <v>0</v>
      </c>
      <c r="Q168" s="6">
        <f t="shared" si="46"/>
        <v>0</v>
      </c>
      <c r="R168" s="296">
        <v>16</v>
      </c>
      <c r="S168">
        <f t="shared" si="47"/>
        <v>6092.8</v>
      </c>
      <c r="T168">
        <f t="shared" si="48"/>
        <v>5605.3760000000002</v>
      </c>
      <c r="U168">
        <f t="shared" ca="1" si="49"/>
        <v>0</v>
      </c>
      <c r="V168">
        <f t="shared" si="57"/>
        <v>5605.3760000000002</v>
      </c>
      <c r="W168">
        <f t="shared" ca="1" si="59"/>
        <v>4433.6755698388115</v>
      </c>
      <c r="X168">
        <f t="shared" ca="1" si="58"/>
        <v>2000</v>
      </c>
      <c r="Y168" s="297" t="str">
        <f t="shared" ca="1" si="50"/>
        <v>Yes</v>
      </c>
    </row>
    <row r="169" spans="1:25" outlineLevel="1" x14ac:dyDescent="0.75">
      <c r="A169" s="304">
        <f>Consumption!A169</f>
        <v>41432</v>
      </c>
      <c r="B169" s="305">
        <f>Consumption!B169</f>
        <v>1.6</v>
      </c>
      <c r="C169" s="41">
        <f ca="1">Consumption!C169</f>
        <v>0.16</v>
      </c>
      <c r="D169" s="41">
        <f t="shared" si="40"/>
        <v>0.219</v>
      </c>
      <c r="E169" s="41">
        <f t="shared" ca="1" si="51"/>
        <v>6.347999999999983</v>
      </c>
      <c r="F169" s="306">
        <f ca="1">'Pump Main'!$M$3*1000</f>
        <v>124614.17111887744</v>
      </c>
      <c r="G169" s="41">
        <f t="shared" ca="1" si="41"/>
        <v>19938.267379020392</v>
      </c>
      <c r="H169" s="6">
        <f t="shared" ca="1" si="42"/>
        <v>33857.130023820784</v>
      </c>
      <c r="I169" s="6">
        <f t="shared" ca="1" si="52"/>
        <v>9.4047583399502184</v>
      </c>
      <c r="J169" s="6">
        <f t="shared" ca="1" si="43"/>
        <v>800</v>
      </c>
      <c r="K169" s="6">
        <f t="shared" ca="1" si="44"/>
        <v>0.8</v>
      </c>
      <c r="L169" s="6">
        <f t="shared" ca="1" si="45"/>
        <v>1.6</v>
      </c>
      <c r="M169">
        <f t="shared" ca="1" si="53"/>
        <v>444.44444444444446</v>
      </c>
      <c r="N169" s="6">
        <f t="shared" si="54"/>
        <v>1200</v>
      </c>
      <c r="O169" s="6">
        <f t="shared" ca="1" si="55"/>
        <v>1653.8492027843947</v>
      </c>
      <c r="P169">
        <f t="shared" si="56"/>
        <v>0</v>
      </c>
      <c r="Q169" s="6">
        <f t="shared" si="46"/>
        <v>0</v>
      </c>
      <c r="R169" s="296">
        <v>16</v>
      </c>
      <c r="S169">
        <f t="shared" si="47"/>
        <v>6092.8</v>
      </c>
      <c r="T169">
        <f t="shared" si="48"/>
        <v>5605.3760000000002</v>
      </c>
      <c r="U169">
        <f t="shared" ca="1" si="49"/>
        <v>0</v>
      </c>
      <c r="V169">
        <f t="shared" si="57"/>
        <v>5605.3760000000002</v>
      </c>
      <c r="W169">
        <f t="shared" ca="1" si="59"/>
        <v>1653.8492027843947</v>
      </c>
      <c r="X169">
        <f t="shared" ca="1" si="58"/>
        <v>2000</v>
      </c>
      <c r="Y169" s="297" t="str">
        <f t="shared" ca="1" si="50"/>
        <v>Yes</v>
      </c>
    </row>
    <row r="170" spans="1:25" outlineLevel="1" x14ac:dyDescent="0.75">
      <c r="A170" s="304">
        <f>Consumption!A170</f>
        <v>41433</v>
      </c>
      <c r="B170" s="305">
        <f>Consumption!B170</f>
        <v>2.8</v>
      </c>
      <c r="C170" s="41">
        <f ca="1">Consumption!C170</f>
        <v>0.28000000000000003</v>
      </c>
      <c r="D170" s="41">
        <f t="shared" si="40"/>
        <v>0.219</v>
      </c>
      <c r="E170" s="41">
        <f t="shared" ca="1" si="51"/>
        <v>6.4089999999999829</v>
      </c>
      <c r="F170" s="306">
        <f ca="1">'Pump Main'!$M$3*1000</f>
        <v>124614.17111887744</v>
      </c>
      <c r="G170" s="41">
        <f t="shared" ca="1" si="41"/>
        <v>34891.967913285684</v>
      </c>
      <c r="H170" s="6">
        <f t="shared" ca="1" si="42"/>
        <v>59249.97754168637</v>
      </c>
      <c r="I170" s="6">
        <f t="shared" ca="1" si="52"/>
        <v>16.458327094912882</v>
      </c>
      <c r="J170" s="6">
        <f t="shared" ca="1" si="43"/>
        <v>1400.0000000000002</v>
      </c>
      <c r="K170" s="6">
        <f t="shared" ca="1" si="44"/>
        <v>1.4000000000000001</v>
      </c>
      <c r="L170" s="6">
        <f t="shared" ca="1" si="45"/>
        <v>2.8000000000000003</v>
      </c>
      <c r="M170">
        <f t="shared" ca="1" si="53"/>
        <v>777.77777777777794</v>
      </c>
      <c r="N170" s="6">
        <f t="shared" si="54"/>
        <v>1200</v>
      </c>
      <c r="O170" s="6">
        <f t="shared" ca="1" si="55"/>
        <v>1994.2361048726907</v>
      </c>
      <c r="P170">
        <f t="shared" si="56"/>
        <v>0</v>
      </c>
      <c r="Q170" s="6">
        <f t="shared" si="46"/>
        <v>0</v>
      </c>
      <c r="R170" s="296">
        <v>16</v>
      </c>
      <c r="S170">
        <f t="shared" si="47"/>
        <v>6092.8</v>
      </c>
      <c r="T170">
        <f t="shared" si="48"/>
        <v>5605.3760000000002</v>
      </c>
      <c r="U170">
        <f t="shared" ca="1" si="49"/>
        <v>0</v>
      </c>
      <c r="V170">
        <f t="shared" si="57"/>
        <v>5605.3760000000002</v>
      </c>
      <c r="W170">
        <f t="shared" ca="1" si="59"/>
        <v>1994.2361048726907</v>
      </c>
      <c r="X170">
        <f t="shared" ca="1" si="58"/>
        <v>2000</v>
      </c>
      <c r="Y170" s="297" t="str">
        <f t="shared" ca="1" si="50"/>
        <v>Yes</v>
      </c>
    </row>
    <row r="171" spans="1:25" outlineLevel="1" x14ac:dyDescent="0.75">
      <c r="A171" s="304">
        <f>Consumption!A171</f>
        <v>41434</v>
      </c>
      <c r="B171" s="305">
        <f>Consumption!B171</f>
        <v>0.6</v>
      </c>
      <c r="C171" s="41">
        <f ca="1">Consumption!C171</f>
        <v>0.06</v>
      </c>
      <c r="D171" s="41">
        <f t="shared" si="40"/>
        <v>0.219</v>
      </c>
      <c r="E171" s="41">
        <f t="shared" ca="1" si="51"/>
        <v>6.2499999999999822</v>
      </c>
      <c r="F171" s="306">
        <f ca="1">'Pump Main'!$M$3*1000</f>
        <v>124614.17111887744</v>
      </c>
      <c r="G171" s="41">
        <f t="shared" ca="1" si="41"/>
        <v>7476.850267132646</v>
      </c>
      <c r="H171" s="6">
        <f t="shared" ca="1" si="42"/>
        <v>12696.423758932793</v>
      </c>
      <c r="I171" s="6">
        <f t="shared" ca="1" si="52"/>
        <v>3.5267843774813312</v>
      </c>
      <c r="J171" s="6">
        <f t="shared" ca="1" si="43"/>
        <v>300</v>
      </c>
      <c r="K171" s="6">
        <f t="shared" ca="1" si="44"/>
        <v>0.3</v>
      </c>
      <c r="L171" s="6">
        <f t="shared" ca="1" si="45"/>
        <v>0.6</v>
      </c>
      <c r="M171">
        <f t="shared" ca="1" si="53"/>
        <v>166.66666666666666</v>
      </c>
      <c r="N171" s="6">
        <f t="shared" si="54"/>
        <v>1200</v>
      </c>
      <c r="O171" s="6">
        <f t="shared" ca="1" si="55"/>
        <v>1370.1934510441479</v>
      </c>
      <c r="P171">
        <f t="shared" si="56"/>
        <v>0</v>
      </c>
      <c r="Q171" s="6">
        <f t="shared" si="46"/>
        <v>0</v>
      </c>
      <c r="R171" s="296">
        <v>16</v>
      </c>
      <c r="S171">
        <f t="shared" si="47"/>
        <v>6092.8</v>
      </c>
      <c r="T171">
        <f t="shared" si="48"/>
        <v>5605.3760000000002</v>
      </c>
      <c r="U171">
        <f t="shared" ca="1" si="49"/>
        <v>0</v>
      </c>
      <c r="V171">
        <f t="shared" si="57"/>
        <v>5605.3760000000002</v>
      </c>
      <c r="W171">
        <f t="shared" ca="1" si="59"/>
        <v>1370.1934510441479</v>
      </c>
      <c r="X171">
        <f t="shared" ca="1" si="58"/>
        <v>2000</v>
      </c>
      <c r="Y171" s="297" t="str">
        <f t="shared" ca="1" si="50"/>
        <v>Yes</v>
      </c>
    </row>
    <row r="172" spans="1:25" outlineLevel="1" x14ac:dyDescent="0.75">
      <c r="A172" s="304">
        <f>Consumption!A172</f>
        <v>41435</v>
      </c>
      <c r="B172" s="305">
        <f>Consumption!B172</f>
        <v>1.2</v>
      </c>
      <c r="C172" s="41">
        <f ca="1">Consumption!C172</f>
        <v>0.12</v>
      </c>
      <c r="D172" s="41">
        <f t="shared" si="40"/>
        <v>0.219</v>
      </c>
      <c r="E172" s="41">
        <f t="shared" ca="1" si="51"/>
        <v>6.150999999999982</v>
      </c>
      <c r="F172" s="306">
        <f ca="1">'Pump Main'!$M$3*1000</f>
        <v>124614.17111887744</v>
      </c>
      <c r="G172" s="41">
        <f t="shared" ca="1" si="41"/>
        <v>14953.700534265292</v>
      </c>
      <c r="H172" s="6">
        <f t="shared" ca="1" si="42"/>
        <v>25392.847517865586</v>
      </c>
      <c r="I172" s="6">
        <f t="shared" ca="1" si="52"/>
        <v>7.0535687549626624</v>
      </c>
      <c r="J172" s="6">
        <f t="shared" ca="1" si="43"/>
        <v>600</v>
      </c>
      <c r="K172" s="6">
        <f t="shared" ca="1" si="44"/>
        <v>0.6</v>
      </c>
      <c r="L172" s="6">
        <f t="shared" ca="1" si="45"/>
        <v>1.2</v>
      </c>
      <c r="M172">
        <f t="shared" ca="1" si="53"/>
        <v>333.33333333333331</v>
      </c>
      <c r="N172" s="6">
        <f t="shared" si="54"/>
        <v>1200</v>
      </c>
      <c r="O172" s="6">
        <f t="shared" ca="1" si="55"/>
        <v>1540.386902088296</v>
      </c>
      <c r="P172">
        <f t="shared" si="56"/>
        <v>0</v>
      </c>
      <c r="Q172" s="6">
        <f t="shared" si="46"/>
        <v>0</v>
      </c>
      <c r="R172" s="296">
        <v>16</v>
      </c>
      <c r="S172">
        <f t="shared" si="47"/>
        <v>6092.8</v>
      </c>
      <c r="T172">
        <f t="shared" si="48"/>
        <v>5605.3760000000002</v>
      </c>
      <c r="U172">
        <f t="shared" ca="1" si="49"/>
        <v>0</v>
      </c>
      <c r="V172">
        <f t="shared" si="57"/>
        <v>5605.3760000000002</v>
      </c>
      <c r="W172">
        <f t="shared" ca="1" si="59"/>
        <v>1540.386902088296</v>
      </c>
      <c r="X172">
        <f t="shared" ca="1" si="58"/>
        <v>2000</v>
      </c>
      <c r="Y172" s="297" t="str">
        <f t="shared" ca="1" si="50"/>
        <v>Yes</v>
      </c>
    </row>
    <row r="173" spans="1:25" outlineLevel="1" x14ac:dyDescent="0.75">
      <c r="A173" s="304">
        <f>Consumption!A173</f>
        <v>41436</v>
      </c>
      <c r="B173" s="305">
        <f>Consumption!B173</f>
        <v>19.600000000000001</v>
      </c>
      <c r="C173" s="41">
        <f ca="1">Consumption!C173</f>
        <v>1.9600000000000002</v>
      </c>
      <c r="D173" s="41">
        <f t="shared" si="40"/>
        <v>0.219</v>
      </c>
      <c r="E173" s="41">
        <f t="shared" ca="1" si="51"/>
        <v>7.8919999999999826</v>
      </c>
      <c r="F173" s="306">
        <f ca="1">'Pump Main'!$M$3*1000</f>
        <v>124614.17111887744</v>
      </c>
      <c r="G173" s="41">
        <f t="shared" ca="1" si="41"/>
        <v>244243.77539299979</v>
      </c>
      <c r="H173" s="6">
        <f t="shared" ca="1" si="42"/>
        <v>414749.84279180458</v>
      </c>
      <c r="I173" s="6">
        <f t="shared" ca="1" si="52"/>
        <v>115.20828966439016</v>
      </c>
      <c r="J173" s="6">
        <f t="shared" ca="1" si="43"/>
        <v>9800</v>
      </c>
      <c r="K173" s="6">
        <f t="shared" ca="1" si="44"/>
        <v>9.8000000000000007</v>
      </c>
      <c r="L173" s="6">
        <f t="shared" ca="1" si="45"/>
        <v>19.600000000000001</v>
      </c>
      <c r="M173">
        <f t="shared" ca="1" si="53"/>
        <v>5444.4444444444443</v>
      </c>
      <c r="N173" s="6">
        <f t="shared" si="54"/>
        <v>1200</v>
      </c>
      <c r="O173" s="6">
        <f t="shared" ca="1" si="55"/>
        <v>6759.6527341088349</v>
      </c>
      <c r="P173">
        <f t="shared" si="56"/>
        <v>0</v>
      </c>
      <c r="Q173" s="6">
        <f t="shared" si="46"/>
        <v>0</v>
      </c>
      <c r="R173" s="296">
        <v>16</v>
      </c>
      <c r="S173">
        <f t="shared" si="47"/>
        <v>6092.8</v>
      </c>
      <c r="T173">
        <f t="shared" si="48"/>
        <v>5605.3760000000002</v>
      </c>
      <c r="U173">
        <f t="shared" ca="1" si="49"/>
        <v>0</v>
      </c>
      <c r="V173">
        <f t="shared" si="57"/>
        <v>5605.3760000000002</v>
      </c>
      <c r="W173">
        <f t="shared" ca="1" si="59"/>
        <v>6759.6527341088349</v>
      </c>
      <c r="X173">
        <f t="shared" ca="1" si="58"/>
        <v>339.85602863663007</v>
      </c>
      <c r="Y173" s="297" t="str">
        <f t="shared" ca="1" si="50"/>
        <v>Yes</v>
      </c>
    </row>
    <row r="174" spans="1:25" outlineLevel="1" x14ac:dyDescent="0.75">
      <c r="A174" s="304">
        <f>Consumption!A174</f>
        <v>41437</v>
      </c>
      <c r="B174" s="305">
        <f>Consumption!B174</f>
        <v>7.4</v>
      </c>
      <c r="C174" s="41">
        <f ca="1">Consumption!C174</f>
        <v>0.74</v>
      </c>
      <c r="D174" s="41">
        <f t="shared" si="40"/>
        <v>0.219</v>
      </c>
      <c r="E174" s="41">
        <f t="shared" ca="1" si="51"/>
        <v>8.4129999999999825</v>
      </c>
      <c r="F174" s="306">
        <f ca="1">'Pump Main'!$M$3*1000</f>
        <v>124614.17111887744</v>
      </c>
      <c r="G174" s="41">
        <f t="shared" ca="1" si="41"/>
        <v>92214.486627969294</v>
      </c>
      <c r="H174" s="6">
        <f t="shared" ca="1" si="42"/>
        <v>156589.2263601711</v>
      </c>
      <c r="I174" s="6">
        <f t="shared" ca="1" si="52"/>
        <v>43.497007322269752</v>
      </c>
      <c r="J174" s="6">
        <f t="shared" ca="1" si="43"/>
        <v>3700</v>
      </c>
      <c r="K174" s="6">
        <f t="shared" ca="1" si="44"/>
        <v>3.7</v>
      </c>
      <c r="L174" s="6">
        <f t="shared" ca="1" si="45"/>
        <v>7.4</v>
      </c>
      <c r="M174">
        <f t="shared" ca="1" si="53"/>
        <v>2055.5555555555557</v>
      </c>
      <c r="N174" s="6">
        <f t="shared" si="54"/>
        <v>1200</v>
      </c>
      <c r="O174" s="6">
        <f t="shared" ca="1" si="55"/>
        <v>3299.0525628778255</v>
      </c>
      <c r="P174">
        <f t="shared" si="56"/>
        <v>0</v>
      </c>
      <c r="Q174" s="6">
        <f t="shared" si="46"/>
        <v>0</v>
      </c>
      <c r="R174" s="296">
        <v>16</v>
      </c>
      <c r="S174">
        <f t="shared" si="47"/>
        <v>6092.8</v>
      </c>
      <c r="T174">
        <f t="shared" si="48"/>
        <v>5605.3760000000002</v>
      </c>
      <c r="U174">
        <f t="shared" ca="1" si="49"/>
        <v>0</v>
      </c>
      <c r="V174">
        <f t="shared" si="57"/>
        <v>5605.3760000000002</v>
      </c>
      <c r="W174">
        <f t="shared" ca="1" si="59"/>
        <v>3299.0525628778255</v>
      </c>
      <c r="X174">
        <f t="shared" ca="1" si="58"/>
        <v>2000</v>
      </c>
      <c r="Y174" s="297" t="str">
        <f t="shared" ca="1" si="50"/>
        <v>Yes</v>
      </c>
    </row>
    <row r="175" spans="1:25" outlineLevel="1" x14ac:dyDescent="0.75">
      <c r="A175" s="304">
        <f>Consumption!A175</f>
        <v>41438</v>
      </c>
      <c r="B175" s="305">
        <f>Consumption!B175</f>
        <v>0.2</v>
      </c>
      <c r="C175" s="41">
        <f ca="1">Consumption!C175</f>
        <v>0.02</v>
      </c>
      <c r="D175" s="41">
        <f t="shared" si="40"/>
        <v>0.219</v>
      </c>
      <c r="E175" s="41">
        <f t="shared" ca="1" si="51"/>
        <v>8.2139999999999826</v>
      </c>
      <c r="F175" s="306">
        <f ca="1">'Pump Main'!$M$3*1000</f>
        <v>124614.17111887744</v>
      </c>
      <c r="G175" s="41">
        <f t="shared" ca="1" si="41"/>
        <v>2492.283422377549</v>
      </c>
      <c r="H175" s="6">
        <f t="shared" ca="1" si="42"/>
        <v>4232.141252977598</v>
      </c>
      <c r="I175" s="6">
        <f t="shared" ca="1" si="52"/>
        <v>1.1755947924937773</v>
      </c>
      <c r="J175" s="6">
        <f t="shared" ca="1" si="43"/>
        <v>100</v>
      </c>
      <c r="K175" s="6">
        <f t="shared" ca="1" si="44"/>
        <v>0.1</v>
      </c>
      <c r="L175" s="6">
        <f t="shared" ca="1" si="45"/>
        <v>0.2</v>
      </c>
      <c r="M175">
        <f t="shared" ca="1" si="53"/>
        <v>55.555555555555557</v>
      </c>
      <c r="N175" s="6">
        <f t="shared" si="54"/>
        <v>1200</v>
      </c>
      <c r="O175" s="6">
        <f t="shared" ca="1" si="55"/>
        <v>1256.7311503480494</v>
      </c>
      <c r="P175">
        <f t="shared" si="56"/>
        <v>0</v>
      </c>
      <c r="Q175" s="6">
        <f t="shared" si="46"/>
        <v>0</v>
      </c>
      <c r="R175" s="296">
        <v>16</v>
      </c>
      <c r="S175">
        <f t="shared" si="47"/>
        <v>6092.8</v>
      </c>
      <c r="T175">
        <f t="shared" si="48"/>
        <v>5605.3760000000002</v>
      </c>
      <c r="U175">
        <f t="shared" ca="1" si="49"/>
        <v>0</v>
      </c>
      <c r="V175">
        <f t="shared" si="57"/>
        <v>5605.3760000000002</v>
      </c>
      <c r="W175">
        <f t="shared" ca="1" si="59"/>
        <v>1256.7311503480494</v>
      </c>
      <c r="X175">
        <f t="shared" ca="1" si="58"/>
        <v>2000</v>
      </c>
      <c r="Y175" s="297" t="str">
        <f t="shared" ca="1" si="50"/>
        <v>Yes</v>
      </c>
    </row>
    <row r="176" spans="1:25" outlineLevel="1" x14ac:dyDescent="0.75">
      <c r="A176" s="304">
        <f>Consumption!A176</f>
        <v>41439</v>
      </c>
      <c r="B176" s="305">
        <f>Consumption!B176</f>
        <v>0</v>
      </c>
      <c r="C176" s="41">
        <f ca="1">Consumption!C176</f>
        <v>0</v>
      </c>
      <c r="D176" s="41">
        <f t="shared" si="40"/>
        <v>0.219</v>
      </c>
      <c r="E176" s="41">
        <f t="shared" ca="1" si="51"/>
        <v>7.9949999999999823</v>
      </c>
      <c r="F176" s="306">
        <f ca="1">'Pump Main'!$M$3*1000</f>
        <v>124614.17111887744</v>
      </c>
      <c r="G176" s="41">
        <f t="shared" ca="1" si="41"/>
        <v>0</v>
      </c>
      <c r="H176" s="6">
        <f t="shared" ca="1" si="42"/>
        <v>0</v>
      </c>
      <c r="I176" s="6">
        <f t="shared" ca="1" si="52"/>
        <v>0</v>
      </c>
      <c r="J176" s="6">
        <f t="shared" ca="1" si="43"/>
        <v>0</v>
      </c>
      <c r="K176" s="6">
        <f t="shared" ca="1" si="44"/>
        <v>0</v>
      </c>
      <c r="L176" s="6">
        <f t="shared" ca="1" si="45"/>
        <v>0</v>
      </c>
      <c r="M176">
        <f t="shared" ca="1" si="53"/>
        <v>0</v>
      </c>
      <c r="N176" s="6">
        <f t="shared" si="54"/>
        <v>1200</v>
      </c>
      <c r="O176" s="6">
        <f t="shared" ca="1" si="55"/>
        <v>1200</v>
      </c>
      <c r="P176">
        <f t="shared" si="56"/>
        <v>0</v>
      </c>
      <c r="Q176" s="6">
        <f t="shared" si="46"/>
        <v>0</v>
      </c>
      <c r="R176" s="296">
        <v>16</v>
      </c>
      <c r="S176">
        <f t="shared" si="47"/>
        <v>6092.8</v>
      </c>
      <c r="T176">
        <f t="shared" si="48"/>
        <v>5605.3760000000002</v>
      </c>
      <c r="U176">
        <f t="shared" ca="1" si="49"/>
        <v>0</v>
      </c>
      <c r="V176">
        <f t="shared" si="57"/>
        <v>5605.3760000000002</v>
      </c>
      <c r="W176">
        <f t="shared" ca="1" si="59"/>
        <v>1200</v>
      </c>
      <c r="X176">
        <f t="shared" ca="1" si="58"/>
        <v>2000</v>
      </c>
      <c r="Y176" s="297" t="str">
        <f t="shared" ca="1" si="50"/>
        <v>Yes</v>
      </c>
    </row>
    <row r="177" spans="1:25" outlineLevel="1" x14ac:dyDescent="0.75">
      <c r="A177" s="304">
        <f>Consumption!A177</f>
        <v>41440</v>
      </c>
      <c r="B177" s="305">
        <f>Consumption!B177</f>
        <v>1.2</v>
      </c>
      <c r="C177" s="41">
        <f ca="1">Consumption!C177</f>
        <v>0.12</v>
      </c>
      <c r="D177" s="41">
        <f t="shared" si="40"/>
        <v>0.219</v>
      </c>
      <c r="E177" s="41">
        <f t="shared" ca="1" si="51"/>
        <v>7.8959999999999821</v>
      </c>
      <c r="F177" s="306">
        <f ca="1">'Pump Main'!$M$3*1000</f>
        <v>124614.17111887744</v>
      </c>
      <c r="G177" s="41">
        <f t="shared" ca="1" si="41"/>
        <v>14953.700534265292</v>
      </c>
      <c r="H177" s="6">
        <f t="shared" ca="1" si="42"/>
        <v>25392.847517865586</v>
      </c>
      <c r="I177" s="6">
        <f t="shared" ca="1" si="52"/>
        <v>7.0535687549626624</v>
      </c>
      <c r="J177" s="6">
        <f t="shared" ca="1" si="43"/>
        <v>600</v>
      </c>
      <c r="K177" s="6">
        <f t="shared" ca="1" si="44"/>
        <v>0.6</v>
      </c>
      <c r="L177" s="6">
        <f t="shared" ca="1" si="45"/>
        <v>1.2</v>
      </c>
      <c r="M177">
        <f t="shared" ca="1" si="53"/>
        <v>333.33333333333331</v>
      </c>
      <c r="N177" s="6">
        <f t="shared" si="54"/>
        <v>1200</v>
      </c>
      <c r="O177" s="6">
        <f t="shared" ca="1" si="55"/>
        <v>1540.386902088296</v>
      </c>
      <c r="P177">
        <f t="shared" si="56"/>
        <v>0</v>
      </c>
      <c r="Q177" s="6">
        <f t="shared" si="46"/>
        <v>0</v>
      </c>
      <c r="R177" s="296">
        <v>16</v>
      </c>
      <c r="S177">
        <f t="shared" si="47"/>
        <v>6092.8</v>
      </c>
      <c r="T177">
        <f t="shared" si="48"/>
        <v>5605.3760000000002</v>
      </c>
      <c r="U177">
        <f t="shared" ca="1" si="49"/>
        <v>0</v>
      </c>
      <c r="V177">
        <f t="shared" si="57"/>
        <v>5605.3760000000002</v>
      </c>
      <c r="W177">
        <f t="shared" ca="1" si="59"/>
        <v>1540.386902088296</v>
      </c>
      <c r="X177">
        <f t="shared" ca="1" si="58"/>
        <v>2000</v>
      </c>
      <c r="Y177" s="297" t="str">
        <f t="shared" ca="1" si="50"/>
        <v>Yes</v>
      </c>
    </row>
    <row r="178" spans="1:25" outlineLevel="1" x14ac:dyDescent="0.75">
      <c r="A178" s="304">
        <f>Consumption!A178</f>
        <v>41441</v>
      </c>
      <c r="B178" s="305">
        <f>Consumption!B178</f>
        <v>0.4</v>
      </c>
      <c r="C178" s="41">
        <f ca="1">Consumption!C178</f>
        <v>0.04</v>
      </c>
      <c r="D178" s="41">
        <f t="shared" si="40"/>
        <v>0.219</v>
      </c>
      <c r="E178" s="41">
        <f t="shared" ca="1" si="51"/>
        <v>7.7169999999999819</v>
      </c>
      <c r="F178" s="306">
        <f ca="1">'Pump Main'!$M$3*1000</f>
        <v>124614.17111887744</v>
      </c>
      <c r="G178" s="41">
        <f t="shared" ca="1" si="41"/>
        <v>4984.5668447550979</v>
      </c>
      <c r="H178" s="6">
        <f t="shared" ca="1" si="42"/>
        <v>8464.282505955196</v>
      </c>
      <c r="I178" s="6">
        <f t="shared" ca="1" si="52"/>
        <v>2.3511895849875546</v>
      </c>
      <c r="J178" s="6">
        <f t="shared" ca="1" si="43"/>
        <v>200</v>
      </c>
      <c r="K178" s="6">
        <f t="shared" ca="1" si="44"/>
        <v>0.2</v>
      </c>
      <c r="L178" s="6">
        <f t="shared" ca="1" si="45"/>
        <v>0.4</v>
      </c>
      <c r="M178">
        <f t="shared" ca="1" si="53"/>
        <v>111.11111111111111</v>
      </c>
      <c r="N178" s="6">
        <f t="shared" si="54"/>
        <v>1200</v>
      </c>
      <c r="O178" s="6">
        <f t="shared" ca="1" si="55"/>
        <v>1313.4623006960987</v>
      </c>
      <c r="P178">
        <f t="shared" si="56"/>
        <v>0</v>
      </c>
      <c r="Q178" s="6">
        <f t="shared" si="46"/>
        <v>0</v>
      </c>
      <c r="R178" s="296">
        <v>16</v>
      </c>
      <c r="S178">
        <f t="shared" si="47"/>
        <v>6092.8</v>
      </c>
      <c r="T178">
        <f t="shared" si="48"/>
        <v>5605.3760000000002</v>
      </c>
      <c r="U178">
        <f t="shared" ca="1" si="49"/>
        <v>0</v>
      </c>
      <c r="V178">
        <f t="shared" si="57"/>
        <v>5605.3760000000002</v>
      </c>
      <c r="W178">
        <f t="shared" ca="1" si="59"/>
        <v>1313.4623006960987</v>
      </c>
      <c r="X178">
        <f t="shared" ca="1" si="58"/>
        <v>2000</v>
      </c>
      <c r="Y178" s="297" t="str">
        <f t="shared" ca="1" si="50"/>
        <v>Yes</v>
      </c>
    </row>
    <row r="179" spans="1:25" outlineLevel="1" x14ac:dyDescent="0.75">
      <c r="A179" s="304">
        <f>Consumption!A179</f>
        <v>41442</v>
      </c>
      <c r="B179" s="305">
        <f>Consumption!B179</f>
        <v>2.4</v>
      </c>
      <c r="C179" s="41">
        <f ca="1">Consumption!C179</f>
        <v>0.24</v>
      </c>
      <c r="D179" s="41">
        <f t="shared" si="40"/>
        <v>0.219</v>
      </c>
      <c r="E179" s="41">
        <f t="shared" ca="1" si="51"/>
        <v>7.7379999999999818</v>
      </c>
      <c r="F179" s="306">
        <f ca="1">'Pump Main'!$M$3*1000</f>
        <v>124614.17111887744</v>
      </c>
      <c r="G179" s="41">
        <f t="shared" ca="1" si="41"/>
        <v>29907.401068530584</v>
      </c>
      <c r="H179" s="6">
        <f t="shared" ca="1" si="42"/>
        <v>50785.695035731173</v>
      </c>
      <c r="I179" s="6">
        <f t="shared" ca="1" si="52"/>
        <v>14.107137509925325</v>
      </c>
      <c r="J179" s="6">
        <f t="shared" ca="1" si="43"/>
        <v>1200</v>
      </c>
      <c r="K179" s="6">
        <f t="shared" ca="1" si="44"/>
        <v>1.2</v>
      </c>
      <c r="L179" s="6">
        <f t="shared" ca="1" si="45"/>
        <v>2.4</v>
      </c>
      <c r="M179">
        <f t="shared" ca="1" si="53"/>
        <v>666.66666666666663</v>
      </c>
      <c r="N179" s="6">
        <f t="shared" si="54"/>
        <v>1200</v>
      </c>
      <c r="O179" s="6">
        <f t="shared" ca="1" si="55"/>
        <v>1880.773804176592</v>
      </c>
      <c r="P179">
        <f t="shared" si="56"/>
        <v>0</v>
      </c>
      <c r="Q179" s="6">
        <f t="shared" si="46"/>
        <v>0</v>
      </c>
      <c r="R179" s="296">
        <v>16</v>
      </c>
      <c r="S179">
        <f t="shared" si="47"/>
        <v>6092.8</v>
      </c>
      <c r="T179">
        <f t="shared" si="48"/>
        <v>5605.3760000000002</v>
      </c>
      <c r="U179">
        <f t="shared" ca="1" si="49"/>
        <v>0</v>
      </c>
      <c r="V179">
        <f t="shared" si="57"/>
        <v>5605.3760000000002</v>
      </c>
      <c r="W179">
        <f t="shared" ca="1" si="59"/>
        <v>1880.773804176592</v>
      </c>
      <c r="X179">
        <f t="shared" ca="1" si="58"/>
        <v>2000</v>
      </c>
      <c r="Y179" s="297" t="str">
        <f t="shared" ca="1" si="50"/>
        <v>Yes</v>
      </c>
    </row>
    <row r="180" spans="1:25" outlineLevel="1" x14ac:dyDescent="0.75">
      <c r="A180" s="304">
        <f>Consumption!A180</f>
        <v>41443</v>
      </c>
      <c r="B180" s="305">
        <f>Consumption!B180</f>
        <v>1.8</v>
      </c>
      <c r="C180" s="41">
        <f ca="1">Consumption!C180</f>
        <v>0.18</v>
      </c>
      <c r="D180" s="41">
        <f t="shared" si="40"/>
        <v>0.219</v>
      </c>
      <c r="E180" s="41">
        <f t="shared" ca="1" si="51"/>
        <v>7.6989999999999812</v>
      </c>
      <c r="F180" s="306">
        <f ca="1">'Pump Main'!$M$3*1000</f>
        <v>124614.17111887744</v>
      </c>
      <c r="G180" s="41">
        <f t="shared" ca="1" si="41"/>
        <v>22430.550801397938</v>
      </c>
      <c r="H180" s="6">
        <f t="shared" ca="1" si="42"/>
        <v>38089.271276798376</v>
      </c>
      <c r="I180" s="6">
        <f t="shared" ca="1" si="52"/>
        <v>10.580353132443994</v>
      </c>
      <c r="J180" s="6">
        <f t="shared" ca="1" si="43"/>
        <v>899.99999999999989</v>
      </c>
      <c r="K180" s="6">
        <f t="shared" ca="1" si="44"/>
        <v>0.89999999999999991</v>
      </c>
      <c r="L180" s="6">
        <f t="shared" ca="1" si="45"/>
        <v>1.7999999999999998</v>
      </c>
      <c r="M180">
        <f t="shared" ca="1" si="53"/>
        <v>499.99999999999994</v>
      </c>
      <c r="N180" s="6">
        <f t="shared" si="54"/>
        <v>1200</v>
      </c>
      <c r="O180" s="6">
        <f t="shared" ca="1" si="55"/>
        <v>1710.5803531324439</v>
      </c>
      <c r="P180">
        <f t="shared" si="56"/>
        <v>0</v>
      </c>
      <c r="Q180" s="6">
        <f t="shared" si="46"/>
        <v>0</v>
      </c>
      <c r="R180" s="296">
        <v>16</v>
      </c>
      <c r="S180">
        <f t="shared" si="47"/>
        <v>6092.8</v>
      </c>
      <c r="T180">
        <f t="shared" si="48"/>
        <v>5605.3760000000002</v>
      </c>
      <c r="U180">
        <f t="shared" ca="1" si="49"/>
        <v>0</v>
      </c>
      <c r="V180">
        <f t="shared" si="57"/>
        <v>5605.3760000000002</v>
      </c>
      <c r="W180">
        <f t="shared" ca="1" si="59"/>
        <v>1710.5803531324439</v>
      </c>
      <c r="X180">
        <f t="shared" ca="1" si="58"/>
        <v>2000</v>
      </c>
      <c r="Y180" s="297" t="str">
        <f t="shared" ca="1" si="50"/>
        <v>Yes</v>
      </c>
    </row>
    <row r="181" spans="1:25" outlineLevel="1" x14ac:dyDescent="0.75">
      <c r="A181" s="304">
        <f>Consumption!A181</f>
        <v>41444</v>
      </c>
      <c r="B181" s="305">
        <f>Consumption!B181</f>
        <v>6.8</v>
      </c>
      <c r="C181" s="41">
        <f ca="1">Consumption!C181</f>
        <v>0.68</v>
      </c>
      <c r="D181" s="41">
        <f t="shared" si="40"/>
        <v>0.219</v>
      </c>
      <c r="E181" s="41">
        <f t="shared" ca="1" si="51"/>
        <v>8.1599999999999824</v>
      </c>
      <c r="F181" s="306">
        <f ca="1">'Pump Main'!$M$3*1000</f>
        <v>124614.17111887744</v>
      </c>
      <c r="G181" s="41">
        <f t="shared" ca="1" si="41"/>
        <v>84737.636360836666</v>
      </c>
      <c r="H181" s="6">
        <f t="shared" ca="1" si="42"/>
        <v>143892.80260123833</v>
      </c>
      <c r="I181" s="6">
        <f t="shared" ca="1" si="52"/>
        <v>39.970222944788425</v>
      </c>
      <c r="J181" s="6">
        <f t="shared" ca="1" si="43"/>
        <v>3400.0000000000005</v>
      </c>
      <c r="K181" s="6">
        <f t="shared" ca="1" si="44"/>
        <v>3.4000000000000004</v>
      </c>
      <c r="L181" s="6">
        <f t="shared" ca="1" si="45"/>
        <v>6.8000000000000007</v>
      </c>
      <c r="M181">
        <f t="shared" ca="1" si="53"/>
        <v>1888.8888888888891</v>
      </c>
      <c r="N181" s="6">
        <f t="shared" si="54"/>
        <v>1200</v>
      </c>
      <c r="O181" s="6">
        <f t="shared" ca="1" si="55"/>
        <v>3128.8591118336776</v>
      </c>
      <c r="P181">
        <f t="shared" si="56"/>
        <v>0</v>
      </c>
      <c r="Q181" s="6">
        <f t="shared" si="46"/>
        <v>0</v>
      </c>
      <c r="R181" s="296">
        <v>16</v>
      </c>
      <c r="S181">
        <f t="shared" si="47"/>
        <v>6092.8</v>
      </c>
      <c r="T181">
        <f t="shared" si="48"/>
        <v>5605.3760000000002</v>
      </c>
      <c r="U181">
        <f t="shared" ca="1" si="49"/>
        <v>0</v>
      </c>
      <c r="V181">
        <f t="shared" si="57"/>
        <v>5605.3760000000002</v>
      </c>
      <c r="W181">
        <f t="shared" ca="1" si="59"/>
        <v>3128.8591118336776</v>
      </c>
      <c r="X181">
        <f t="shared" ca="1" si="58"/>
        <v>2000</v>
      </c>
      <c r="Y181" s="297" t="str">
        <f t="shared" ca="1" si="50"/>
        <v>Yes</v>
      </c>
    </row>
    <row r="182" spans="1:25" outlineLevel="1" x14ac:dyDescent="0.75">
      <c r="A182" s="304">
        <f>Consumption!A182</f>
        <v>41445</v>
      </c>
      <c r="B182" s="305">
        <f>Consumption!B182</f>
        <v>5.4</v>
      </c>
      <c r="C182" s="41">
        <f ca="1">Consumption!C182</f>
        <v>0.54</v>
      </c>
      <c r="D182" s="41">
        <f t="shared" si="40"/>
        <v>0.219</v>
      </c>
      <c r="E182" s="41">
        <f t="shared" ca="1" si="51"/>
        <v>8.4809999999999821</v>
      </c>
      <c r="F182" s="306">
        <f ca="1">'Pump Main'!$M$3*1000</f>
        <v>124614.17111887744</v>
      </c>
      <c r="G182" s="41">
        <f t="shared" ca="1" si="41"/>
        <v>67291.652404193825</v>
      </c>
      <c r="H182" s="6">
        <f t="shared" ca="1" si="42"/>
        <v>114267.81383039514</v>
      </c>
      <c r="I182" s="6">
        <f t="shared" ca="1" si="52"/>
        <v>31.741059397331984</v>
      </c>
      <c r="J182" s="6">
        <f t="shared" ca="1" si="43"/>
        <v>2700</v>
      </c>
      <c r="K182" s="6">
        <f t="shared" ca="1" si="44"/>
        <v>2.7</v>
      </c>
      <c r="L182" s="6">
        <f t="shared" ca="1" si="45"/>
        <v>5.4</v>
      </c>
      <c r="M182">
        <f t="shared" ca="1" si="53"/>
        <v>1500</v>
      </c>
      <c r="N182" s="6">
        <f t="shared" si="54"/>
        <v>1200</v>
      </c>
      <c r="O182" s="6">
        <f t="shared" ca="1" si="55"/>
        <v>2731.7410593973318</v>
      </c>
      <c r="P182">
        <f t="shared" si="56"/>
        <v>0</v>
      </c>
      <c r="Q182" s="6">
        <f t="shared" si="46"/>
        <v>0</v>
      </c>
      <c r="R182" s="296">
        <v>16</v>
      </c>
      <c r="S182">
        <f t="shared" si="47"/>
        <v>6092.8</v>
      </c>
      <c r="T182">
        <f t="shared" si="48"/>
        <v>5605.3760000000002</v>
      </c>
      <c r="U182">
        <f t="shared" ca="1" si="49"/>
        <v>0</v>
      </c>
      <c r="V182">
        <f t="shared" si="57"/>
        <v>5605.3760000000002</v>
      </c>
      <c r="W182">
        <f t="shared" ca="1" si="59"/>
        <v>2731.7410593973318</v>
      </c>
      <c r="X182">
        <f t="shared" ca="1" si="58"/>
        <v>2000</v>
      </c>
      <c r="Y182" s="297" t="str">
        <f t="shared" ca="1" si="50"/>
        <v>Yes</v>
      </c>
    </row>
    <row r="183" spans="1:25" outlineLevel="1" x14ac:dyDescent="0.75">
      <c r="A183" s="304">
        <f>Consumption!A183</f>
        <v>41446</v>
      </c>
      <c r="B183" s="305">
        <f>Consumption!B183</f>
        <v>0</v>
      </c>
      <c r="C183" s="41">
        <f ca="1">Consumption!C183</f>
        <v>0</v>
      </c>
      <c r="D183" s="41">
        <f t="shared" si="40"/>
        <v>0.219</v>
      </c>
      <c r="E183" s="41">
        <f t="shared" ca="1" si="51"/>
        <v>8.2619999999999827</v>
      </c>
      <c r="F183" s="306">
        <f ca="1">'Pump Main'!$M$3*1000</f>
        <v>124614.17111887744</v>
      </c>
      <c r="G183" s="41">
        <f t="shared" ca="1" si="41"/>
        <v>0</v>
      </c>
      <c r="H183" s="6">
        <f t="shared" ca="1" si="42"/>
        <v>0</v>
      </c>
      <c r="I183" s="6">
        <f t="shared" ca="1" si="52"/>
        <v>0</v>
      </c>
      <c r="J183" s="6">
        <f t="shared" ca="1" si="43"/>
        <v>0</v>
      </c>
      <c r="K183" s="6">
        <f t="shared" ca="1" si="44"/>
        <v>0</v>
      </c>
      <c r="L183" s="6">
        <f t="shared" ca="1" si="45"/>
        <v>0</v>
      </c>
      <c r="M183">
        <f t="shared" ca="1" si="53"/>
        <v>0</v>
      </c>
      <c r="N183" s="6">
        <f t="shared" si="54"/>
        <v>1200</v>
      </c>
      <c r="O183" s="6">
        <f t="shared" ca="1" si="55"/>
        <v>1200</v>
      </c>
      <c r="P183">
        <f t="shared" si="56"/>
        <v>0</v>
      </c>
      <c r="Q183" s="6">
        <f t="shared" si="46"/>
        <v>0</v>
      </c>
      <c r="R183" s="296">
        <v>16</v>
      </c>
      <c r="S183">
        <f t="shared" si="47"/>
        <v>6092.8</v>
      </c>
      <c r="T183">
        <f t="shared" si="48"/>
        <v>5605.3760000000002</v>
      </c>
      <c r="U183">
        <f t="shared" ca="1" si="49"/>
        <v>0</v>
      </c>
      <c r="V183">
        <f t="shared" si="57"/>
        <v>5605.3760000000002</v>
      </c>
      <c r="W183">
        <f t="shared" ca="1" si="59"/>
        <v>1200</v>
      </c>
      <c r="X183">
        <f t="shared" ca="1" si="58"/>
        <v>2000</v>
      </c>
      <c r="Y183" s="297" t="str">
        <f t="shared" ca="1" si="50"/>
        <v>Yes</v>
      </c>
    </row>
    <row r="184" spans="1:25" outlineLevel="1" x14ac:dyDescent="0.75">
      <c r="A184" s="304">
        <f>Consumption!A184</f>
        <v>41447</v>
      </c>
      <c r="B184" s="305">
        <f>Consumption!B184</f>
        <v>0</v>
      </c>
      <c r="C184" s="41">
        <f ca="1">Consumption!C184</f>
        <v>0</v>
      </c>
      <c r="D184" s="41">
        <f t="shared" si="40"/>
        <v>0.219</v>
      </c>
      <c r="E184" s="41">
        <f t="shared" ca="1" si="51"/>
        <v>8.0429999999999833</v>
      </c>
      <c r="F184" s="306">
        <f ca="1">'Pump Main'!$M$3*1000</f>
        <v>124614.17111887744</v>
      </c>
      <c r="G184" s="41">
        <f t="shared" ca="1" si="41"/>
        <v>0</v>
      </c>
      <c r="H184" s="6">
        <f t="shared" ca="1" si="42"/>
        <v>0</v>
      </c>
      <c r="I184" s="6">
        <f t="shared" ca="1" si="52"/>
        <v>0</v>
      </c>
      <c r="J184" s="6">
        <f t="shared" ca="1" si="43"/>
        <v>0</v>
      </c>
      <c r="K184" s="6">
        <f t="shared" ca="1" si="44"/>
        <v>0</v>
      </c>
      <c r="L184" s="6">
        <f t="shared" ca="1" si="45"/>
        <v>0</v>
      </c>
      <c r="M184">
        <f t="shared" ca="1" si="53"/>
        <v>0</v>
      </c>
      <c r="N184" s="6">
        <f t="shared" si="54"/>
        <v>1200</v>
      </c>
      <c r="O184" s="6">
        <f t="shared" ca="1" si="55"/>
        <v>1200</v>
      </c>
      <c r="P184">
        <f t="shared" si="56"/>
        <v>0</v>
      </c>
      <c r="Q184" s="6">
        <f t="shared" si="46"/>
        <v>0</v>
      </c>
      <c r="R184" s="296">
        <v>16</v>
      </c>
      <c r="S184">
        <f t="shared" si="47"/>
        <v>6092.8</v>
      </c>
      <c r="T184">
        <f t="shared" si="48"/>
        <v>5605.3760000000002</v>
      </c>
      <c r="U184">
        <f t="shared" ca="1" si="49"/>
        <v>0</v>
      </c>
      <c r="V184">
        <f t="shared" si="57"/>
        <v>5605.3760000000002</v>
      </c>
      <c r="W184">
        <f t="shared" ca="1" si="59"/>
        <v>1200</v>
      </c>
      <c r="X184">
        <f t="shared" ca="1" si="58"/>
        <v>2000</v>
      </c>
      <c r="Y184" s="297" t="str">
        <f t="shared" ca="1" si="50"/>
        <v>Yes</v>
      </c>
    </row>
    <row r="185" spans="1:25" outlineLevel="1" x14ac:dyDescent="0.75">
      <c r="A185" s="304">
        <f>Consumption!A185</f>
        <v>41448</v>
      </c>
      <c r="B185" s="305">
        <f>Consumption!B185</f>
        <v>0.8</v>
      </c>
      <c r="C185" s="41">
        <f ca="1">Consumption!C185</f>
        <v>0.08</v>
      </c>
      <c r="D185" s="41">
        <f t="shared" si="40"/>
        <v>0.219</v>
      </c>
      <c r="E185" s="41">
        <f t="shared" ca="1" si="51"/>
        <v>7.903999999999983</v>
      </c>
      <c r="F185" s="306">
        <f ca="1">'Pump Main'!$M$3*1000</f>
        <v>124614.17111887744</v>
      </c>
      <c r="G185" s="41">
        <f t="shared" ca="1" si="41"/>
        <v>9969.1336895101958</v>
      </c>
      <c r="H185" s="6">
        <f t="shared" ca="1" si="42"/>
        <v>16928.565011910392</v>
      </c>
      <c r="I185" s="6">
        <f t="shared" ca="1" si="52"/>
        <v>4.7023791699751092</v>
      </c>
      <c r="J185" s="6">
        <f t="shared" ca="1" si="43"/>
        <v>400</v>
      </c>
      <c r="K185" s="6">
        <f t="shared" ca="1" si="44"/>
        <v>0.4</v>
      </c>
      <c r="L185" s="6">
        <f t="shared" ca="1" si="45"/>
        <v>0.8</v>
      </c>
      <c r="M185">
        <f t="shared" ca="1" si="53"/>
        <v>222.22222222222223</v>
      </c>
      <c r="N185" s="6">
        <f t="shared" si="54"/>
        <v>1200</v>
      </c>
      <c r="O185" s="6">
        <f t="shared" ca="1" si="55"/>
        <v>1426.9246013921972</v>
      </c>
      <c r="P185">
        <f t="shared" si="56"/>
        <v>0</v>
      </c>
      <c r="Q185" s="6">
        <f t="shared" si="46"/>
        <v>0</v>
      </c>
      <c r="R185" s="296">
        <v>16</v>
      </c>
      <c r="S185">
        <f t="shared" si="47"/>
        <v>6092.8</v>
      </c>
      <c r="T185">
        <f t="shared" si="48"/>
        <v>5605.3760000000002</v>
      </c>
      <c r="U185">
        <f t="shared" ca="1" si="49"/>
        <v>0</v>
      </c>
      <c r="V185">
        <f t="shared" si="57"/>
        <v>5605.3760000000002</v>
      </c>
      <c r="W185">
        <f t="shared" ca="1" si="59"/>
        <v>1426.9246013921972</v>
      </c>
      <c r="X185">
        <f t="shared" ca="1" si="58"/>
        <v>2000</v>
      </c>
      <c r="Y185" s="297" t="str">
        <f t="shared" ca="1" si="50"/>
        <v>Yes</v>
      </c>
    </row>
    <row r="186" spans="1:25" outlineLevel="1" x14ac:dyDescent="0.75">
      <c r="A186" s="304">
        <f>Consumption!A186</f>
        <v>41449</v>
      </c>
      <c r="B186" s="305">
        <f>Consumption!B186</f>
        <v>7</v>
      </c>
      <c r="C186" s="41">
        <f ca="1">Consumption!C186</f>
        <v>0.7</v>
      </c>
      <c r="D186" s="41">
        <f t="shared" si="40"/>
        <v>0.219</v>
      </c>
      <c r="E186" s="41">
        <f t="shared" ca="1" si="51"/>
        <v>8.3849999999999838</v>
      </c>
      <c r="F186" s="306">
        <f ca="1">'Pump Main'!$M$3*1000</f>
        <v>124614.17111887744</v>
      </c>
      <c r="G186" s="41">
        <f t="shared" ca="1" si="41"/>
        <v>87229.919783214194</v>
      </c>
      <c r="H186" s="6">
        <f t="shared" ca="1" si="42"/>
        <v>148124.9438542159</v>
      </c>
      <c r="I186" s="6">
        <f t="shared" ca="1" si="52"/>
        <v>41.145817737282194</v>
      </c>
      <c r="J186" s="6">
        <f t="shared" ca="1" si="43"/>
        <v>3500</v>
      </c>
      <c r="K186" s="6">
        <f t="shared" ca="1" si="44"/>
        <v>3.5</v>
      </c>
      <c r="L186" s="6">
        <f t="shared" ca="1" si="45"/>
        <v>7</v>
      </c>
      <c r="M186">
        <f t="shared" ca="1" si="53"/>
        <v>1944.4444444444443</v>
      </c>
      <c r="N186" s="6">
        <f t="shared" si="54"/>
        <v>1200</v>
      </c>
      <c r="O186" s="6">
        <f t="shared" ca="1" si="55"/>
        <v>3185.5902621817268</v>
      </c>
      <c r="P186">
        <f t="shared" si="56"/>
        <v>0</v>
      </c>
      <c r="Q186" s="6">
        <f t="shared" si="46"/>
        <v>0</v>
      </c>
      <c r="R186" s="296">
        <v>16</v>
      </c>
      <c r="S186">
        <f t="shared" si="47"/>
        <v>6092.8</v>
      </c>
      <c r="T186">
        <f t="shared" si="48"/>
        <v>5605.3760000000002</v>
      </c>
      <c r="U186">
        <f t="shared" ca="1" si="49"/>
        <v>0</v>
      </c>
      <c r="V186">
        <f t="shared" si="57"/>
        <v>5605.3760000000002</v>
      </c>
      <c r="W186">
        <f t="shared" ca="1" si="59"/>
        <v>3185.5902621817268</v>
      </c>
      <c r="X186">
        <f t="shared" ca="1" si="58"/>
        <v>2000</v>
      </c>
      <c r="Y186" s="297" t="str">
        <f t="shared" ca="1" si="50"/>
        <v>Yes</v>
      </c>
    </row>
    <row r="187" spans="1:25" outlineLevel="1" x14ac:dyDescent="0.75">
      <c r="A187" s="304">
        <f>Consumption!A187</f>
        <v>41450</v>
      </c>
      <c r="B187" s="305">
        <f>Consumption!B187</f>
        <v>0</v>
      </c>
      <c r="C187" s="41">
        <f ca="1">Consumption!C187</f>
        <v>0</v>
      </c>
      <c r="D187" s="41">
        <f t="shared" si="40"/>
        <v>0.219</v>
      </c>
      <c r="E187" s="41">
        <f t="shared" ca="1" si="51"/>
        <v>8.1659999999999844</v>
      </c>
      <c r="F187" s="306">
        <f ca="1">'Pump Main'!$M$3*1000</f>
        <v>124614.17111887744</v>
      </c>
      <c r="G187" s="41">
        <f t="shared" ca="1" si="41"/>
        <v>0</v>
      </c>
      <c r="H187" s="6">
        <f t="shared" ca="1" si="42"/>
        <v>0</v>
      </c>
      <c r="I187" s="6">
        <f t="shared" ca="1" si="52"/>
        <v>0</v>
      </c>
      <c r="J187" s="6">
        <f t="shared" ca="1" si="43"/>
        <v>0</v>
      </c>
      <c r="K187" s="6">
        <f t="shared" ca="1" si="44"/>
        <v>0</v>
      </c>
      <c r="L187" s="6">
        <f t="shared" ca="1" si="45"/>
        <v>0</v>
      </c>
      <c r="M187">
        <f t="shared" ca="1" si="53"/>
        <v>0</v>
      </c>
      <c r="N187" s="6">
        <f t="shared" si="54"/>
        <v>1200</v>
      </c>
      <c r="O187" s="6">
        <f t="shared" ca="1" si="55"/>
        <v>1200</v>
      </c>
      <c r="P187">
        <f t="shared" si="56"/>
        <v>0</v>
      </c>
      <c r="Q187" s="6">
        <f t="shared" si="46"/>
        <v>0</v>
      </c>
      <c r="R187" s="296">
        <v>16</v>
      </c>
      <c r="S187">
        <f t="shared" si="47"/>
        <v>6092.8</v>
      </c>
      <c r="T187">
        <f t="shared" si="48"/>
        <v>5605.3760000000002</v>
      </c>
      <c r="U187">
        <f t="shared" ca="1" si="49"/>
        <v>0</v>
      </c>
      <c r="V187">
        <f t="shared" si="57"/>
        <v>5605.3760000000002</v>
      </c>
      <c r="W187">
        <f t="shared" ca="1" si="59"/>
        <v>1200</v>
      </c>
      <c r="X187">
        <f t="shared" ca="1" si="58"/>
        <v>2000</v>
      </c>
      <c r="Y187" s="297" t="str">
        <f t="shared" ca="1" si="50"/>
        <v>Yes</v>
      </c>
    </row>
    <row r="188" spans="1:25" outlineLevel="1" x14ac:dyDescent="0.75">
      <c r="A188" s="304">
        <f>Consumption!A188</f>
        <v>41451</v>
      </c>
      <c r="B188" s="305">
        <f>Consumption!B188</f>
        <v>1.4</v>
      </c>
      <c r="C188" s="41">
        <f ca="1">Consumption!C188</f>
        <v>0.14000000000000001</v>
      </c>
      <c r="D188" s="41">
        <f t="shared" si="40"/>
        <v>0.219</v>
      </c>
      <c r="E188" s="41">
        <f t="shared" ca="1" si="51"/>
        <v>8.0869999999999855</v>
      </c>
      <c r="F188" s="306">
        <f ca="1">'Pump Main'!$M$3*1000</f>
        <v>124614.17111887744</v>
      </c>
      <c r="G188" s="41">
        <f t="shared" ca="1" si="41"/>
        <v>17445.983956642842</v>
      </c>
      <c r="H188" s="6">
        <f t="shared" ca="1" si="42"/>
        <v>29624.988770843185</v>
      </c>
      <c r="I188" s="6">
        <f t="shared" ca="1" si="52"/>
        <v>8.2291635474564409</v>
      </c>
      <c r="J188" s="6">
        <f t="shared" ca="1" si="43"/>
        <v>700.00000000000011</v>
      </c>
      <c r="K188" s="6">
        <f t="shared" ca="1" si="44"/>
        <v>0.70000000000000007</v>
      </c>
      <c r="L188" s="6">
        <f t="shared" ca="1" si="45"/>
        <v>1.4000000000000001</v>
      </c>
      <c r="M188">
        <f t="shared" ca="1" si="53"/>
        <v>388.88888888888897</v>
      </c>
      <c r="N188" s="6">
        <f t="shared" si="54"/>
        <v>1200</v>
      </c>
      <c r="O188" s="6">
        <f t="shared" ca="1" si="55"/>
        <v>1597.1180524363454</v>
      </c>
      <c r="P188">
        <f t="shared" si="56"/>
        <v>0</v>
      </c>
      <c r="Q188" s="6">
        <f t="shared" si="46"/>
        <v>0</v>
      </c>
      <c r="R188" s="296">
        <v>16</v>
      </c>
      <c r="S188">
        <f t="shared" si="47"/>
        <v>6092.8</v>
      </c>
      <c r="T188">
        <f t="shared" si="48"/>
        <v>5605.3760000000002</v>
      </c>
      <c r="U188">
        <f t="shared" ca="1" si="49"/>
        <v>0</v>
      </c>
      <c r="V188">
        <f t="shared" si="57"/>
        <v>5605.3760000000002</v>
      </c>
      <c r="W188">
        <f t="shared" ca="1" si="59"/>
        <v>1597.1180524363454</v>
      </c>
      <c r="X188">
        <f t="shared" ca="1" si="58"/>
        <v>2000</v>
      </c>
      <c r="Y188" s="297" t="str">
        <f t="shared" ca="1" si="50"/>
        <v>Yes</v>
      </c>
    </row>
    <row r="189" spans="1:25" outlineLevel="1" x14ac:dyDescent="0.75">
      <c r="A189" s="304">
        <f>Consumption!A189</f>
        <v>41452</v>
      </c>
      <c r="B189" s="305">
        <f>Consumption!B189</f>
        <v>2</v>
      </c>
      <c r="C189" s="41">
        <f ca="1">Consumption!C189</f>
        <v>0.2</v>
      </c>
      <c r="D189" s="41">
        <f t="shared" si="40"/>
        <v>0.219</v>
      </c>
      <c r="E189" s="41">
        <f t="shared" ca="1" si="51"/>
        <v>8.0679999999999854</v>
      </c>
      <c r="F189" s="306">
        <f ca="1">'Pump Main'!$M$3*1000</f>
        <v>124614.17111887744</v>
      </c>
      <c r="G189" s="41">
        <f t="shared" ca="1" si="41"/>
        <v>24922.834223775488</v>
      </c>
      <c r="H189" s="6">
        <f t="shared" ca="1" si="42"/>
        <v>42321.412529775975</v>
      </c>
      <c r="I189" s="6">
        <f t="shared" ca="1" si="52"/>
        <v>11.755947924937772</v>
      </c>
      <c r="J189" s="6">
        <f t="shared" ca="1" si="43"/>
        <v>1000</v>
      </c>
      <c r="K189" s="6">
        <f t="shared" ca="1" si="44"/>
        <v>1</v>
      </c>
      <c r="L189" s="6">
        <f t="shared" ca="1" si="45"/>
        <v>2</v>
      </c>
      <c r="M189">
        <f t="shared" ca="1" si="53"/>
        <v>555.55555555555554</v>
      </c>
      <c r="N189" s="6">
        <f t="shared" si="54"/>
        <v>1200</v>
      </c>
      <c r="O189" s="6">
        <f t="shared" ca="1" si="55"/>
        <v>1767.3115034804932</v>
      </c>
      <c r="P189">
        <f t="shared" si="56"/>
        <v>0</v>
      </c>
      <c r="Q189" s="6">
        <f t="shared" si="46"/>
        <v>0</v>
      </c>
      <c r="R189" s="296">
        <v>16</v>
      </c>
      <c r="S189">
        <f t="shared" si="47"/>
        <v>6092.8</v>
      </c>
      <c r="T189">
        <f t="shared" si="48"/>
        <v>5605.3760000000002</v>
      </c>
      <c r="U189">
        <f t="shared" ca="1" si="49"/>
        <v>0</v>
      </c>
      <c r="V189">
        <f t="shared" si="57"/>
        <v>5605.3760000000002</v>
      </c>
      <c r="W189">
        <f t="shared" ca="1" si="59"/>
        <v>1767.3115034804932</v>
      </c>
      <c r="X189">
        <f t="shared" ca="1" si="58"/>
        <v>2000</v>
      </c>
      <c r="Y189" s="297" t="str">
        <f t="shared" ca="1" si="50"/>
        <v>Yes</v>
      </c>
    </row>
    <row r="190" spans="1:25" outlineLevel="1" x14ac:dyDescent="0.75">
      <c r="A190" s="304">
        <f>Consumption!A190</f>
        <v>41453</v>
      </c>
      <c r="B190" s="305">
        <f>Consumption!B190</f>
        <v>3.4</v>
      </c>
      <c r="C190" s="41">
        <f ca="1">Consumption!C190</f>
        <v>0.34</v>
      </c>
      <c r="D190" s="41">
        <f t="shared" si="40"/>
        <v>0.219</v>
      </c>
      <c r="E190" s="41">
        <f t="shared" ca="1" si="51"/>
        <v>8.1889999999999858</v>
      </c>
      <c r="F190" s="306">
        <f ca="1">'Pump Main'!$M$3*1000</f>
        <v>124614.17111887744</v>
      </c>
      <c r="G190" s="41">
        <f t="shared" ca="1" si="41"/>
        <v>42368.818180418333</v>
      </c>
      <c r="H190" s="6">
        <f t="shared" ca="1" si="42"/>
        <v>71946.401300619167</v>
      </c>
      <c r="I190" s="6">
        <f t="shared" ca="1" si="52"/>
        <v>19.985111472394212</v>
      </c>
      <c r="J190" s="6">
        <f t="shared" ca="1" si="43"/>
        <v>1700.0000000000002</v>
      </c>
      <c r="K190" s="6">
        <f t="shared" ca="1" si="44"/>
        <v>1.7000000000000002</v>
      </c>
      <c r="L190" s="6">
        <f t="shared" ca="1" si="45"/>
        <v>3.4000000000000004</v>
      </c>
      <c r="M190">
        <f t="shared" ca="1" si="53"/>
        <v>944.44444444444457</v>
      </c>
      <c r="N190" s="6">
        <f t="shared" si="54"/>
        <v>1200</v>
      </c>
      <c r="O190" s="6">
        <f t="shared" ca="1" si="55"/>
        <v>2164.4295559168386</v>
      </c>
      <c r="P190">
        <f t="shared" si="56"/>
        <v>0</v>
      </c>
      <c r="Q190" s="6">
        <f t="shared" si="46"/>
        <v>0</v>
      </c>
      <c r="R190" s="296">
        <v>16</v>
      </c>
      <c r="S190">
        <f t="shared" si="47"/>
        <v>6092.8</v>
      </c>
      <c r="T190">
        <f t="shared" si="48"/>
        <v>5605.3760000000002</v>
      </c>
      <c r="U190">
        <f t="shared" ca="1" si="49"/>
        <v>0</v>
      </c>
      <c r="V190">
        <f t="shared" si="57"/>
        <v>5605.3760000000002</v>
      </c>
      <c r="W190">
        <f t="shared" ca="1" si="59"/>
        <v>2164.4295559168386</v>
      </c>
      <c r="X190">
        <f t="shared" ca="1" si="58"/>
        <v>2000</v>
      </c>
      <c r="Y190" s="297" t="str">
        <f t="shared" ca="1" si="50"/>
        <v>Yes</v>
      </c>
    </row>
    <row r="191" spans="1:25" outlineLevel="1" x14ac:dyDescent="0.75">
      <c r="A191" s="304">
        <f>Consumption!A191</f>
        <v>41454</v>
      </c>
      <c r="B191" s="305">
        <f>Consumption!B191</f>
        <v>0</v>
      </c>
      <c r="C191" s="41">
        <f ca="1">Consumption!C191</f>
        <v>0</v>
      </c>
      <c r="D191" s="41">
        <f t="shared" si="40"/>
        <v>0.219</v>
      </c>
      <c r="E191" s="41">
        <f t="shared" ca="1" si="51"/>
        <v>7.9699999999999855</v>
      </c>
      <c r="F191" s="306">
        <f ca="1">'Pump Main'!$M$3*1000</f>
        <v>124614.17111887744</v>
      </c>
      <c r="G191" s="41">
        <f t="shared" ca="1" si="41"/>
        <v>0</v>
      </c>
      <c r="H191" s="6">
        <f t="shared" ca="1" si="42"/>
        <v>0</v>
      </c>
      <c r="I191" s="6">
        <f t="shared" ca="1" si="52"/>
        <v>0</v>
      </c>
      <c r="J191" s="6">
        <f t="shared" ca="1" si="43"/>
        <v>0</v>
      </c>
      <c r="K191" s="6">
        <f t="shared" ca="1" si="44"/>
        <v>0</v>
      </c>
      <c r="L191" s="6">
        <f t="shared" ca="1" si="45"/>
        <v>0</v>
      </c>
      <c r="M191">
        <f t="shared" ca="1" si="53"/>
        <v>0</v>
      </c>
      <c r="N191" s="6">
        <f t="shared" si="54"/>
        <v>1200</v>
      </c>
      <c r="O191" s="6">
        <f t="shared" ca="1" si="55"/>
        <v>1200</v>
      </c>
      <c r="P191">
        <f t="shared" si="56"/>
        <v>0</v>
      </c>
      <c r="Q191" s="6">
        <f t="shared" si="46"/>
        <v>0</v>
      </c>
      <c r="R191" s="296">
        <v>16</v>
      </c>
      <c r="S191">
        <f t="shared" si="47"/>
        <v>6092.8</v>
      </c>
      <c r="T191">
        <f t="shared" si="48"/>
        <v>5605.3760000000002</v>
      </c>
      <c r="U191">
        <f t="shared" ca="1" si="49"/>
        <v>0</v>
      </c>
      <c r="V191">
        <f t="shared" si="57"/>
        <v>5605.3760000000002</v>
      </c>
      <c r="W191">
        <f t="shared" ca="1" si="59"/>
        <v>1200</v>
      </c>
      <c r="X191">
        <f t="shared" ca="1" si="58"/>
        <v>2000</v>
      </c>
      <c r="Y191" s="297" t="str">
        <f t="shared" ca="1" si="50"/>
        <v>Yes</v>
      </c>
    </row>
    <row r="192" spans="1:25" outlineLevel="1" x14ac:dyDescent="0.75">
      <c r="A192" s="304">
        <f>Consumption!A192</f>
        <v>41455</v>
      </c>
      <c r="B192" s="305">
        <f>Consumption!B192</f>
        <v>0</v>
      </c>
      <c r="C192" s="41">
        <f ca="1">Consumption!C192</f>
        <v>0</v>
      </c>
      <c r="D192" s="41">
        <f t="shared" si="40"/>
        <v>0.219</v>
      </c>
      <c r="E192" s="41">
        <f t="shared" ca="1" si="51"/>
        <v>7.7509999999999852</v>
      </c>
      <c r="F192" s="306">
        <f ca="1">'Pump Main'!$M$3*1000</f>
        <v>124614.17111887744</v>
      </c>
      <c r="G192" s="41">
        <f t="shared" ca="1" si="41"/>
        <v>0</v>
      </c>
      <c r="H192" s="6">
        <f t="shared" ca="1" si="42"/>
        <v>0</v>
      </c>
      <c r="I192" s="6">
        <f t="shared" ca="1" si="52"/>
        <v>0</v>
      </c>
      <c r="J192" s="6">
        <f t="shared" ca="1" si="43"/>
        <v>0</v>
      </c>
      <c r="K192" s="6">
        <f t="shared" ca="1" si="44"/>
        <v>0</v>
      </c>
      <c r="L192" s="6">
        <f t="shared" ca="1" si="45"/>
        <v>0</v>
      </c>
      <c r="M192">
        <f t="shared" ca="1" si="53"/>
        <v>0</v>
      </c>
      <c r="N192" s="6">
        <f t="shared" si="54"/>
        <v>1200</v>
      </c>
      <c r="O192" s="6">
        <f t="shared" ca="1" si="55"/>
        <v>1200</v>
      </c>
      <c r="P192">
        <f t="shared" si="56"/>
        <v>0</v>
      </c>
      <c r="Q192" s="6">
        <f t="shared" si="46"/>
        <v>0</v>
      </c>
      <c r="R192" s="296">
        <v>16</v>
      </c>
      <c r="S192">
        <f t="shared" si="47"/>
        <v>6092.8</v>
      </c>
      <c r="T192">
        <f t="shared" si="48"/>
        <v>5605.3760000000002</v>
      </c>
      <c r="U192">
        <f t="shared" ca="1" si="49"/>
        <v>0</v>
      </c>
      <c r="V192">
        <f t="shared" si="57"/>
        <v>5605.3760000000002</v>
      </c>
      <c r="W192">
        <f t="shared" ca="1" si="59"/>
        <v>1200</v>
      </c>
      <c r="X192">
        <f t="shared" ca="1" si="58"/>
        <v>2000</v>
      </c>
      <c r="Y192" s="297" t="str">
        <f t="shared" ca="1" si="50"/>
        <v>Yes</v>
      </c>
    </row>
    <row r="193" spans="1:25" outlineLevel="1" x14ac:dyDescent="0.75">
      <c r="A193" s="304">
        <f>Consumption!A193</f>
        <v>41456</v>
      </c>
      <c r="B193" s="305">
        <f>Consumption!B193</f>
        <v>1.6</v>
      </c>
      <c r="C193" s="41">
        <f ca="1">Consumption!C193</f>
        <v>0.16</v>
      </c>
      <c r="D193" s="41">
        <f t="shared" si="40"/>
        <v>0.219</v>
      </c>
      <c r="E193" s="41">
        <f t="shared" ca="1" si="51"/>
        <v>7.6919999999999851</v>
      </c>
      <c r="F193" s="306">
        <f ca="1">'Pump Main'!$M$3*1000</f>
        <v>124614.17111887744</v>
      </c>
      <c r="G193" s="41">
        <f t="shared" ca="1" si="41"/>
        <v>19938.267379020392</v>
      </c>
      <c r="H193" s="6">
        <f t="shared" ca="1" si="42"/>
        <v>33857.130023820784</v>
      </c>
      <c r="I193" s="6">
        <f t="shared" ca="1" si="52"/>
        <v>9.4047583399502184</v>
      </c>
      <c r="J193" s="6">
        <f t="shared" ca="1" si="43"/>
        <v>800</v>
      </c>
      <c r="K193" s="6">
        <f t="shared" ca="1" si="44"/>
        <v>0.8</v>
      </c>
      <c r="L193" s="6">
        <f t="shared" ca="1" si="45"/>
        <v>1.6</v>
      </c>
      <c r="M193">
        <f t="shared" ca="1" si="53"/>
        <v>444.44444444444446</v>
      </c>
      <c r="N193" s="6">
        <f t="shared" si="54"/>
        <v>1200</v>
      </c>
      <c r="O193" s="6">
        <f t="shared" ca="1" si="55"/>
        <v>1653.8492027843947</v>
      </c>
      <c r="P193">
        <f t="shared" si="56"/>
        <v>0</v>
      </c>
      <c r="Q193" s="6">
        <f t="shared" si="46"/>
        <v>0</v>
      </c>
      <c r="R193" s="296">
        <v>15.75</v>
      </c>
      <c r="S193">
        <f t="shared" si="47"/>
        <v>5997.6</v>
      </c>
      <c r="T193">
        <f t="shared" si="48"/>
        <v>5517.7920000000004</v>
      </c>
      <c r="U193">
        <f t="shared" ca="1" si="49"/>
        <v>0</v>
      </c>
      <c r="V193">
        <f t="shared" si="57"/>
        <v>5517.7920000000004</v>
      </c>
      <c r="W193">
        <f t="shared" ca="1" si="59"/>
        <v>1653.8492027843947</v>
      </c>
      <c r="X193">
        <f t="shared" ca="1" si="58"/>
        <v>2000</v>
      </c>
      <c r="Y193" s="297" t="str">
        <f t="shared" ca="1" si="50"/>
        <v>Yes</v>
      </c>
    </row>
    <row r="194" spans="1:25" outlineLevel="1" x14ac:dyDescent="0.75">
      <c r="A194" s="304">
        <f>Consumption!A194</f>
        <v>41457</v>
      </c>
      <c r="B194" s="305">
        <f>Consumption!B194</f>
        <v>0.2</v>
      </c>
      <c r="C194" s="41">
        <f ca="1">Consumption!C194</f>
        <v>0.02</v>
      </c>
      <c r="D194" s="41">
        <f t="shared" si="40"/>
        <v>0.219</v>
      </c>
      <c r="E194" s="41">
        <f t="shared" ca="1" si="51"/>
        <v>7.4929999999999843</v>
      </c>
      <c r="F194" s="306">
        <f ca="1">'Pump Main'!$M$3*1000</f>
        <v>124614.17111887744</v>
      </c>
      <c r="G194" s="41">
        <f t="shared" ca="1" si="41"/>
        <v>2492.283422377549</v>
      </c>
      <c r="H194" s="6">
        <f t="shared" ca="1" si="42"/>
        <v>4232.141252977598</v>
      </c>
      <c r="I194" s="6">
        <f t="shared" ca="1" si="52"/>
        <v>1.1755947924937773</v>
      </c>
      <c r="J194" s="6">
        <f t="shared" ca="1" si="43"/>
        <v>100</v>
      </c>
      <c r="K194" s="6">
        <f t="shared" ca="1" si="44"/>
        <v>0.1</v>
      </c>
      <c r="L194" s="6">
        <f t="shared" ca="1" si="45"/>
        <v>0.2</v>
      </c>
      <c r="M194">
        <f t="shared" ca="1" si="53"/>
        <v>55.555555555555557</v>
      </c>
      <c r="N194" s="6">
        <f t="shared" si="54"/>
        <v>1200</v>
      </c>
      <c r="O194" s="6">
        <f t="shared" ca="1" si="55"/>
        <v>1256.7311503480494</v>
      </c>
      <c r="P194">
        <f t="shared" si="56"/>
        <v>0</v>
      </c>
      <c r="Q194" s="6">
        <f t="shared" si="46"/>
        <v>0</v>
      </c>
      <c r="R194" s="296">
        <v>15.75</v>
      </c>
      <c r="S194">
        <f t="shared" si="47"/>
        <v>5997.6</v>
      </c>
      <c r="T194">
        <f t="shared" si="48"/>
        <v>5517.7920000000004</v>
      </c>
      <c r="U194">
        <f t="shared" ca="1" si="49"/>
        <v>0</v>
      </c>
      <c r="V194">
        <f t="shared" si="57"/>
        <v>5517.7920000000004</v>
      </c>
      <c r="W194">
        <f t="shared" ca="1" si="59"/>
        <v>1256.7311503480494</v>
      </c>
      <c r="X194">
        <f t="shared" ca="1" si="58"/>
        <v>2000</v>
      </c>
      <c r="Y194" s="297" t="str">
        <f t="shared" ca="1" si="50"/>
        <v>Yes</v>
      </c>
    </row>
    <row r="195" spans="1:25" outlineLevel="1" x14ac:dyDescent="0.75">
      <c r="A195" s="304">
        <f>Consumption!A195</f>
        <v>41458</v>
      </c>
      <c r="B195" s="305">
        <f>Consumption!B195</f>
        <v>0</v>
      </c>
      <c r="C195" s="41">
        <f ca="1">Consumption!C195</f>
        <v>0</v>
      </c>
      <c r="D195" s="41">
        <f t="shared" si="40"/>
        <v>0.219</v>
      </c>
      <c r="E195" s="41">
        <f t="shared" ca="1" si="51"/>
        <v>7.273999999999984</v>
      </c>
      <c r="F195" s="306">
        <f ca="1">'Pump Main'!$M$3*1000</f>
        <v>124614.17111887744</v>
      </c>
      <c r="G195" s="41">
        <f t="shared" ca="1" si="41"/>
        <v>0</v>
      </c>
      <c r="H195" s="6">
        <f t="shared" ca="1" si="42"/>
        <v>0</v>
      </c>
      <c r="I195" s="6">
        <f t="shared" ca="1" si="52"/>
        <v>0</v>
      </c>
      <c r="J195" s="6">
        <f t="shared" ca="1" si="43"/>
        <v>0</v>
      </c>
      <c r="K195" s="6">
        <f t="shared" ca="1" si="44"/>
        <v>0</v>
      </c>
      <c r="L195" s="6">
        <f t="shared" ca="1" si="45"/>
        <v>0</v>
      </c>
      <c r="M195">
        <f t="shared" ca="1" si="53"/>
        <v>0</v>
      </c>
      <c r="N195" s="6">
        <f t="shared" si="54"/>
        <v>1200</v>
      </c>
      <c r="O195" s="6">
        <f t="shared" ca="1" si="55"/>
        <v>1200</v>
      </c>
      <c r="P195">
        <f t="shared" si="56"/>
        <v>0</v>
      </c>
      <c r="Q195" s="6">
        <f t="shared" si="46"/>
        <v>0</v>
      </c>
      <c r="R195" s="296">
        <v>15.75</v>
      </c>
      <c r="S195">
        <f t="shared" si="47"/>
        <v>5997.6</v>
      </c>
      <c r="T195">
        <f t="shared" si="48"/>
        <v>5517.7920000000004</v>
      </c>
      <c r="U195">
        <f t="shared" ca="1" si="49"/>
        <v>0</v>
      </c>
      <c r="V195">
        <f t="shared" si="57"/>
        <v>5517.7920000000004</v>
      </c>
      <c r="W195">
        <f t="shared" ca="1" si="59"/>
        <v>1200</v>
      </c>
      <c r="X195">
        <f t="shared" ca="1" si="58"/>
        <v>2000</v>
      </c>
      <c r="Y195" s="297" t="str">
        <f t="shared" ca="1" si="50"/>
        <v>Yes</v>
      </c>
    </row>
    <row r="196" spans="1:25" outlineLevel="1" x14ac:dyDescent="0.75">
      <c r="A196" s="304">
        <f>Consumption!A196</f>
        <v>41459</v>
      </c>
      <c r="B196" s="305">
        <f>Consumption!B196</f>
        <v>0</v>
      </c>
      <c r="C196" s="41">
        <f ca="1">Consumption!C196</f>
        <v>0</v>
      </c>
      <c r="D196" s="41">
        <f t="shared" si="40"/>
        <v>0.219</v>
      </c>
      <c r="E196" s="41">
        <f t="shared" ca="1" si="51"/>
        <v>7.0549999999999837</v>
      </c>
      <c r="F196" s="306">
        <f ca="1">'Pump Main'!$M$3*1000</f>
        <v>124614.17111887744</v>
      </c>
      <c r="G196" s="41">
        <f t="shared" ca="1" si="41"/>
        <v>0</v>
      </c>
      <c r="H196" s="6">
        <f t="shared" ca="1" si="42"/>
        <v>0</v>
      </c>
      <c r="I196" s="6">
        <f t="shared" ca="1" si="52"/>
        <v>0</v>
      </c>
      <c r="J196" s="6">
        <f t="shared" ca="1" si="43"/>
        <v>0</v>
      </c>
      <c r="K196" s="6">
        <f t="shared" ca="1" si="44"/>
        <v>0</v>
      </c>
      <c r="L196" s="6">
        <f t="shared" ca="1" si="45"/>
        <v>0</v>
      </c>
      <c r="M196">
        <f t="shared" ca="1" si="53"/>
        <v>0</v>
      </c>
      <c r="N196" s="6">
        <f t="shared" si="54"/>
        <v>1200</v>
      </c>
      <c r="O196" s="6">
        <f t="shared" ca="1" si="55"/>
        <v>1200</v>
      </c>
      <c r="P196">
        <f t="shared" si="56"/>
        <v>0</v>
      </c>
      <c r="Q196" s="6">
        <f t="shared" si="46"/>
        <v>0</v>
      </c>
      <c r="R196" s="296">
        <v>15.75</v>
      </c>
      <c r="S196">
        <f t="shared" si="47"/>
        <v>5997.6</v>
      </c>
      <c r="T196">
        <f t="shared" si="48"/>
        <v>5517.7920000000004</v>
      </c>
      <c r="U196">
        <f t="shared" ca="1" si="49"/>
        <v>0</v>
      </c>
      <c r="V196">
        <f t="shared" si="57"/>
        <v>5517.7920000000004</v>
      </c>
      <c r="W196">
        <f t="shared" ca="1" si="59"/>
        <v>1200</v>
      </c>
      <c r="X196">
        <f t="shared" ca="1" si="58"/>
        <v>2000</v>
      </c>
      <c r="Y196" s="297" t="str">
        <f t="shared" ca="1" si="50"/>
        <v>Yes</v>
      </c>
    </row>
    <row r="197" spans="1:25" outlineLevel="1" x14ac:dyDescent="0.75">
      <c r="A197" s="304">
        <f>Consumption!A197</f>
        <v>41460</v>
      </c>
      <c r="B197" s="305">
        <f>Consumption!B197</f>
        <v>0</v>
      </c>
      <c r="C197" s="41">
        <f ca="1">Consumption!C197</f>
        <v>0</v>
      </c>
      <c r="D197" s="41">
        <f t="shared" si="40"/>
        <v>0.219</v>
      </c>
      <c r="E197" s="41">
        <f t="shared" ca="1" si="51"/>
        <v>6.8359999999999834</v>
      </c>
      <c r="F197" s="306">
        <f ca="1">'Pump Main'!$M$3*1000</f>
        <v>124614.17111887744</v>
      </c>
      <c r="G197" s="41">
        <f t="shared" ca="1" si="41"/>
        <v>0</v>
      </c>
      <c r="H197" s="6">
        <f t="shared" ca="1" si="42"/>
        <v>0</v>
      </c>
      <c r="I197" s="6">
        <f t="shared" ca="1" si="52"/>
        <v>0</v>
      </c>
      <c r="J197" s="6">
        <f t="shared" ca="1" si="43"/>
        <v>0</v>
      </c>
      <c r="K197" s="6">
        <f t="shared" ca="1" si="44"/>
        <v>0</v>
      </c>
      <c r="L197" s="6">
        <f t="shared" ca="1" si="45"/>
        <v>0</v>
      </c>
      <c r="M197">
        <f t="shared" ca="1" si="53"/>
        <v>0</v>
      </c>
      <c r="N197" s="6">
        <f t="shared" si="54"/>
        <v>1200</v>
      </c>
      <c r="O197" s="6">
        <f t="shared" ca="1" si="55"/>
        <v>1200</v>
      </c>
      <c r="P197">
        <f t="shared" si="56"/>
        <v>0</v>
      </c>
      <c r="Q197" s="6">
        <f t="shared" si="46"/>
        <v>0</v>
      </c>
      <c r="R197" s="296">
        <v>15.75</v>
      </c>
      <c r="S197">
        <f t="shared" si="47"/>
        <v>5997.6</v>
      </c>
      <c r="T197">
        <f t="shared" si="48"/>
        <v>5517.7920000000004</v>
      </c>
      <c r="U197">
        <f t="shared" ca="1" si="49"/>
        <v>0</v>
      </c>
      <c r="V197">
        <f t="shared" si="57"/>
        <v>5517.7920000000004</v>
      </c>
      <c r="W197">
        <f t="shared" ca="1" si="59"/>
        <v>1200</v>
      </c>
      <c r="X197">
        <f t="shared" ca="1" si="58"/>
        <v>2000</v>
      </c>
      <c r="Y197" s="297" t="str">
        <f t="shared" ca="1" si="50"/>
        <v>Yes</v>
      </c>
    </row>
    <row r="198" spans="1:25" outlineLevel="1" x14ac:dyDescent="0.75">
      <c r="A198" s="304">
        <f>Consumption!A198</f>
        <v>41461</v>
      </c>
      <c r="B198" s="305">
        <f>Consumption!B198</f>
        <v>0</v>
      </c>
      <c r="C198" s="41">
        <f ca="1">Consumption!C198</f>
        <v>0</v>
      </c>
      <c r="D198" s="41">
        <f t="shared" si="40"/>
        <v>0.219</v>
      </c>
      <c r="E198" s="41">
        <f t="shared" ca="1" si="51"/>
        <v>6.6169999999999831</v>
      </c>
      <c r="F198" s="306">
        <f ca="1">'Pump Main'!$M$3*1000</f>
        <v>124614.17111887744</v>
      </c>
      <c r="G198" s="41">
        <f t="shared" ca="1" si="41"/>
        <v>0</v>
      </c>
      <c r="H198" s="6">
        <f t="shared" ca="1" si="42"/>
        <v>0</v>
      </c>
      <c r="I198" s="6">
        <f t="shared" ca="1" si="52"/>
        <v>0</v>
      </c>
      <c r="J198" s="6">
        <f t="shared" ca="1" si="43"/>
        <v>0</v>
      </c>
      <c r="K198" s="6">
        <f t="shared" ca="1" si="44"/>
        <v>0</v>
      </c>
      <c r="L198" s="6">
        <f t="shared" ca="1" si="45"/>
        <v>0</v>
      </c>
      <c r="M198">
        <f t="shared" ca="1" si="53"/>
        <v>0</v>
      </c>
      <c r="N198" s="6">
        <f t="shared" si="54"/>
        <v>1200</v>
      </c>
      <c r="O198" s="6">
        <f t="shared" ca="1" si="55"/>
        <v>1200</v>
      </c>
      <c r="P198">
        <f t="shared" si="56"/>
        <v>0</v>
      </c>
      <c r="Q198" s="6">
        <f t="shared" si="46"/>
        <v>0</v>
      </c>
      <c r="R198" s="296">
        <v>15.75</v>
      </c>
      <c r="S198">
        <f t="shared" si="47"/>
        <v>5997.6</v>
      </c>
      <c r="T198">
        <f t="shared" si="48"/>
        <v>5517.7920000000004</v>
      </c>
      <c r="U198">
        <f t="shared" ca="1" si="49"/>
        <v>0</v>
      </c>
      <c r="V198">
        <f t="shared" si="57"/>
        <v>5517.7920000000004</v>
      </c>
      <c r="W198">
        <f t="shared" ca="1" si="59"/>
        <v>1200</v>
      </c>
      <c r="X198">
        <f t="shared" ca="1" si="58"/>
        <v>2000</v>
      </c>
      <c r="Y198" s="297" t="str">
        <f t="shared" ca="1" si="50"/>
        <v>Yes</v>
      </c>
    </row>
    <row r="199" spans="1:25" outlineLevel="1" x14ac:dyDescent="0.75">
      <c r="A199" s="304">
        <f>Consumption!A199</f>
        <v>41462</v>
      </c>
      <c r="B199" s="305">
        <f>Consumption!B199</f>
        <v>0</v>
      </c>
      <c r="C199" s="41">
        <f ca="1">Consumption!C199</f>
        <v>0</v>
      </c>
      <c r="D199" s="41">
        <f t="shared" si="40"/>
        <v>0.219</v>
      </c>
      <c r="E199" s="41">
        <f t="shared" ca="1" si="51"/>
        <v>6.3979999999999828</v>
      </c>
      <c r="F199" s="306">
        <f ca="1">'Pump Main'!$M$3*1000</f>
        <v>124614.17111887744</v>
      </c>
      <c r="G199" s="41">
        <f t="shared" ca="1" si="41"/>
        <v>0</v>
      </c>
      <c r="H199" s="6">
        <f t="shared" ca="1" si="42"/>
        <v>0</v>
      </c>
      <c r="I199" s="6">
        <f t="shared" ca="1" si="52"/>
        <v>0</v>
      </c>
      <c r="J199" s="6">
        <f t="shared" ca="1" si="43"/>
        <v>0</v>
      </c>
      <c r="K199" s="6">
        <f t="shared" ca="1" si="44"/>
        <v>0</v>
      </c>
      <c r="L199" s="6">
        <f t="shared" ca="1" si="45"/>
        <v>0</v>
      </c>
      <c r="M199">
        <f t="shared" ca="1" si="53"/>
        <v>0</v>
      </c>
      <c r="N199" s="6">
        <f t="shared" si="54"/>
        <v>1200</v>
      </c>
      <c r="O199" s="6">
        <f t="shared" ca="1" si="55"/>
        <v>1200</v>
      </c>
      <c r="P199">
        <f t="shared" si="56"/>
        <v>0</v>
      </c>
      <c r="Q199" s="6">
        <f t="shared" si="46"/>
        <v>0</v>
      </c>
      <c r="R199" s="296">
        <v>15.75</v>
      </c>
      <c r="S199">
        <f t="shared" si="47"/>
        <v>5997.6</v>
      </c>
      <c r="T199">
        <f t="shared" si="48"/>
        <v>5517.7920000000004</v>
      </c>
      <c r="U199">
        <f t="shared" ca="1" si="49"/>
        <v>0</v>
      </c>
      <c r="V199">
        <f t="shared" si="57"/>
        <v>5517.7920000000004</v>
      </c>
      <c r="W199">
        <f t="shared" ca="1" si="59"/>
        <v>1200</v>
      </c>
      <c r="X199">
        <f t="shared" ca="1" si="58"/>
        <v>2000</v>
      </c>
      <c r="Y199" s="297" t="str">
        <f t="shared" ca="1" si="50"/>
        <v>Yes</v>
      </c>
    </row>
    <row r="200" spans="1:25" outlineLevel="1" x14ac:dyDescent="0.75">
      <c r="A200" s="304">
        <f>Consumption!A200</f>
        <v>41463</v>
      </c>
      <c r="B200" s="305">
        <f>Consumption!B200</f>
        <v>0.6</v>
      </c>
      <c r="C200" s="41">
        <f ca="1">Consumption!C200</f>
        <v>0.06</v>
      </c>
      <c r="D200" s="41">
        <f t="shared" si="40"/>
        <v>0.219</v>
      </c>
      <c r="E200" s="41">
        <f t="shared" ca="1" si="51"/>
        <v>6.2389999999999821</v>
      </c>
      <c r="F200" s="306">
        <f ca="1">'Pump Main'!$M$3*1000</f>
        <v>124614.17111887744</v>
      </c>
      <c r="G200" s="41">
        <f t="shared" ca="1" si="41"/>
        <v>7476.850267132646</v>
      </c>
      <c r="H200" s="6">
        <f t="shared" ca="1" si="42"/>
        <v>12696.423758932793</v>
      </c>
      <c r="I200" s="6">
        <f t="shared" ca="1" si="52"/>
        <v>3.5267843774813312</v>
      </c>
      <c r="J200" s="6">
        <f t="shared" ca="1" si="43"/>
        <v>300</v>
      </c>
      <c r="K200" s="6">
        <f t="shared" ca="1" si="44"/>
        <v>0.3</v>
      </c>
      <c r="L200" s="6">
        <f t="shared" ca="1" si="45"/>
        <v>0.6</v>
      </c>
      <c r="M200">
        <f t="shared" ca="1" si="53"/>
        <v>166.66666666666666</v>
      </c>
      <c r="N200" s="6">
        <f t="shared" si="54"/>
        <v>1200</v>
      </c>
      <c r="O200" s="6">
        <f t="shared" ca="1" si="55"/>
        <v>1370.1934510441479</v>
      </c>
      <c r="P200">
        <f t="shared" si="56"/>
        <v>0</v>
      </c>
      <c r="Q200" s="6">
        <f t="shared" si="46"/>
        <v>0</v>
      </c>
      <c r="R200" s="296">
        <v>15.75</v>
      </c>
      <c r="S200">
        <f t="shared" si="47"/>
        <v>5997.6</v>
      </c>
      <c r="T200">
        <f t="shared" si="48"/>
        <v>5517.7920000000004</v>
      </c>
      <c r="U200">
        <f t="shared" ca="1" si="49"/>
        <v>0</v>
      </c>
      <c r="V200">
        <f t="shared" si="57"/>
        <v>5517.7920000000004</v>
      </c>
      <c r="W200">
        <f t="shared" ca="1" si="59"/>
        <v>1370.1934510441479</v>
      </c>
      <c r="X200">
        <f t="shared" ca="1" si="58"/>
        <v>2000</v>
      </c>
      <c r="Y200" s="297" t="str">
        <f t="shared" ca="1" si="50"/>
        <v>Yes</v>
      </c>
    </row>
    <row r="201" spans="1:25" outlineLevel="1" x14ac:dyDescent="0.75">
      <c r="A201" s="304">
        <f>Consumption!A201</f>
        <v>41464</v>
      </c>
      <c r="B201" s="305">
        <f>Consumption!B201</f>
        <v>0.2</v>
      </c>
      <c r="C201" s="41">
        <f ca="1">Consumption!C201</f>
        <v>0.02</v>
      </c>
      <c r="D201" s="41">
        <f t="shared" si="40"/>
        <v>0.219</v>
      </c>
      <c r="E201" s="41">
        <f t="shared" ca="1" si="51"/>
        <v>6.0399999999999814</v>
      </c>
      <c r="F201" s="306">
        <f ca="1">'Pump Main'!$M$3*1000</f>
        <v>124614.17111887744</v>
      </c>
      <c r="G201" s="41">
        <f t="shared" ca="1" si="41"/>
        <v>2492.283422377549</v>
      </c>
      <c r="H201" s="6">
        <f t="shared" ca="1" si="42"/>
        <v>4232.141252977598</v>
      </c>
      <c r="I201" s="6">
        <f t="shared" ca="1" si="52"/>
        <v>1.1755947924937773</v>
      </c>
      <c r="J201" s="6">
        <f t="shared" ca="1" si="43"/>
        <v>100</v>
      </c>
      <c r="K201" s="6">
        <f t="shared" ca="1" si="44"/>
        <v>0.1</v>
      </c>
      <c r="L201" s="6">
        <f t="shared" ca="1" si="45"/>
        <v>0.2</v>
      </c>
      <c r="M201">
        <f t="shared" ca="1" si="53"/>
        <v>55.555555555555557</v>
      </c>
      <c r="N201" s="6">
        <f t="shared" si="54"/>
        <v>1200</v>
      </c>
      <c r="O201" s="6">
        <f t="shared" ca="1" si="55"/>
        <v>1256.7311503480494</v>
      </c>
      <c r="P201">
        <f t="shared" si="56"/>
        <v>0</v>
      </c>
      <c r="Q201" s="6">
        <f t="shared" si="46"/>
        <v>0</v>
      </c>
      <c r="R201" s="296">
        <v>15.75</v>
      </c>
      <c r="S201">
        <f t="shared" si="47"/>
        <v>5997.6</v>
      </c>
      <c r="T201">
        <f t="shared" si="48"/>
        <v>5517.7920000000004</v>
      </c>
      <c r="U201">
        <f t="shared" ca="1" si="49"/>
        <v>0</v>
      </c>
      <c r="V201">
        <f t="shared" si="57"/>
        <v>5517.7920000000004</v>
      </c>
      <c r="W201">
        <f t="shared" ca="1" si="59"/>
        <v>1256.7311503480494</v>
      </c>
      <c r="X201">
        <f t="shared" ca="1" si="58"/>
        <v>2000</v>
      </c>
      <c r="Y201" s="297" t="str">
        <f t="shared" ca="1" si="50"/>
        <v>Yes</v>
      </c>
    </row>
    <row r="202" spans="1:25" outlineLevel="1" x14ac:dyDescent="0.75">
      <c r="A202" s="304">
        <f>Consumption!A202</f>
        <v>41465</v>
      </c>
      <c r="B202" s="305">
        <f>Consumption!B202</f>
        <v>3.4</v>
      </c>
      <c r="C202" s="41">
        <f ca="1">Consumption!C202</f>
        <v>0.34</v>
      </c>
      <c r="D202" s="41">
        <f t="shared" si="40"/>
        <v>0.219</v>
      </c>
      <c r="E202" s="41">
        <f t="shared" ca="1" si="51"/>
        <v>6.1609999999999809</v>
      </c>
      <c r="F202" s="306">
        <f ca="1">'Pump Main'!$M$3*1000</f>
        <v>124614.17111887744</v>
      </c>
      <c r="G202" s="41">
        <f t="shared" ca="1" si="41"/>
        <v>42368.818180418333</v>
      </c>
      <c r="H202" s="6">
        <f t="shared" ca="1" si="42"/>
        <v>71946.401300619167</v>
      </c>
      <c r="I202" s="6">
        <f t="shared" ca="1" si="52"/>
        <v>19.985111472394212</v>
      </c>
      <c r="J202" s="6">
        <f t="shared" ca="1" si="43"/>
        <v>1700.0000000000002</v>
      </c>
      <c r="K202" s="6">
        <f t="shared" ca="1" si="44"/>
        <v>1.7000000000000002</v>
      </c>
      <c r="L202" s="6">
        <f t="shared" ca="1" si="45"/>
        <v>3.4000000000000004</v>
      </c>
      <c r="M202">
        <f t="shared" ca="1" si="53"/>
        <v>944.44444444444457</v>
      </c>
      <c r="N202" s="6">
        <f t="shared" si="54"/>
        <v>1200</v>
      </c>
      <c r="O202" s="6">
        <f t="shared" ca="1" si="55"/>
        <v>2164.4295559168386</v>
      </c>
      <c r="P202">
        <f t="shared" si="56"/>
        <v>0</v>
      </c>
      <c r="Q202" s="6">
        <f t="shared" si="46"/>
        <v>0</v>
      </c>
      <c r="R202" s="296">
        <v>15.75</v>
      </c>
      <c r="S202">
        <f t="shared" si="47"/>
        <v>5997.6</v>
      </c>
      <c r="T202">
        <f t="shared" si="48"/>
        <v>5517.7920000000004</v>
      </c>
      <c r="U202">
        <f t="shared" ca="1" si="49"/>
        <v>0</v>
      </c>
      <c r="V202">
        <f t="shared" si="57"/>
        <v>5517.7920000000004</v>
      </c>
      <c r="W202">
        <f t="shared" ca="1" si="59"/>
        <v>2164.4295559168386</v>
      </c>
      <c r="X202">
        <f t="shared" ca="1" si="58"/>
        <v>2000</v>
      </c>
      <c r="Y202" s="297" t="str">
        <f t="shared" ca="1" si="50"/>
        <v>Yes</v>
      </c>
    </row>
    <row r="203" spans="1:25" outlineLevel="1" x14ac:dyDescent="0.75">
      <c r="A203" s="304">
        <f>Consumption!A203</f>
        <v>41466</v>
      </c>
      <c r="B203" s="305">
        <f>Consumption!B203</f>
        <v>2.8</v>
      </c>
      <c r="C203" s="41">
        <f ca="1">Consumption!C203</f>
        <v>0.28000000000000003</v>
      </c>
      <c r="D203" s="41">
        <f t="shared" si="40"/>
        <v>0.219</v>
      </c>
      <c r="E203" s="41">
        <f t="shared" ca="1" si="51"/>
        <v>6.2219999999999809</v>
      </c>
      <c r="F203" s="306">
        <f ca="1">'Pump Main'!$M$3*1000</f>
        <v>124614.17111887744</v>
      </c>
      <c r="G203" s="41">
        <f t="shared" ca="1" si="41"/>
        <v>34891.967913285684</v>
      </c>
      <c r="H203" s="6">
        <f t="shared" ca="1" si="42"/>
        <v>59249.97754168637</v>
      </c>
      <c r="I203" s="6">
        <f t="shared" ca="1" si="52"/>
        <v>16.458327094912882</v>
      </c>
      <c r="J203" s="6">
        <f t="shared" ca="1" si="43"/>
        <v>1400.0000000000002</v>
      </c>
      <c r="K203" s="6">
        <f t="shared" ca="1" si="44"/>
        <v>1.4000000000000001</v>
      </c>
      <c r="L203" s="6">
        <f t="shared" ca="1" si="45"/>
        <v>2.8000000000000003</v>
      </c>
      <c r="M203">
        <f t="shared" ca="1" si="53"/>
        <v>777.77777777777794</v>
      </c>
      <c r="N203" s="6">
        <f t="shared" si="54"/>
        <v>1200</v>
      </c>
      <c r="O203" s="6">
        <f t="shared" ca="1" si="55"/>
        <v>1994.2361048726907</v>
      </c>
      <c r="P203">
        <f t="shared" si="56"/>
        <v>0</v>
      </c>
      <c r="Q203" s="6">
        <f t="shared" si="46"/>
        <v>0</v>
      </c>
      <c r="R203" s="296">
        <v>15.75</v>
      </c>
      <c r="S203">
        <f t="shared" si="47"/>
        <v>5997.6</v>
      </c>
      <c r="T203">
        <f t="shared" si="48"/>
        <v>5517.7920000000004</v>
      </c>
      <c r="U203">
        <f t="shared" ca="1" si="49"/>
        <v>0</v>
      </c>
      <c r="V203">
        <f t="shared" si="57"/>
        <v>5517.7920000000004</v>
      </c>
      <c r="W203">
        <f t="shared" ca="1" si="59"/>
        <v>1994.2361048726907</v>
      </c>
      <c r="X203">
        <f t="shared" ca="1" si="58"/>
        <v>2000</v>
      </c>
      <c r="Y203" s="297" t="str">
        <f t="shared" ca="1" si="50"/>
        <v>Yes</v>
      </c>
    </row>
    <row r="204" spans="1:25" outlineLevel="1" x14ac:dyDescent="0.75">
      <c r="A204" s="304">
        <f>Consumption!A204</f>
        <v>41467</v>
      </c>
      <c r="B204" s="305">
        <f>Consumption!B204</f>
        <v>0.2</v>
      </c>
      <c r="C204" s="41">
        <f ca="1">Consumption!C204</f>
        <v>0.02</v>
      </c>
      <c r="D204" s="41">
        <f t="shared" ref="D204:D267" si="60">$B$4/1000</f>
        <v>0.219</v>
      </c>
      <c r="E204" s="41">
        <f t="shared" ca="1" si="51"/>
        <v>6.0229999999999801</v>
      </c>
      <c r="F204" s="306">
        <f ca="1">'Pump Main'!$M$3*1000</f>
        <v>124614.17111887744</v>
      </c>
      <c r="G204" s="41">
        <f t="shared" ref="G204:G267" ca="1" si="61">C204*F204</f>
        <v>2492.283422377549</v>
      </c>
      <c r="H204" s="6">
        <f t="shared" ref="H204:H267" ca="1" si="62">G204/$H$1</f>
        <v>4232.141252977598</v>
      </c>
      <c r="I204" s="6">
        <f t="shared" ca="1" si="52"/>
        <v>1.1755947924937773</v>
      </c>
      <c r="J204" s="6">
        <f t="shared" ref="J204:J267" ca="1" si="63">$K$4*$K$2/$K$1*C204*1000</f>
        <v>100</v>
      </c>
      <c r="K204" s="6">
        <f t="shared" ref="K204:K267" ca="1" si="64">J204/1000</f>
        <v>0.1</v>
      </c>
      <c r="L204" s="6">
        <f t="shared" ref="L204:L267" ca="1" si="65">$K$3*K204</f>
        <v>0.2</v>
      </c>
      <c r="M204">
        <f t="shared" ca="1" si="53"/>
        <v>55.555555555555557</v>
      </c>
      <c r="N204" s="6">
        <f t="shared" si="54"/>
        <v>1200</v>
      </c>
      <c r="O204" s="6">
        <f t="shared" ca="1" si="55"/>
        <v>1256.7311503480494</v>
      </c>
      <c r="P204">
        <f t="shared" si="56"/>
        <v>0</v>
      </c>
      <c r="Q204" s="6">
        <f t="shared" ref="Q204:Q267" si="66">IF($N$3,P204*3600/10^6 / $N$5 / $N$4, 0)</f>
        <v>0</v>
      </c>
      <c r="R204" s="296">
        <v>15.75</v>
      </c>
      <c r="S204">
        <f t="shared" ref="S204:S267" si="67">IF($Q$1, $Q$2 * $Q$3 * R204 * $Q$4 * $Q$5, 0)</f>
        <v>5997.6</v>
      </c>
      <c r="T204">
        <f t="shared" ref="T204:T267" si="68">S204*$Q$6</f>
        <v>5517.7920000000004</v>
      </c>
      <c r="U204">
        <f t="shared" ref="U204:U267" ca="1" si="69">$T$1/$T$2*C204/$T$3/1000*$T$4</f>
        <v>0</v>
      </c>
      <c r="V204">
        <f t="shared" si="57"/>
        <v>5517.7920000000004</v>
      </c>
      <c r="W204">
        <f t="shared" ca="1" si="59"/>
        <v>1256.7311503480494</v>
      </c>
      <c r="X204">
        <f t="shared" ca="1" si="58"/>
        <v>2000</v>
      </c>
      <c r="Y204" s="297" t="str">
        <f t="shared" ref="Y204:Y267" ca="1" si="70">IF(IF($N$3, FALSE, W204 &lt; O204),"No", "Yes")</f>
        <v>Yes</v>
      </c>
    </row>
    <row r="205" spans="1:25" outlineLevel="1" x14ac:dyDescent="0.75">
      <c r="A205" s="304">
        <f>Consumption!A205</f>
        <v>41468</v>
      </c>
      <c r="B205" s="305">
        <f>Consumption!B205</f>
        <v>2.2000000000000002</v>
      </c>
      <c r="C205" s="41">
        <f ca="1">Consumption!C205</f>
        <v>0.22000000000000003</v>
      </c>
      <c r="D205" s="41">
        <f t="shared" si="60"/>
        <v>0.219</v>
      </c>
      <c r="E205" s="41">
        <f t="shared" ref="E205:E268" ca="1" si="71">E204+C205-D205</f>
        <v>6.0239999999999796</v>
      </c>
      <c r="F205" s="306">
        <f ca="1">'Pump Main'!$M$3*1000</f>
        <v>124614.17111887744</v>
      </c>
      <c r="G205" s="41">
        <f t="shared" ca="1" si="61"/>
        <v>27415.117646153038</v>
      </c>
      <c r="H205" s="6">
        <f t="shared" ca="1" si="62"/>
        <v>46553.553782753574</v>
      </c>
      <c r="I205" s="6">
        <f t="shared" ref="I205:I268" ca="1" si="72">H205/3600</f>
        <v>12.931542717431547</v>
      </c>
      <c r="J205" s="6">
        <f t="shared" ca="1" si="63"/>
        <v>1100</v>
      </c>
      <c r="K205" s="6">
        <f t="shared" ca="1" si="64"/>
        <v>1.1000000000000001</v>
      </c>
      <c r="L205" s="6">
        <f t="shared" ca="1" si="65"/>
        <v>2.2000000000000002</v>
      </c>
      <c r="M205">
        <f t="shared" ref="M205:M268" ca="1" si="73">L205*10^6/3600</f>
        <v>611.11111111111109</v>
      </c>
      <c r="N205" s="6">
        <f t="shared" ref="N205:N268" si="74">$N$1*$N$2</f>
        <v>1200</v>
      </c>
      <c r="O205" s="6">
        <f t="shared" ref="O205:O268" ca="1" si="75">I205+M205+N205</f>
        <v>1824.0426538285426</v>
      </c>
      <c r="P205">
        <f t="shared" ref="P205:P268" si="76">IF($N$3, O205-N205+V205, 0)</f>
        <v>0</v>
      </c>
      <c r="Q205" s="6">
        <f t="shared" si="66"/>
        <v>0</v>
      </c>
      <c r="R205" s="296">
        <v>15.75</v>
      </c>
      <c r="S205">
        <f t="shared" si="67"/>
        <v>5997.6</v>
      </c>
      <c r="T205">
        <f t="shared" si="68"/>
        <v>5517.7920000000004</v>
      </c>
      <c r="U205">
        <f t="shared" ca="1" si="69"/>
        <v>0</v>
      </c>
      <c r="V205">
        <f t="shared" ref="V205:V268" si="77">IF($N$3, (X205-X204+W205/$W$2)/$W$2, T205)</f>
        <v>5517.7920000000004</v>
      </c>
      <c r="W205">
        <f t="shared" ca="1" si="59"/>
        <v>1824.0426538285426</v>
      </c>
      <c r="X205">
        <f t="shared" ref="X205:X268" ca="1" si="78">IF($N$3, 0, MIN(X204+V205*$W$2 - W205 / $W$2, $W$1*$W$3))</f>
        <v>2000</v>
      </c>
      <c r="Y205" s="297" t="str">
        <f t="shared" ca="1" si="70"/>
        <v>Yes</v>
      </c>
    </row>
    <row r="206" spans="1:25" outlineLevel="1" x14ac:dyDescent="0.75">
      <c r="A206" s="304">
        <f>Consumption!A206</f>
        <v>41469</v>
      </c>
      <c r="B206" s="305">
        <f>Consumption!B206</f>
        <v>1.4</v>
      </c>
      <c r="C206" s="41">
        <f ca="1">Consumption!C206</f>
        <v>0.14000000000000001</v>
      </c>
      <c r="D206" s="41">
        <f t="shared" si="60"/>
        <v>0.219</v>
      </c>
      <c r="E206" s="41">
        <f t="shared" ca="1" si="71"/>
        <v>5.944999999999979</v>
      </c>
      <c r="F206" s="306">
        <f ca="1">'Pump Main'!$M$3*1000</f>
        <v>124614.17111887744</v>
      </c>
      <c r="G206" s="41">
        <f t="shared" ca="1" si="61"/>
        <v>17445.983956642842</v>
      </c>
      <c r="H206" s="6">
        <f t="shared" ca="1" si="62"/>
        <v>29624.988770843185</v>
      </c>
      <c r="I206" s="6">
        <f t="shared" ca="1" si="72"/>
        <v>8.2291635474564409</v>
      </c>
      <c r="J206" s="6">
        <f t="shared" ca="1" si="63"/>
        <v>700.00000000000011</v>
      </c>
      <c r="K206" s="6">
        <f t="shared" ca="1" si="64"/>
        <v>0.70000000000000007</v>
      </c>
      <c r="L206" s="6">
        <f t="shared" ca="1" si="65"/>
        <v>1.4000000000000001</v>
      </c>
      <c r="M206">
        <f t="shared" ca="1" si="73"/>
        <v>388.88888888888897</v>
      </c>
      <c r="N206" s="6">
        <f t="shared" si="74"/>
        <v>1200</v>
      </c>
      <c r="O206" s="6">
        <f t="shared" ca="1" si="75"/>
        <v>1597.1180524363454</v>
      </c>
      <c r="P206">
        <f t="shared" si="76"/>
        <v>0</v>
      </c>
      <c r="Q206" s="6">
        <f t="shared" si="66"/>
        <v>0</v>
      </c>
      <c r="R206" s="296">
        <v>15.75</v>
      </c>
      <c r="S206">
        <f t="shared" si="67"/>
        <v>5997.6</v>
      </c>
      <c r="T206">
        <f t="shared" si="68"/>
        <v>5517.7920000000004</v>
      </c>
      <c r="U206">
        <f t="shared" ca="1" si="69"/>
        <v>0</v>
      </c>
      <c r="V206">
        <f t="shared" si="77"/>
        <v>5517.7920000000004</v>
      </c>
      <c r="W206">
        <f t="shared" ref="W206:W269" ca="1" si="79">IF($N$3, N206, MIN(O206, $W$2 * (X205+V206*$W$2)))</f>
        <v>1597.1180524363454</v>
      </c>
      <c r="X206">
        <f t="shared" ca="1" si="78"/>
        <v>2000</v>
      </c>
      <c r="Y206" s="297" t="str">
        <f t="shared" ca="1" si="70"/>
        <v>Yes</v>
      </c>
    </row>
    <row r="207" spans="1:25" outlineLevel="1" x14ac:dyDescent="0.75">
      <c r="A207" s="304">
        <f>Consumption!A207</f>
        <v>41470</v>
      </c>
      <c r="B207" s="305">
        <f>Consumption!B207</f>
        <v>0</v>
      </c>
      <c r="C207" s="41">
        <f ca="1">Consumption!C207</f>
        <v>0</v>
      </c>
      <c r="D207" s="41">
        <f t="shared" si="60"/>
        <v>0.219</v>
      </c>
      <c r="E207" s="41">
        <f t="shared" ca="1" si="71"/>
        <v>5.7259999999999787</v>
      </c>
      <c r="F207" s="306">
        <f ca="1">'Pump Main'!$M$3*1000</f>
        <v>124614.17111887744</v>
      </c>
      <c r="G207" s="41">
        <f t="shared" ca="1" si="61"/>
        <v>0</v>
      </c>
      <c r="H207" s="6">
        <f t="shared" ca="1" si="62"/>
        <v>0</v>
      </c>
      <c r="I207" s="6">
        <f t="shared" ca="1" si="72"/>
        <v>0</v>
      </c>
      <c r="J207" s="6">
        <f t="shared" ca="1" si="63"/>
        <v>0</v>
      </c>
      <c r="K207" s="6">
        <f t="shared" ca="1" si="64"/>
        <v>0</v>
      </c>
      <c r="L207" s="6">
        <f t="shared" ca="1" si="65"/>
        <v>0</v>
      </c>
      <c r="M207">
        <f t="shared" ca="1" si="73"/>
        <v>0</v>
      </c>
      <c r="N207" s="6">
        <f t="shared" si="74"/>
        <v>1200</v>
      </c>
      <c r="O207" s="6">
        <f t="shared" ca="1" si="75"/>
        <v>1200</v>
      </c>
      <c r="P207">
        <f t="shared" si="76"/>
        <v>0</v>
      </c>
      <c r="Q207" s="6">
        <f t="shared" si="66"/>
        <v>0</v>
      </c>
      <c r="R207" s="296">
        <v>15.75</v>
      </c>
      <c r="S207">
        <f t="shared" si="67"/>
        <v>5997.6</v>
      </c>
      <c r="T207">
        <f t="shared" si="68"/>
        <v>5517.7920000000004</v>
      </c>
      <c r="U207">
        <f t="shared" ca="1" si="69"/>
        <v>0</v>
      </c>
      <c r="V207">
        <f t="shared" si="77"/>
        <v>5517.7920000000004</v>
      </c>
      <c r="W207">
        <f t="shared" ca="1" si="79"/>
        <v>1200</v>
      </c>
      <c r="X207">
        <f t="shared" ca="1" si="78"/>
        <v>2000</v>
      </c>
      <c r="Y207" s="297" t="str">
        <f t="shared" ca="1" si="70"/>
        <v>Yes</v>
      </c>
    </row>
    <row r="208" spans="1:25" outlineLevel="1" x14ac:dyDescent="0.75">
      <c r="A208" s="304">
        <f>Consumption!A208</f>
        <v>41471</v>
      </c>
      <c r="B208" s="305">
        <f>Consumption!B208</f>
        <v>0</v>
      </c>
      <c r="C208" s="41">
        <f ca="1">Consumption!C208</f>
        <v>0</v>
      </c>
      <c r="D208" s="41">
        <f t="shared" si="60"/>
        <v>0.219</v>
      </c>
      <c r="E208" s="41">
        <f t="shared" ca="1" si="71"/>
        <v>5.5069999999999784</v>
      </c>
      <c r="F208" s="306">
        <f ca="1">'Pump Main'!$M$3*1000</f>
        <v>124614.17111887744</v>
      </c>
      <c r="G208" s="41">
        <f t="shared" ca="1" si="61"/>
        <v>0</v>
      </c>
      <c r="H208" s="6">
        <f t="shared" ca="1" si="62"/>
        <v>0</v>
      </c>
      <c r="I208" s="6">
        <f t="shared" ca="1" si="72"/>
        <v>0</v>
      </c>
      <c r="J208" s="6">
        <f t="shared" ca="1" si="63"/>
        <v>0</v>
      </c>
      <c r="K208" s="6">
        <f t="shared" ca="1" si="64"/>
        <v>0</v>
      </c>
      <c r="L208" s="6">
        <f t="shared" ca="1" si="65"/>
        <v>0</v>
      </c>
      <c r="M208">
        <f t="shared" ca="1" si="73"/>
        <v>0</v>
      </c>
      <c r="N208" s="6">
        <f t="shared" si="74"/>
        <v>1200</v>
      </c>
      <c r="O208" s="6">
        <f t="shared" ca="1" si="75"/>
        <v>1200</v>
      </c>
      <c r="P208">
        <f t="shared" si="76"/>
        <v>0</v>
      </c>
      <c r="Q208" s="6">
        <f t="shared" si="66"/>
        <v>0</v>
      </c>
      <c r="R208" s="296">
        <v>15.75</v>
      </c>
      <c r="S208">
        <f t="shared" si="67"/>
        <v>5997.6</v>
      </c>
      <c r="T208">
        <f t="shared" si="68"/>
        <v>5517.7920000000004</v>
      </c>
      <c r="U208">
        <f t="shared" ca="1" si="69"/>
        <v>0</v>
      </c>
      <c r="V208">
        <f t="shared" si="77"/>
        <v>5517.7920000000004</v>
      </c>
      <c r="W208">
        <f t="shared" ca="1" si="79"/>
        <v>1200</v>
      </c>
      <c r="X208">
        <f t="shared" ca="1" si="78"/>
        <v>2000</v>
      </c>
      <c r="Y208" s="297" t="str">
        <f t="shared" ca="1" si="70"/>
        <v>Yes</v>
      </c>
    </row>
    <row r="209" spans="1:25" outlineLevel="1" x14ac:dyDescent="0.75">
      <c r="A209" s="304">
        <f>Consumption!A209</f>
        <v>41472</v>
      </c>
      <c r="B209" s="305">
        <f>Consumption!B209</f>
        <v>0</v>
      </c>
      <c r="C209" s="41">
        <f ca="1">Consumption!C209</f>
        <v>0</v>
      </c>
      <c r="D209" s="41">
        <f t="shared" si="60"/>
        <v>0.219</v>
      </c>
      <c r="E209" s="41">
        <f t="shared" ca="1" si="71"/>
        <v>5.2879999999999781</v>
      </c>
      <c r="F209" s="306">
        <f ca="1">'Pump Main'!$M$3*1000</f>
        <v>124614.17111887744</v>
      </c>
      <c r="G209" s="41">
        <f t="shared" ca="1" si="61"/>
        <v>0</v>
      </c>
      <c r="H209" s="6">
        <f t="shared" ca="1" si="62"/>
        <v>0</v>
      </c>
      <c r="I209" s="6">
        <f t="shared" ca="1" si="72"/>
        <v>0</v>
      </c>
      <c r="J209" s="6">
        <f t="shared" ca="1" si="63"/>
        <v>0</v>
      </c>
      <c r="K209" s="6">
        <f t="shared" ca="1" si="64"/>
        <v>0</v>
      </c>
      <c r="L209" s="6">
        <f t="shared" ca="1" si="65"/>
        <v>0</v>
      </c>
      <c r="M209">
        <f t="shared" ca="1" si="73"/>
        <v>0</v>
      </c>
      <c r="N209" s="6">
        <f t="shared" si="74"/>
        <v>1200</v>
      </c>
      <c r="O209" s="6">
        <f t="shared" ca="1" si="75"/>
        <v>1200</v>
      </c>
      <c r="P209">
        <f t="shared" si="76"/>
        <v>0</v>
      </c>
      <c r="Q209" s="6">
        <f t="shared" si="66"/>
        <v>0</v>
      </c>
      <c r="R209" s="296">
        <v>15.75</v>
      </c>
      <c r="S209">
        <f t="shared" si="67"/>
        <v>5997.6</v>
      </c>
      <c r="T209">
        <f t="shared" si="68"/>
        <v>5517.7920000000004</v>
      </c>
      <c r="U209">
        <f t="shared" ca="1" si="69"/>
        <v>0</v>
      </c>
      <c r="V209">
        <f t="shared" si="77"/>
        <v>5517.7920000000004</v>
      </c>
      <c r="W209">
        <f t="shared" ca="1" si="79"/>
        <v>1200</v>
      </c>
      <c r="X209">
        <f t="shared" ca="1" si="78"/>
        <v>2000</v>
      </c>
      <c r="Y209" s="297" t="str">
        <f t="shared" ca="1" si="70"/>
        <v>Yes</v>
      </c>
    </row>
    <row r="210" spans="1:25" outlineLevel="1" x14ac:dyDescent="0.75">
      <c r="A210" s="304">
        <f>Consumption!A210</f>
        <v>41473</v>
      </c>
      <c r="B210" s="305">
        <f>Consumption!B210</f>
        <v>0</v>
      </c>
      <c r="C210" s="41">
        <f ca="1">Consumption!C210</f>
        <v>0</v>
      </c>
      <c r="D210" s="41">
        <f t="shared" si="60"/>
        <v>0.219</v>
      </c>
      <c r="E210" s="41">
        <f t="shared" ca="1" si="71"/>
        <v>5.0689999999999777</v>
      </c>
      <c r="F210" s="306">
        <f ca="1">'Pump Main'!$M$3*1000</f>
        <v>124614.17111887744</v>
      </c>
      <c r="G210" s="41">
        <f t="shared" ca="1" si="61"/>
        <v>0</v>
      </c>
      <c r="H210" s="6">
        <f t="shared" ca="1" si="62"/>
        <v>0</v>
      </c>
      <c r="I210" s="6">
        <f t="shared" ca="1" si="72"/>
        <v>0</v>
      </c>
      <c r="J210" s="6">
        <f t="shared" ca="1" si="63"/>
        <v>0</v>
      </c>
      <c r="K210" s="6">
        <f t="shared" ca="1" si="64"/>
        <v>0</v>
      </c>
      <c r="L210" s="6">
        <f t="shared" ca="1" si="65"/>
        <v>0</v>
      </c>
      <c r="M210">
        <f t="shared" ca="1" si="73"/>
        <v>0</v>
      </c>
      <c r="N210" s="6">
        <f t="shared" si="74"/>
        <v>1200</v>
      </c>
      <c r="O210" s="6">
        <f t="shared" ca="1" si="75"/>
        <v>1200</v>
      </c>
      <c r="P210">
        <f t="shared" si="76"/>
        <v>0</v>
      </c>
      <c r="Q210" s="6">
        <f t="shared" si="66"/>
        <v>0</v>
      </c>
      <c r="R210" s="296">
        <v>15.75</v>
      </c>
      <c r="S210">
        <f t="shared" si="67"/>
        <v>5997.6</v>
      </c>
      <c r="T210">
        <f t="shared" si="68"/>
        <v>5517.7920000000004</v>
      </c>
      <c r="U210">
        <f t="shared" ca="1" si="69"/>
        <v>0</v>
      </c>
      <c r="V210">
        <f t="shared" si="77"/>
        <v>5517.7920000000004</v>
      </c>
      <c r="W210">
        <f t="shared" ca="1" si="79"/>
        <v>1200</v>
      </c>
      <c r="X210">
        <f t="shared" ca="1" si="78"/>
        <v>2000</v>
      </c>
      <c r="Y210" s="297" t="str">
        <f t="shared" ca="1" si="70"/>
        <v>Yes</v>
      </c>
    </row>
    <row r="211" spans="1:25" outlineLevel="1" x14ac:dyDescent="0.75">
      <c r="A211" s="304">
        <f>Consumption!A211</f>
        <v>41474</v>
      </c>
      <c r="B211" s="305">
        <f>Consumption!B211</f>
        <v>0</v>
      </c>
      <c r="C211" s="41">
        <f ca="1">Consumption!C211</f>
        <v>0</v>
      </c>
      <c r="D211" s="41">
        <f t="shared" si="60"/>
        <v>0.219</v>
      </c>
      <c r="E211" s="41">
        <f t="shared" ca="1" si="71"/>
        <v>4.8499999999999774</v>
      </c>
      <c r="F211" s="306">
        <f ca="1">'Pump Main'!$M$3*1000</f>
        <v>124614.17111887744</v>
      </c>
      <c r="G211" s="41">
        <f t="shared" ca="1" si="61"/>
        <v>0</v>
      </c>
      <c r="H211" s="6">
        <f t="shared" ca="1" si="62"/>
        <v>0</v>
      </c>
      <c r="I211" s="6">
        <f t="shared" ca="1" si="72"/>
        <v>0</v>
      </c>
      <c r="J211" s="6">
        <f t="shared" ca="1" si="63"/>
        <v>0</v>
      </c>
      <c r="K211" s="6">
        <f t="shared" ca="1" si="64"/>
        <v>0</v>
      </c>
      <c r="L211" s="6">
        <f t="shared" ca="1" si="65"/>
        <v>0</v>
      </c>
      <c r="M211">
        <f t="shared" ca="1" si="73"/>
        <v>0</v>
      </c>
      <c r="N211" s="6">
        <f t="shared" si="74"/>
        <v>1200</v>
      </c>
      <c r="O211" s="6">
        <f t="shared" ca="1" si="75"/>
        <v>1200</v>
      </c>
      <c r="P211">
        <f t="shared" si="76"/>
        <v>0</v>
      </c>
      <c r="Q211" s="6">
        <f t="shared" si="66"/>
        <v>0</v>
      </c>
      <c r="R211" s="296">
        <v>15.75</v>
      </c>
      <c r="S211">
        <f t="shared" si="67"/>
        <v>5997.6</v>
      </c>
      <c r="T211">
        <f t="shared" si="68"/>
        <v>5517.7920000000004</v>
      </c>
      <c r="U211">
        <f t="shared" ca="1" si="69"/>
        <v>0</v>
      </c>
      <c r="V211">
        <f t="shared" si="77"/>
        <v>5517.7920000000004</v>
      </c>
      <c r="W211">
        <f t="shared" ca="1" si="79"/>
        <v>1200</v>
      </c>
      <c r="X211">
        <f t="shared" ca="1" si="78"/>
        <v>2000</v>
      </c>
      <c r="Y211" s="297" t="str">
        <f t="shared" ca="1" si="70"/>
        <v>Yes</v>
      </c>
    </row>
    <row r="212" spans="1:25" outlineLevel="1" x14ac:dyDescent="0.75">
      <c r="A212" s="304">
        <f>Consumption!A212</f>
        <v>41475</v>
      </c>
      <c r="B212" s="305">
        <f>Consumption!B212</f>
        <v>0</v>
      </c>
      <c r="C212" s="41">
        <f ca="1">Consumption!C212</f>
        <v>0</v>
      </c>
      <c r="D212" s="41">
        <f t="shared" si="60"/>
        <v>0.219</v>
      </c>
      <c r="E212" s="41">
        <f t="shared" ca="1" si="71"/>
        <v>4.6309999999999771</v>
      </c>
      <c r="F212" s="306">
        <f ca="1">'Pump Main'!$M$3*1000</f>
        <v>124614.17111887744</v>
      </c>
      <c r="G212" s="41">
        <f t="shared" ca="1" si="61"/>
        <v>0</v>
      </c>
      <c r="H212" s="6">
        <f t="shared" ca="1" si="62"/>
        <v>0</v>
      </c>
      <c r="I212" s="6">
        <f t="shared" ca="1" si="72"/>
        <v>0</v>
      </c>
      <c r="J212" s="6">
        <f t="shared" ca="1" si="63"/>
        <v>0</v>
      </c>
      <c r="K212" s="6">
        <f t="shared" ca="1" si="64"/>
        <v>0</v>
      </c>
      <c r="L212" s="6">
        <f t="shared" ca="1" si="65"/>
        <v>0</v>
      </c>
      <c r="M212">
        <f t="shared" ca="1" si="73"/>
        <v>0</v>
      </c>
      <c r="N212" s="6">
        <f t="shared" si="74"/>
        <v>1200</v>
      </c>
      <c r="O212" s="6">
        <f t="shared" ca="1" si="75"/>
        <v>1200</v>
      </c>
      <c r="P212">
        <f t="shared" si="76"/>
        <v>0</v>
      </c>
      <c r="Q212" s="6">
        <f t="shared" si="66"/>
        <v>0</v>
      </c>
      <c r="R212" s="296">
        <v>15.75</v>
      </c>
      <c r="S212">
        <f t="shared" si="67"/>
        <v>5997.6</v>
      </c>
      <c r="T212">
        <f t="shared" si="68"/>
        <v>5517.7920000000004</v>
      </c>
      <c r="U212">
        <f t="shared" ca="1" si="69"/>
        <v>0</v>
      </c>
      <c r="V212">
        <f t="shared" si="77"/>
        <v>5517.7920000000004</v>
      </c>
      <c r="W212">
        <f t="shared" ca="1" si="79"/>
        <v>1200</v>
      </c>
      <c r="X212">
        <f t="shared" ca="1" si="78"/>
        <v>2000</v>
      </c>
      <c r="Y212" s="297" t="str">
        <f t="shared" ca="1" si="70"/>
        <v>Yes</v>
      </c>
    </row>
    <row r="213" spans="1:25" outlineLevel="1" x14ac:dyDescent="0.75">
      <c r="A213" s="304">
        <f>Consumption!A213</f>
        <v>41476</v>
      </c>
      <c r="B213" s="305">
        <f>Consumption!B213</f>
        <v>0</v>
      </c>
      <c r="C213" s="41">
        <f ca="1">Consumption!C213</f>
        <v>0</v>
      </c>
      <c r="D213" s="41">
        <f t="shared" si="60"/>
        <v>0.219</v>
      </c>
      <c r="E213" s="41">
        <f t="shared" ca="1" si="71"/>
        <v>4.4119999999999768</v>
      </c>
      <c r="F213" s="306">
        <f ca="1">'Pump Main'!$M$3*1000</f>
        <v>124614.17111887744</v>
      </c>
      <c r="G213" s="41">
        <f t="shared" ca="1" si="61"/>
        <v>0</v>
      </c>
      <c r="H213" s="6">
        <f t="shared" ca="1" si="62"/>
        <v>0</v>
      </c>
      <c r="I213" s="6">
        <f t="shared" ca="1" si="72"/>
        <v>0</v>
      </c>
      <c r="J213" s="6">
        <f t="shared" ca="1" si="63"/>
        <v>0</v>
      </c>
      <c r="K213" s="6">
        <f t="shared" ca="1" si="64"/>
        <v>0</v>
      </c>
      <c r="L213" s="6">
        <f t="shared" ca="1" si="65"/>
        <v>0</v>
      </c>
      <c r="M213">
        <f t="shared" ca="1" si="73"/>
        <v>0</v>
      </c>
      <c r="N213" s="6">
        <f t="shared" si="74"/>
        <v>1200</v>
      </c>
      <c r="O213" s="6">
        <f t="shared" ca="1" si="75"/>
        <v>1200</v>
      </c>
      <c r="P213">
        <f t="shared" si="76"/>
        <v>0</v>
      </c>
      <c r="Q213" s="6">
        <f t="shared" si="66"/>
        <v>0</v>
      </c>
      <c r="R213" s="296">
        <v>15.75</v>
      </c>
      <c r="S213">
        <f t="shared" si="67"/>
        <v>5997.6</v>
      </c>
      <c r="T213">
        <f t="shared" si="68"/>
        <v>5517.7920000000004</v>
      </c>
      <c r="U213">
        <f t="shared" ca="1" si="69"/>
        <v>0</v>
      </c>
      <c r="V213">
        <f t="shared" si="77"/>
        <v>5517.7920000000004</v>
      </c>
      <c r="W213">
        <f t="shared" ca="1" si="79"/>
        <v>1200</v>
      </c>
      <c r="X213">
        <f t="shared" ca="1" si="78"/>
        <v>2000</v>
      </c>
      <c r="Y213" s="297" t="str">
        <f t="shared" ca="1" si="70"/>
        <v>Yes</v>
      </c>
    </row>
    <row r="214" spans="1:25" outlineLevel="1" x14ac:dyDescent="0.75">
      <c r="A214" s="304">
        <f>Consumption!A214</f>
        <v>41477</v>
      </c>
      <c r="B214" s="305">
        <f>Consumption!B214</f>
        <v>0</v>
      </c>
      <c r="C214" s="41">
        <f ca="1">Consumption!C214</f>
        <v>0</v>
      </c>
      <c r="D214" s="41">
        <f t="shared" si="60"/>
        <v>0.219</v>
      </c>
      <c r="E214" s="41">
        <f t="shared" ca="1" si="71"/>
        <v>4.1929999999999765</v>
      </c>
      <c r="F214" s="306">
        <f ca="1">'Pump Main'!$M$3*1000</f>
        <v>124614.17111887744</v>
      </c>
      <c r="G214" s="41">
        <f t="shared" ca="1" si="61"/>
        <v>0</v>
      </c>
      <c r="H214" s="6">
        <f t="shared" ca="1" si="62"/>
        <v>0</v>
      </c>
      <c r="I214" s="6">
        <f t="shared" ca="1" si="72"/>
        <v>0</v>
      </c>
      <c r="J214" s="6">
        <f t="shared" ca="1" si="63"/>
        <v>0</v>
      </c>
      <c r="K214" s="6">
        <f t="shared" ca="1" si="64"/>
        <v>0</v>
      </c>
      <c r="L214" s="6">
        <f t="shared" ca="1" si="65"/>
        <v>0</v>
      </c>
      <c r="M214">
        <f t="shared" ca="1" si="73"/>
        <v>0</v>
      </c>
      <c r="N214" s="6">
        <f t="shared" si="74"/>
        <v>1200</v>
      </c>
      <c r="O214" s="6">
        <f t="shared" ca="1" si="75"/>
        <v>1200</v>
      </c>
      <c r="P214">
        <f t="shared" si="76"/>
        <v>0</v>
      </c>
      <c r="Q214" s="6">
        <f t="shared" si="66"/>
        <v>0</v>
      </c>
      <c r="R214" s="296">
        <v>15.75</v>
      </c>
      <c r="S214">
        <f t="shared" si="67"/>
        <v>5997.6</v>
      </c>
      <c r="T214">
        <f t="shared" si="68"/>
        <v>5517.7920000000004</v>
      </c>
      <c r="U214">
        <f t="shared" ca="1" si="69"/>
        <v>0</v>
      </c>
      <c r="V214">
        <f t="shared" si="77"/>
        <v>5517.7920000000004</v>
      </c>
      <c r="W214">
        <f t="shared" ca="1" si="79"/>
        <v>1200</v>
      </c>
      <c r="X214">
        <f t="shared" ca="1" si="78"/>
        <v>2000</v>
      </c>
      <c r="Y214" s="297" t="str">
        <f t="shared" ca="1" si="70"/>
        <v>Yes</v>
      </c>
    </row>
    <row r="215" spans="1:25" outlineLevel="1" x14ac:dyDescent="0.75">
      <c r="A215" s="304">
        <f>Consumption!A215</f>
        <v>41478</v>
      </c>
      <c r="B215" s="305">
        <f>Consumption!B215</f>
        <v>0</v>
      </c>
      <c r="C215" s="41">
        <f ca="1">Consumption!C215</f>
        <v>0</v>
      </c>
      <c r="D215" s="41">
        <f t="shared" si="60"/>
        <v>0.219</v>
      </c>
      <c r="E215" s="41">
        <f t="shared" ca="1" si="71"/>
        <v>3.9739999999999767</v>
      </c>
      <c r="F215" s="306">
        <f ca="1">'Pump Main'!$M$3*1000</f>
        <v>124614.17111887744</v>
      </c>
      <c r="G215" s="41">
        <f t="shared" ca="1" si="61"/>
        <v>0</v>
      </c>
      <c r="H215" s="6">
        <f t="shared" ca="1" si="62"/>
        <v>0</v>
      </c>
      <c r="I215" s="6">
        <f t="shared" ca="1" si="72"/>
        <v>0</v>
      </c>
      <c r="J215" s="6">
        <f t="shared" ca="1" si="63"/>
        <v>0</v>
      </c>
      <c r="K215" s="6">
        <f t="shared" ca="1" si="64"/>
        <v>0</v>
      </c>
      <c r="L215" s="6">
        <f t="shared" ca="1" si="65"/>
        <v>0</v>
      </c>
      <c r="M215">
        <f t="shared" ca="1" si="73"/>
        <v>0</v>
      </c>
      <c r="N215" s="6">
        <f t="shared" si="74"/>
        <v>1200</v>
      </c>
      <c r="O215" s="6">
        <f t="shared" ca="1" si="75"/>
        <v>1200</v>
      </c>
      <c r="P215">
        <f t="shared" si="76"/>
        <v>0</v>
      </c>
      <c r="Q215" s="6">
        <f t="shared" si="66"/>
        <v>0</v>
      </c>
      <c r="R215" s="296">
        <v>15.75</v>
      </c>
      <c r="S215">
        <f t="shared" si="67"/>
        <v>5997.6</v>
      </c>
      <c r="T215">
        <f t="shared" si="68"/>
        <v>5517.7920000000004</v>
      </c>
      <c r="U215">
        <f t="shared" ca="1" si="69"/>
        <v>0</v>
      </c>
      <c r="V215">
        <f t="shared" si="77"/>
        <v>5517.7920000000004</v>
      </c>
      <c r="W215">
        <f t="shared" ca="1" si="79"/>
        <v>1200</v>
      </c>
      <c r="X215">
        <f t="shared" ca="1" si="78"/>
        <v>2000</v>
      </c>
      <c r="Y215" s="297" t="str">
        <f t="shared" ca="1" si="70"/>
        <v>Yes</v>
      </c>
    </row>
    <row r="216" spans="1:25" outlineLevel="1" x14ac:dyDescent="0.75">
      <c r="A216" s="304">
        <f>Consumption!A216</f>
        <v>41479</v>
      </c>
      <c r="B216" s="305">
        <f>Consumption!B216</f>
        <v>0</v>
      </c>
      <c r="C216" s="41">
        <f ca="1">Consumption!C216</f>
        <v>0</v>
      </c>
      <c r="D216" s="41">
        <f t="shared" si="60"/>
        <v>0.219</v>
      </c>
      <c r="E216" s="41">
        <f t="shared" ca="1" si="71"/>
        <v>3.7549999999999768</v>
      </c>
      <c r="F216" s="306">
        <f ca="1">'Pump Main'!$M$3*1000</f>
        <v>124614.17111887744</v>
      </c>
      <c r="G216" s="41">
        <f t="shared" ca="1" si="61"/>
        <v>0</v>
      </c>
      <c r="H216" s="6">
        <f t="shared" ca="1" si="62"/>
        <v>0</v>
      </c>
      <c r="I216" s="6">
        <f t="shared" ca="1" si="72"/>
        <v>0</v>
      </c>
      <c r="J216" s="6">
        <f t="shared" ca="1" si="63"/>
        <v>0</v>
      </c>
      <c r="K216" s="6">
        <f t="shared" ca="1" si="64"/>
        <v>0</v>
      </c>
      <c r="L216" s="6">
        <f t="shared" ca="1" si="65"/>
        <v>0</v>
      </c>
      <c r="M216">
        <f t="shared" ca="1" si="73"/>
        <v>0</v>
      </c>
      <c r="N216" s="6">
        <f t="shared" si="74"/>
        <v>1200</v>
      </c>
      <c r="O216" s="6">
        <f t="shared" ca="1" si="75"/>
        <v>1200</v>
      </c>
      <c r="P216">
        <f t="shared" si="76"/>
        <v>0</v>
      </c>
      <c r="Q216" s="6">
        <f t="shared" si="66"/>
        <v>0</v>
      </c>
      <c r="R216" s="296">
        <v>15.75</v>
      </c>
      <c r="S216">
        <f t="shared" si="67"/>
        <v>5997.6</v>
      </c>
      <c r="T216">
        <f t="shared" si="68"/>
        <v>5517.7920000000004</v>
      </c>
      <c r="U216">
        <f t="shared" ca="1" si="69"/>
        <v>0</v>
      </c>
      <c r="V216">
        <f t="shared" si="77"/>
        <v>5517.7920000000004</v>
      </c>
      <c r="W216">
        <f t="shared" ca="1" si="79"/>
        <v>1200</v>
      </c>
      <c r="X216">
        <f t="shared" ca="1" si="78"/>
        <v>2000</v>
      </c>
      <c r="Y216" s="297" t="str">
        <f t="shared" ca="1" si="70"/>
        <v>Yes</v>
      </c>
    </row>
    <row r="217" spans="1:25" outlineLevel="1" x14ac:dyDescent="0.75">
      <c r="A217" s="304">
        <f>Consumption!A217</f>
        <v>41480</v>
      </c>
      <c r="B217" s="305">
        <f>Consumption!B217</f>
        <v>0</v>
      </c>
      <c r="C217" s="41">
        <f ca="1">Consumption!C217</f>
        <v>0</v>
      </c>
      <c r="D217" s="41">
        <f t="shared" si="60"/>
        <v>0.219</v>
      </c>
      <c r="E217" s="41">
        <f t="shared" ca="1" si="71"/>
        <v>3.5359999999999769</v>
      </c>
      <c r="F217" s="306">
        <f ca="1">'Pump Main'!$M$3*1000</f>
        <v>124614.17111887744</v>
      </c>
      <c r="G217" s="41">
        <f t="shared" ca="1" si="61"/>
        <v>0</v>
      </c>
      <c r="H217" s="6">
        <f t="shared" ca="1" si="62"/>
        <v>0</v>
      </c>
      <c r="I217" s="6">
        <f t="shared" ca="1" si="72"/>
        <v>0</v>
      </c>
      <c r="J217" s="6">
        <f t="shared" ca="1" si="63"/>
        <v>0</v>
      </c>
      <c r="K217" s="6">
        <f t="shared" ca="1" si="64"/>
        <v>0</v>
      </c>
      <c r="L217" s="6">
        <f t="shared" ca="1" si="65"/>
        <v>0</v>
      </c>
      <c r="M217">
        <f t="shared" ca="1" si="73"/>
        <v>0</v>
      </c>
      <c r="N217" s="6">
        <f t="shared" si="74"/>
        <v>1200</v>
      </c>
      <c r="O217" s="6">
        <f t="shared" ca="1" si="75"/>
        <v>1200</v>
      </c>
      <c r="P217">
        <f t="shared" si="76"/>
        <v>0</v>
      </c>
      <c r="Q217" s="6">
        <f t="shared" si="66"/>
        <v>0</v>
      </c>
      <c r="R217" s="296">
        <v>15.75</v>
      </c>
      <c r="S217">
        <f t="shared" si="67"/>
        <v>5997.6</v>
      </c>
      <c r="T217">
        <f t="shared" si="68"/>
        <v>5517.7920000000004</v>
      </c>
      <c r="U217">
        <f t="shared" ca="1" si="69"/>
        <v>0</v>
      </c>
      <c r="V217">
        <f t="shared" si="77"/>
        <v>5517.7920000000004</v>
      </c>
      <c r="W217">
        <f t="shared" ca="1" si="79"/>
        <v>1200</v>
      </c>
      <c r="X217">
        <f t="shared" ca="1" si="78"/>
        <v>2000</v>
      </c>
      <c r="Y217" s="297" t="str">
        <f t="shared" ca="1" si="70"/>
        <v>Yes</v>
      </c>
    </row>
    <row r="218" spans="1:25" outlineLevel="1" x14ac:dyDescent="0.75">
      <c r="A218" s="304">
        <f>Consumption!A218</f>
        <v>41481</v>
      </c>
      <c r="B218" s="305">
        <f>Consumption!B218</f>
        <v>0</v>
      </c>
      <c r="C218" s="41">
        <f ca="1">Consumption!C218</f>
        <v>0</v>
      </c>
      <c r="D218" s="41">
        <f t="shared" si="60"/>
        <v>0.219</v>
      </c>
      <c r="E218" s="41">
        <f t="shared" ca="1" si="71"/>
        <v>3.3169999999999771</v>
      </c>
      <c r="F218" s="306">
        <f ca="1">'Pump Main'!$M$3*1000</f>
        <v>124614.17111887744</v>
      </c>
      <c r="G218" s="41">
        <f t="shared" ca="1" si="61"/>
        <v>0</v>
      </c>
      <c r="H218" s="6">
        <f t="shared" ca="1" si="62"/>
        <v>0</v>
      </c>
      <c r="I218" s="6">
        <f t="shared" ca="1" si="72"/>
        <v>0</v>
      </c>
      <c r="J218" s="6">
        <f t="shared" ca="1" si="63"/>
        <v>0</v>
      </c>
      <c r="K218" s="6">
        <f t="shared" ca="1" si="64"/>
        <v>0</v>
      </c>
      <c r="L218" s="6">
        <f t="shared" ca="1" si="65"/>
        <v>0</v>
      </c>
      <c r="M218">
        <f t="shared" ca="1" si="73"/>
        <v>0</v>
      </c>
      <c r="N218" s="6">
        <f t="shared" si="74"/>
        <v>1200</v>
      </c>
      <c r="O218" s="6">
        <f t="shared" ca="1" si="75"/>
        <v>1200</v>
      </c>
      <c r="P218">
        <f t="shared" si="76"/>
        <v>0</v>
      </c>
      <c r="Q218" s="6">
        <f t="shared" si="66"/>
        <v>0</v>
      </c>
      <c r="R218" s="296">
        <v>15.75</v>
      </c>
      <c r="S218">
        <f t="shared" si="67"/>
        <v>5997.6</v>
      </c>
      <c r="T218">
        <f t="shared" si="68"/>
        <v>5517.7920000000004</v>
      </c>
      <c r="U218">
        <f t="shared" ca="1" si="69"/>
        <v>0</v>
      </c>
      <c r="V218">
        <f t="shared" si="77"/>
        <v>5517.7920000000004</v>
      </c>
      <c r="W218">
        <f t="shared" ca="1" si="79"/>
        <v>1200</v>
      </c>
      <c r="X218">
        <f t="shared" ca="1" si="78"/>
        <v>2000</v>
      </c>
      <c r="Y218" s="297" t="str">
        <f t="shared" ca="1" si="70"/>
        <v>Yes</v>
      </c>
    </row>
    <row r="219" spans="1:25" outlineLevel="1" x14ac:dyDescent="0.75">
      <c r="A219" s="304">
        <f>Consumption!A219</f>
        <v>41482</v>
      </c>
      <c r="B219" s="305">
        <f>Consumption!B219</f>
        <v>0</v>
      </c>
      <c r="C219" s="41">
        <f ca="1">Consumption!C219</f>
        <v>0</v>
      </c>
      <c r="D219" s="41">
        <f t="shared" si="60"/>
        <v>0.219</v>
      </c>
      <c r="E219" s="41">
        <f t="shared" ca="1" si="71"/>
        <v>3.0979999999999772</v>
      </c>
      <c r="F219" s="306">
        <f ca="1">'Pump Main'!$M$3*1000</f>
        <v>124614.17111887744</v>
      </c>
      <c r="G219" s="41">
        <f t="shared" ca="1" si="61"/>
        <v>0</v>
      </c>
      <c r="H219" s="6">
        <f t="shared" ca="1" si="62"/>
        <v>0</v>
      </c>
      <c r="I219" s="6">
        <f t="shared" ca="1" si="72"/>
        <v>0</v>
      </c>
      <c r="J219" s="6">
        <f t="shared" ca="1" si="63"/>
        <v>0</v>
      </c>
      <c r="K219" s="6">
        <f t="shared" ca="1" si="64"/>
        <v>0</v>
      </c>
      <c r="L219" s="6">
        <f t="shared" ca="1" si="65"/>
        <v>0</v>
      </c>
      <c r="M219">
        <f t="shared" ca="1" si="73"/>
        <v>0</v>
      </c>
      <c r="N219" s="6">
        <f t="shared" si="74"/>
        <v>1200</v>
      </c>
      <c r="O219" s="6">
        <f t="shared" ca="1" si="75"/>
        <v>1200</v>
      </c>
      <c r="P219">
        <f t="shared" si="76"/>
        <v>0</v>
      </c>
      <c r="Q219" s="6">
        <f t="shared" si="66"/>
        <v>0</v>
      </c>
      <c r="R219" s="296">
        <v>15.75</v>
      </c>
      <c r="S219">
        <f t="shared" si="67"/>
        <v>5997.6</v>
      </c>
      <c r="T219">
        <f t="shared" si="68"/>
        <v>5517.7920000000004</v>
      </c>
      <c r="U219">
        <f t="shared" ca="1" si="69"/>
        <v>0</v>
      </c>
      <c r="V219">
        <f t="shared" si="77"/>
        <v>5517.7920000000004</v>
      </c>
      <c r="W219">
        <f t="shared" ca="1" si="79"/>
        <v>1200</v>
      </c>
      <c r="X219">
        <f t="shared" ca="1" si="78"/>
        <v>2000</v>
      </c>
      <c r="Y219" s="297" t="str">
        <f t="shared" ca="1" si="70"/>
        <v>Yes</v>
      </c>
    </row>
    <row r="220" spans="1:25" outlineLevel="1" x14ac:dyDescent="0.75">
      <c r="A220" s="304">
        <f>Consumption!A220</f>
        <v>41483</v>
      </c>
      <c r="B220" s="305">
        <f>Consumption!B220</f>
        <v>0</v>
      </c>
      <c r="C220" s="41">
        <f ca="1">Consumption!C220</f>
        <v>0</v>
      </c>
      <c r="D220" s="41">
        <f t="shared" si="60"/>
        <v>0.219</v>
      </c>
      <c r="E220" s="41">
        <f t="shared" ca="1" si="71"/>
        <v>2.8789999999999774</v>
      </c>
      <c r="F220" s="306">
        <f ca="1">'Pump Main'!$M$3*1000</f>
        <v>124614.17111887744</v>
      </c>
      <c r="G220" s="41">
        <f t="shared" ca="1" si="61"/>
        <v>0</v>
      </c>
      <c r="H220" s="6">
        <f t="shared" ca="1" si="62"/>
        <v>0</v>
      </c>
      <c r="I220" s="6">
        <f t="shared" ca="1" si="72"/>
        <v>0</v>
      </c>
      <c r="J220" s="6">
        <f t="shared" ca="1" si="63"/>
        <v>0</v>
      </c>
      <c r="K220" s="6">
        <f t="shared" ca="1" si="64"/>
        <v>0</v>
      </c>
      <c r="L220" s="6">
        <f t="shared" ca="1" si="65"/>
        <v>0</v>
      </c>
      <c r="M220">
        <f t="shared" ca="1" si="73"/>
        <v>0</v>
      </c>
      <c r="N220" s="6">
        <f t="shared" si="74"/>
        <v>1200</v>
      </c>
      <c r="O220" s="6">
        <f t="shared" ca="1" si="75"/>
        <v>1200</v>
      </c>
      <c r="P220">
        <f t="shared" si="76"/>
        <v>0</v>
      </c>
      <c r="Q220" s="6">
        <f t="shared" si="66"/>
        <v>0</v>
      </c>
      <c r="R220" s="296">
        <v>15.75</v>
      </c>
      <c r="S220">
        <f t="shared" si="67"/>
        <v>5997.6</v>
      </c>
      <c r="T220">
        <f t="shared" si="68"/>
        <v>5517.7920000000004</v>
      </c>
      <c r="U220">
        <f t="shared" ca="1" si="69"/>
        <v>0</v>
      </c>
      <c r="V220">
        <f t="shared" si="77"/>
        <v>5517.7920000000004</v>
      </c>
      <c r="W220">
        <f t="shared" ca="1" si="79"/>
        <v>1200</v>
      </c>
      <c r="X220">
        <f t="shared" ca="1" si="78"/>
        <v>2000</v>
      </c>
      <c r="Y220" s="297" t="str">
        <f t="shared" ca="1" si="70"/>
        <v>Yes</v>
      </c>
    </row>
    <row r="221" spans="1:25" outlineLevel="1" x14ac:dyDescent="0.75">
      <c r="A221" s="304">
        <f>Consumption!A221</f>
        <v>41484</v>
      </c>
      <c r="B221" s="305">
        <f>Consumption!B221</f>
        <v>0</v>
      </c>
      <c r="C221" s="41">
        <f ca="1">Consumption!C221</f>
        <v>0</v>
      </c>
      <c r="D221" s="41">
        <f t="shared" si="60"/>
        <v>0.219</v>
      </c>
      <c r="E221" s="41">
        <f t="shared" ca="1" si="71"/>
        <v>2.6599999999999775</v>
      </c>
      <c r="F221" s="306">
        <f ca="1">'Pump Main'!$M$3*1000</f>
        <v>124614.17111887744</v>
      </c>
      <c r="G221" s="41">
        <f t="shared" ca="1" si="61"/>
        <v>0</v>
      </c>
      <c r="H221" s="6">
        <f t="shared" ca="1" si="62"/>
        <v>0</v>
      </c>
      <c r="I221" s="6">
        <f t="shared" ca="1" si="72"/>
        <v>0</v>
      </c>
      <c r="J221" s="6">
        <f t="shared" ca="1" si="63"/>
        <v>0</v>
      </c>
      <c r="K221" s="6">
        <f t="shared" ca="1" si="64"/>
        <v>0</v>
      </c>
      <c r="L221" s="6">
        <f t="shared" ca="1" si="65"/>
        <v>0</v>
      </c>
      <c r="M221">
        <f t="shared" ca="1" si="73"/>
        <v>0</v>
      </c>
      <c r="N221" s="6">
        <f t="shared" si="74"/>
        <v>1200</v>
      </c>
      <c r="O221" s="6">
        <f t="shared" ca="1" si="75"/>
        <v>1200</v>
      </c>
      <c r="P221">
        <f t="shared" si="76"/>
        <v>0</v>
      </c>
      <c r="Q221" s="6">
        <f t="shared" si="66"/>
        <v>0</v>
      </c>
      <c r="R221" s="296">
        <v>15.75</v>
      </c>
      <c r="S221">
        <f t="shared" si="67"/>
        <v>5997.6</v>
      </c>
      <c r="T221">
        <f t="shared" si="68"/>
        <v>5517.7920000000004</v>
      </c>
      <c r="U221">
        <f t="shared" ca="1" si="69"/>
        <v>0</v>
      </c>
      <c r="V221">
        <f t="shared" si="77"/>
        <v>5517.7920000000004</v>
      </c>
      <c r="W221">
        <f t="shared" ca="1" si="79"/>
        <v>1200</v>
      </c>
      <c r="X221">
        <f t="shared" ca="1" si="78"/>
        <v>2000</v>
      </c>
      <c r="Y221" s="297" t="str">
        <f t="shared" ca="1" si="70"/>
        <v>Yes</v>
      </c>
    </row>
    <row r="222" spans="1:25" outlineLevel="1" x14ac:dyDescent="0.75">
      <c r="A222" s="304">
        <f>Consumption!A222</f>
        <v>41485</v>
      </c>
      <c r="B222" s="305">
        <f>Consumption!B222</f>
        <v>0</v>
      </c>
      <c r="C222" s="41">
        <f ca="1">Consumption!C222</f>
        <v>0</v>
      </c>
      <c r="D222" s="41">
        <f t="shared" si="60"/>
        <v>0.219</v>
      </c>
      <c r="E222" s="41">
        <f t="shared" ca="1" si="71"/>
        <v>2.4409999999999776</v>
      </c>
      <c r="F222" s="306">
        <f ca="1">'Pump Main'!$M$3*1000</f>
        <v>124614.17111887744</v>
      </c>
      <c r="G222" s="41">
        <f t="shared" ca="1" si="61"/>
        <v>0</v>
      </c>
      <c r="H222" s="6">
        <f t="shared" ca="1" si="62"/>
        <v>0</v>
      </c>
      <c r="I222" s="6">
        <f t="shared" ca="1" si="72"/>
        <v>0</v>
      </c>
      <c r="J222" s="6">
        <f t="shared" ca="1" si="63"/>
        <v>0</v>
      </c>
      <c r="K222" s="6">
        <f t="shared" ca="1" si="64"/>
        <v>0</v>
      </c>
      <c r="L222" s="6">
        <f t="shared" ca="1" si="65"/>
        <v>0</v>
      </c>
      <c r="M222">
        <f t="shared" ca="1" si="73"/>
        <v>0</v>
      </c>
      <c r="N222" s="6">
        <f t="shared" si="74"/>
        <v>1200</v>
      </c>
      <c r="O222" s="6">
        <f t="shared" ca="1" si="75"/>
        <v>1200</v>
      </c>
      <c r="P222">
        <f t="shared" si="76"/>
        <v>0</v>
      </c>
      <c r="Q222" s="6">
        <f t="shared" si="66"/>
        <v>0</v>
      </c>
      <c r="R222" s="296">
        <v>15.75</v>
      </c>
      <c r="S222">
        <f t="shared" si="67"/>
        <v>5997.6</v>
      </c>
      <c r="T222">
        <f t="shared" si="68"/>
        <v>5517.7920000000004</v>
      </c>
      <c r="U222">
        <f t="shared" ca="1" si="69"/>
        <v>0</v>
      </c>
      <c r="V222">
        <f t="shared" si="77"/>
        <v>5517.7920000000004</v>
      </c>
      <c r="W222">
        <f t="shared" ca="1" si="79"/>
        <v>1200</v>
      </c>
      <c r="X222">
        <f t="shared" ca="1" si="78"/>
        <v>2000</v>
      </c>
      <c r="Y222" s="297" t="str">
        <f t="shared" ca="1" si="70"/>
        <v>Yes</v>
      </c>
    </row>
    <row r="223" spans="1:25" outlineLevel="1" x14ac:dyDescent="0.75">
      <c r="A223" s="304">
        <f>Consumption!A223</f>
        <v>41486</v>
      </c>
      <c r="B223" s="305">
        <f>Consumption!B223</f>
        <v>5.4</v>
      </c>
      <c r="C223" s="41">
        <f ca="1">Consumption!C223</f>
        <v>0.54</v>
      </c>
      <c r="D223" s="41">
        <f t="shared" si="60"/>
        <v>0.219</v>
      </c>
      <c r="E223" s="41">
        <f t="shared" ca="1" si="71"/>
        <v>2.7619999999999778</v>
      </c>
      <c r="F223" s="306">
        <f ca="1">'Pump Main'!$M$3*1000</f>
        <v>124614.17111887744</v>
      </c>
      <c r="G223" s="41">
        <f t="shared" ca="1" si="61"/>
        <v>67291.652404193825</v>
      </c>
      <c r="H223" s="6">
        <f t="shared" ca="1" si="62"/>
        <v>114267.81383039514</v>
      </c>
      <c r="I223" s="6">
        <f t="shared" ca="1" si="72"/>
        <v>31.741059397331984</v>
      </c>
      <c r="J223" s="6">
        <f t="shared" ca="1" si="63"/>
        <v>2700</v>
      </c>
      <c r="K223" s="6">
        <f t="shared" ca="1" si="64"/>
        <v>2.7</v>
      </c>
      <c r="L223" s="6">
        <f t="shared" ca="1" si="65"/>
        <v>5.4</v>
      </c>
      <c r="M223">
        <f t="shared" ca="1" si="73"/>
        <v>1500</v>
      </c>
      <c r="N223" s="6">
        <f t="shared" si="74"/>
        <v>1200</v>
      </c>
      <c r="O223" s="6">
        <f t="shared" ca="1" si="75"/>
        <v>2731.7410593973318</v>
      </c>
      <c r="P223">
        <f t="shared" si="76"/>
        <v>0</v>
      </c>
      <c r="Q223" s="6">
        <f t="shared" si="66"/>
        <v>0</v>
      </c>
      <c r="R223" s="296">
        <v>15.75</v>
      </c>
      <c r="S223">
        <f t="shared" si="67"/>
        <v>5997.6</v>
      </c>
      <c r="T223">
        <f t="shared" si="68"/>
        <v>5517.7920000000004</v>
      </c>
      <c r="U223">
        <f t="shared" ca="1" si="69"/>
        <v>0</v>
      </c>
      <c r="V223">
        <f t="shared" si="77"/>
        <v>5517.7920000000004</v>
      </c>
      <c r="W223">
        <f t="shared" ca="1" si="79"/>
        <v>2731.7410593973318</v>
      </c>
      <c r="X223">
        <f t="shared" ca="1" si="78"/>
        <v>2000</v>
      </c>
      <c r="Y223" s="297" t="str">
        <f t="shared" ca="1" si="70"/>
        <v>Yes</v>
      </c>
    </row>
    <row r="224" spans="1:25" outlineLevel="1" x14ac:dyDescent="0.75">
      <c r="A224" s="304">
        <f>Consumption!A224</f>
        <v>41487</v>
      </c>
      <c r="B224" s="305">
        <f>Consumption!B224</f>
        <v>0.4</v>
      </c>
      <c r="C224" s="41">
        <f ca="1">Consumption!C224</f>
        <v>0.04</v>
      </c>
      <c r="D224" s="41">
        <f t="shared" si="60"/>
        <v>0.219</v>
      </c>
      <c r="E224" s="41">
        <f t="shared" ca="1" si="71"/>
        <v>2.582999999999978</v>
      </c>
      <c r="F224" s="306">
        <f ca="1">'Pump Main'!$M$3*1000</f>
        <v>124614.17111887744</v>
      </c>
      <c r="G224" s="41">
        <f t="shared" ca="1" si="61"/>
        <v>4984.5668447550979</v>
      </c>
      <c r="H224" s="6">
        <f t="shared" ca="1" si="62"/>
        <v>8464.282505955196</v>
      </c>
      <c r="I224" s="6">
        <f t="shared" ca="1" si="72"/>
        <v>2.3511895849875546</v>
      </c>
      <c r="J224" s="6">
        <f t="shared" ca="1" si="63"/>
        <v>200</v>
      </c>
      <c r="K224" s="6">
        <f t="shared" ca="1" si="64"/>
        <v>0.2</v>
      </c>
      <c r="L224" s="6">
        <f t="shared" ca="1" si="65"/>
        <v>0.4</v>
      </c>
      <c r="M224">
        <f t="shared" ca="1" si="73"/>
        <v>111.11111111111111</v>
      </c>
      <c r="N224" s="6">
        <f t="shared" si="74"/>
        <v>1200</v>
      </c>
      <c r="O224" s="6">
        <f t="shared" ca="1" si="75"/>
        <v>1313.4623006960987</v>
      </c>
      <c r="P224">
        <f t="shared" si="76"/>
        <v>0</v>
      </c>
      <c r="Q224" s="6">
        <f t="shared" si="66"/>
        <v>0</v>
      </c>
      <c r="R224" s="296">
        <v>14.2</v>
      </c>
      <c r="S224">
        <f t="shared" si="67"/>
        <v>5407.3600000000006</v>
      </c>
      <c r="T224">
        <f t="shared" si="68"/>
        <v>4974.771200000001</v>
      </c>
      <c r="U224">
        <f t="shared" ca="1" si="69"/>
        <v>0</v>
      </c>
      <c r="V224">
        <f t="shared" si="77"/>
        <v>4974.771200000001</v>
      </c>
      <c r="W224">
        <f t="shared" ca="1" si="79"/>
        <v>1313.4623006960987</v>
      </c>
      <c r="X224">
        <f t="shared" ca="1" si="78"/>
        <v>2000</v>
      </c>
      <c r="Y224" s="297" t="str">
        <f t="shared" ca="1" si="70"/>
        <v>Yes</v>
      </c>
    </row>
    <row r="225" spans="1:25" outlineLevel="1" x14ac:dyDescent="0.75">
      <c r="A225" s="304">
        <f>Consumption!A225</f>
        <v>41488</v>
      </c>
      <c r="B225" s="305">
        <f>Consumption!B225</f>
        <v>0</v>
      </c>
      <c r="C225" s="41">
        <f ca="1">Consumption!C225</f>
        <v>0</v>
      </c>
      <c r="D225" s="41">
        <f t="shared" si="60"/>
        <v>0.219</v>
      </c>
      <c r="E225" s="41">
        <f t="shared" ca="1" si="71"/>
        <v>2.3639999999999781</v>
      </c>
      <c r="F225" s="306">
        <f ca="1">'Pump Main'!$M$3*1000</f>
        <v>124614.17111887744</v>
      </c>
      <c r="G225" s="41">
        <f t="shared" ca="1" si="61"/>
        <v>0</v>
      </c>
      <c r="H225" s="6">
        <f t="shared" ca="1" si="62"/>
        <v>0</v>
      </c>
      <c r="I225" s="6">
        <f t="shared" ca="1" si="72"/>
        <v>0</v>
      </c>
      <c r="J225" s="6">
        <f t="shared" ca="1" si="63"/>
        <v>0</v>
      </c>
      <c r="K225" s="6">
        <f t="shared" ca="1" si="64"/>
        <v>0</v>
      </c>
      <c r="L225" s="6">
        <f t="shared" ca="1" si="65"/>
        <v>0</v>
      </c>
      <c r="M225">
        <f t="shared" ca="1" si="73"/>
        <v>0</v>
      </c>
      <c r="N225" s="6">
        <f t="shared" si="74"/>
        <v>1200</v>
      </c>
      <c r="O225" s="6">
        <f t="shared" ca="1" si="75"/>
        <v>1200</v>
      </c>
      <c r="P225">
        <f t="shared" si="76"/>
        <v>0</v>
      </c>
      <c r="Q225" s="6">
        <f t="shared" si="66"/>
        <v>0</v>
      </c>
      <c r="R225" s="296">
        <v>14.2</v>
      </c>
      <c r="S225">
        <f t="shared" si="67"/>
        <v>5407.3600000000006</v>
      </c>
      <c r="T225">
        <f t="shared" si="68"/>
        <v>4974.771200000001</v>
      </c>
      <c r="U225">
        <f t="shared" ca="1" si="69"/>
        <v>0</v>
      </c>
      <c r="V225">
        <f t="shared" si="77"/>
        <v>4974.771200000001</v>
      </c>
      <c r="W225">
        <f t="shared" ca="1" si="79"/>
        <v>1200</v>
      </c>
      <c r="X225">
        <f t="shared" ca="1" si="78"/>
        <v>2000</v>
      </c>
      <c r="Y225" s="297" t="str">
        <f t="shared" ca="1" si="70"/>
        <v>Yes</v>
      </c>
    </row>
    <row r="226" spans="1:25" outlineLevel="1" x14ac:dyDescent="0.75">
      <c r="A226" s="304">
        <f>Consumption!A226</f>
        <v>41489</v>
      </c>
      <c r="B226" s="305">
        <f>Consumption!B226</f>
        <v>0</v>
      </c>
      <c r="C226" s="41">
        <f ca="1">Consumption!C226</f>
        <v>0</v>
      </c>
      <c r="D226" s="41">
        <f t="shared" si="60"/>
        <v>0.219</v>
      </c>
      <c r="E226" s="41">
        <f t="shared" ca="1" si="71"/>
        <v>2.1449999999999783</v>
      </c>
      <c r="F226" s="306">
        <f ca="1">'Pump Main'!$M$3*1000</f>
        <v>124614.17111887744</v>
      </c>
      <c r="G226" s="41">
        <f t="shared" ca="1" si="61"/>
        <v>0</v>
      </c>
      <c r="H226" s="6">
        <f t="shared" ca="1" si="62"/>
        <v>0</v>
      </c>
      <c r="I226" s="6">
        <f t="shared" ca="1" si="72"/>
        <v>0</v>
      </c>
      <c r="J226" s="6">
        <f t="shared" ca="1" si="63"/>
        <v>0</v>
      </c>
      <c r="K226" s="6">
        <f t="shared" ca="1" si="64"/>
        <v>0</v>
      </c>
      <c r="L226" s="6">
        <f t="shared" ca="1" si="65"/>
        <v>0</v>
      </c>
      <c r="M226">
        <f t="shared" ca="1" si="73"/>
        <v>0</v>
      </c>
      <c r="N226" s="6">
        <f t="shared" si="74"/>
        <v>1200</v>
      </c>
      <c r="O226" s="6">
        <f t="shared" ca="1" si="75"/>
        <v>1200</v>
      </c>
      <c r="P226">
        <f t="shared" si="76"/>
        <v>0</v>
      </c>
      <c r="Q226" s="6">
        <f t="shared" si="66"/>
        <v>0</v>
      </c>
      <c r="R226" s="296">
        <v>14.2</v>
      </c>
      <c r="S226">
        <f t="shared" si="67"/>
        <v>5407.3600000000006</v>
      </c>
      <c r="T226">
        <f t="shared" si="68"/>
        <v>4974.771200000001</v>
      </c>
      <c r="U226">
        <f t="shared" ca="1" si="69"/>
        <v>0</v>
      </c>
      <c r="V226">
        <f t="shared" si="77"/>
        <v>4974.771200000001</v>
      </c>
      <c r="W226">
        <f t="shared" ca="1" si="79"/>
        <v>1200</v>
      </c>
      <c r="X226">
        <f t="shared" ca="1" si="78"/>
        <v>2000</v>
      </c>
      <c r="Y226" s="297" t="str">
        <f t="shared" ca="1" si="70"/>
        <v>Yes</v>
      </c>
    </row>
    <row r="227" spans="1:25" outlineLevel="1" x14ac:dyDescent="0.75">
      <c r="A227" s="304">
        <f>Consumption!A227</f>
        <v>41490</v>
      </c>
      <c r="B227" s="305">
        <f>Consumption!B227</f>
        <v>0</v>
      </c>
      <c r="C227" s="41">
        <f ca="1">Consumption!C227</f>
        <v>0</v>
      </c>
      <c r="D227" s="41">
        <f t="shared" si="60"/>
        <v>0.219</v>
      </c>
      <c r="E227" s="41">
        <f t="shared" ca="1" si="71"/>
        <v>1.9259999999999782</v>
      </c>
      <c r="F227" s="306">
        <f ca="1">'Pump Main'!$M$3*1000</f>
        <v>124614.17111887744</v>
      </c>
      <c r="G227" s="41">
        <f t="shared" ca="1" si="61"/>
        <v>0</v>
      </c>
      <c r="H227" s="6">
        <f t="shared" ca="1" si="62"/>
        <v>0</v>
      </c>
      <c r="I227" s="6">
        <f t="shared" ca="1" si="72"/>
        <v>0</v>
      </c>
      <c r="J227" s="6">
        <f t="shared" ca="1" si="63"/>
        <v>0</v>
      </c>
      <c r="K227" s="6">
        <f t="shared" ca="1" si="64"/>
        <v>0</v>
      </c>
      <c r="L227" s="6">
        <f t="shared" ca="1" si="65"/>
        <v>0</v>
      </c>
      <c r="M227">
        <f t="shared" ca="1" si="73"/>
        <v>0</v>
      </c>
      <c r="N227" s="6">
        <f t="shared" si="74"/>
        <v>1200</v>
      </c>
      <c r="O227" s="6">
        <f t="shared" ca="1" si="75"/>
        <v>1200</v>
      </c>
      <c r="P227">
        <f t="shared" si="76"/>
        <v>0</v>
      </c>
      <c r="Q227" s="6">
        <f t="shared" si="66"/>
        <v>0</v>
      </c>
      <c r="R227" s="296">
        <v>14.2</v>
      </c>
      <c r="S227">
        <f t="shared" si="67"/>
        <v>5407.3600000000006</v>
      </c>
      <c r="T227">
        <f t="shared" si="68"/>
        <v>4974.771200000001</v>
      </c>
      <c r="U227">
        <f t="shared" ca="1" si="69"/>
        <v>0</v>
      </c>
      <c r="V227">
        <f t="shared" si="77"/>
        <v>4974.771200000001</v>
      </c>
      <c r="W227">
        <f t="shared" ca="1" si="79"/>
        <v>1200</v>
      </c>
      <c r="X227">
        <f t="shared" ca="1" si="78"/>
        <v>2000</v>
      </c>
      <c r="Y227" s="297" t="str">
        <f t="shared" ca="1" si="70"/>
        <v>Yes</v>
      </c>
    </row>
    <row r="228" spans="1:25" outlineLevel="1" x14ac:dyDescent="0.75">
      <c r="A228" s="304">
        <f>Consumption!A228</f>
        <v>41491</v>
      </c>
      <c r="B228" s="305">
        <f>Consumption!B228</f>
        <v>0</v>
      </c>
      <c r="C228" s="41">
        <f ca="1">Consumption!C228</f>
        <v>0</v>
      </c>
      <c r="D228" s="41">
        <f t="shared" si="60"/>
        <v>0.219</v>
      </c>
      <c r="E228" s="41">
        <f t="shared" ca="1" si="71"/>
        <v>1.7069999999999781</v>
      </c>
      <c r="F228" s="306">
        <f ca="1">'Pump Main'!$M$3*1000</f>
        <v>124614.17111887744</v>
      </c>
      <c r="G228" s="41">
        <f t="shared" ca="1" si="61"/>
        <v>0</v>
      </c>
      <c r="H228" s="6">
        <f t="shared" ca="1" si="62"/>
        <v>0</v>
      </c>
      <c r="I228" s="6">
        <f t="shared" ca="1" si="72"/>
        <v>0</v>
      </c>
      <c r="J228" s="6">
        <f t="shared" ca="1" si="63"/>
        <v>0</v>
      </c>
      <c r="K228" s="6">
        <f t="shared" ca="1" si="64"/>
        <v>0</v>
      </c>
      <c r="L228" s="6">
        <f t="shared" ca="1" si="65"/>
        <v>0</v>
      </c>
      <c r="M228">
        <f t="shared" ca="1" si="73"/>
        <v>0</v>
      </c>
      <c r="N228" s="6">
        <f t="shared" si="74"/>
        <v>1200</v>
      </c>
      <c r="O228" s="6">
        <f t="shared" ca="1" si="75"/>
        <v>1200</v>
      </c>
      <c r="P228">
        <f t="shared" si="76"/>
        <v>0</v>
      </c>
      <c r="Q228" s="6">
        <f t="shared" si="66"/>
        <v>0</v>
      </c>
      <c r="R228" s="296">
        <v>14.2</v>
      </c>
      <c r="S228">
        <f t="shared" si="67"/>
        <v>5407.3600000000006</v>
      </c>
      <c r="T228">
        <f t="shared" si="68"/>
        <v>4974.771200000001</v>
      </c>
      <c r="U228">
        <f t="shared" ca="1" si="69"/>
        <v>0</v>
      </c>
      <c r="V228">
        <f t="shared" si="77"/>
        <v>4974.771200000001</v>
      </c>
      <c r="W228">
        <f t="shared" ca="1" si="79"/>
        <v>1200</v>
      </c>
      <c r="X228">
        <f t="shared" ca="1" si="78"/>
        <v>2000</v>
      </c>
      <c r="Y228" s="297" t="str">
        <f t="shared" ca="1" si="70"/>
        <v>Yes</v>
      </c>
    </row>
    <row r="229" spans="1:25" outlineLevel="1" x14ac:dyDescent="0.75">
      <c r="A229" s="304">
        <f>Consumption!A229</f>
        <v>41492</v>
      </c>
      <c r="B229" s="305">
        <f>Consumption!B229</f>
        <v>0</v>
      </c>
      <c r="C229" s="41">
        <f ca="1">Consumption!C229</f>
        <v>0</v>
      </c>
      <c r="D229" s="41">
        <f t="shared" si="60"/>
        <v>0.219</v>
      </c>
      <c r="E229" s="41">
        <f t="shared" ca="1" si="71"/>
        <v>1.487999999999978</v>
      </c>
      <c r="F229" s="306">
        <f ca="1">'Pump Main'!$M$3*1000</f>
        <v>124614.17111887744</v>
      </c>
      <c r="G229" s="41">
        <f t="shared" ca="1" si="61"/>
        <v>0</v>
      </c>
      <c r="H229" s="6">
        <f t="shared" ca="1" si="62"/>
        <v>0</v>
      </c>
      <c r="I229" s="6">
        <f t="shared" ca="1" si="72"/>
        <v>0</v>
      </c>
      <c r="J229" s="6">
        <f t="shared" ca="1" si="63"/>
        <v>0</v>
      </c>
      <c r="K229" s="6">
        <f t="shared" ca="1" si="64"/>
        <v>0</v>
      </c>
      <c r="L229" s="6">
        <f t="shared" ca="1" si="65"/>
        <v>0</v>
      </c>
      <c r="M229">
        <f t="shared" ca="1" si="73"/>
        <v>0</v>
      </c>
      <c r="N229" s="6">
        <f t="shared" si="74"/>
        <v>1200</v>
      </c>
      <c r="O229" s="6">
        <f t="shared" ca="1" si="75"/>
        <v>1200</v>
      </c>
      <c r="P229">
        <f t="shared" si="76"/>
        <v>0</v>
      </c>
      <c r="Q229" s="6">
        <f t="shared" si="66"/>
        <v>0</v>
      </c>
      <c r="R229" s="296">
        <v>14.2</v>
      </c>
      <c r="S229">
        <f t="shared" si="67"/>
        <v>5407.3600000000006</v>
      </c>
      <c r="T229">
        <f t="shared" si="68"/>
        <v>4974.771200000001</v>
      </c>
      <c r="U229">
        <f t="shared" ca="1" si="69"/>
        <v>0</v>
      </c>
      <c r="V229">
        <f t="shared" si="77"/>
        <v>4974.771200000001</v>
      </c>
      <c r="W229">
        <f t="shared" ca="1" si="79"/>
        <v>1200</v>
      </c>
      <c r="X229">
        <f t="shared" ca="1" si="78"/>
        <v>2000</v>
      </c>
      <c r="Y229" s="297" t="str">
        <f t="shared" ca="1" si="70"/>
        <v>Yes</v>
      </c>
    </row>
    <row r="230" spans="1:25" outlineLevel="1" x14ac:dyDescent="0.75">
      <c r="A230" s="304">
        <f>Consumption!A230</f>
        <v>41493</v>
      </c>
      <c r="B230" s="305">
        <f>Consumption!B230</f>
        <v>0</v>
      </c>
      <c r="C230" s="41">
        <f ca="1">Consumption!C230</f>
        <v>0</v>
      </c>
      <c r="D230" s="41">
        <f t="shared" si="60"/>
        <v>0.219</v>
      </c>
      <c r="E230" s="41">
        <f t="shared" ca="1" si="71"/>
        <v>1.2689999999999779</v>
      </c>
      <c r="F230" s="306">
        <f ca="1">'Pump Main'!$M$3*1000</f>
        <v>124614.17111887744</v>
      </c>
      <c r="G230" s="41">
        <f t="shared" ca="1" si="61"/>
        <v>0</v>
      </c>
      <c r="H230" s="6">
        <f t="shared" ca="1" si="62"/>
        <v>0</v>
      </c>
      <c r="I230" s="6">
        <f t="shared" ca="1" si="72"/>
        <v>0</v>
      </c>
      <c r="J230" s="6">
        <f t="shared" ca="1" si="63"/>
        <v>0</v>
      </c>
      <c r="K230" s="6">
        <f t="shared" ca="1" si="64"/>
        <v>0</v>
      </c>
      <c r="L230" s="6">
        <f t="shared" ca="1" si="65"/>
        <v>0</v>
      </c>
      <c r="M230">
        <f t="shared" ca="1" si="73"/>
        <v>0</v>
      </c>
      <c r="N230" s="6">
        <f t="shared" si="74"/>
        <v>1200</v>
      </c>
      <c r="O230" s="6">
        <f t="shared" ca="1" si="75"/>
        <v>1200</v>
      </c>
      <c r="P230">
        <f t="shared" si="76"/>
        <v>0</v>
      </c>
      <c r="Q230" s="6">
        <f t="shared" si="66"/>
        <v>0</v>
      </c>
      <c r="R230" s="296">
        <v>14.2</v>
      </c>
      <c r="S230">
        <f t="shared" si="67"/>
        <v>5407.3600000000006</v>
      </c>
      <c r="T230">
        <f t="shared" si="68"/>
        <v>4974.771200000001</v>
      </c>
      <c r="U230">
        <f t="shared" ca="1" si="69"/>
        <v>0</v>
      </c>
      <c r="V230">
        <f t="shared" si="77"/>
        <v>4974.771200000001</v>
      </c>
      <c r="W230">
        <f t="shared" ca="1" si="79"/>
        <v>1200</v>
      </c>
      <c r="X230">
        <f t="shared" ca="1" si="78"/>
        <v>2000</v>
      </c>
      <c r="Y230" s="297" t="str">
        <f t="shared" ca="1" si="70"/>
        <v>Yes</v>
      </c>
    </row>
    <row r="231" spans="1:25" outlineLevel="1" x14ac:dyDescent="0.75">
      <c r="A231" s="304">
        <f>Consumption!A231</f>
        <v>41494</v>
      </c>
      <c r="B231" s="305">
        <f>Consumption!B231</f>
        <v>0</v>
      </c>
      <c r="C231" s="41">
        <f ca="1">Consumption!C231</f>
        <v>0</v>
      </c>
      <c r="D231" s="41">
        <f t="shared" si="60"/>
        <v>0.219</v>
      </c>
      <c r="E231" s="41">
        <f t="shared" ca="1" si="71"/>
        <v>1.0499999999999778</v>
      </c>
      <c r="F231" s="306">
        <f ca="1">'Pump Main'!$M$3*1000</f>
        <v>124614.17111887744</v>
      </c>
      <c r="G231" s="41">
        <f t="shared" ca="1" si="61"/>
        <v>0</v>
      </c>
      <c r="H231" s="6">
        <f t="shared" ca="1" si="62"/>
        <v>0</v>
      </c>
      <c r="I231" s="6">
        <f t="shared" ca="1" si="72"/>
        <v>0</v>
      </c>
      <c r="J231" s="6">
        <f t="shared" ca="1" si="63"/>
        <v>0</v>
      </c>
      <c r="K231" s="6">
        <f t="shared" ca="1" si="64"/>
        <v>0</v>
      </c>
      <c r="L231" s="6">
        <f t="shared" ca="1" si="65"/>
        <v>0</v>
      </c>
      <c r="M231">
        <f t="shared" ca="1" si="73"/>
        <v>0</v>
      </c>
      <c r="N231" s="6">
        <f t="shared" si="74"/>
        <v>1200</v>
      </c>
      <c r="O231" s="6">
        <f t="shared" ca="1" si="75"/>
        <v>1200</v>
      </c>
      <c r="P231">
        <f t="shared" si="76"/>
        <v>0</v>
      </c>
      <c r="Q231" s="6">
        <f t="shared" si="66"/>
        <v>0</v>
      </c>
      <c r="R231" s="296">
        <v>14.2</v>
      </c>
      <c r="S231">
        <f t="shared" si="67"/>
        <v>5407.3600000000006</v>
      </c>
      <c r="T231">
        <f t="shared" si="68"/>
        <v>4974.771200000001</v>
      </c>
      <c r="U231">
        <f t="shared" ca="1" si="69"/>
        <v>0</v>
      </c>
      <c r="V231">
        <f t="shared" si="77"/>
        <v>4974.771200000001</v>
      </c>
      <c r="W231">
        <f t="shared" ca="1" si="79"/>
        <v>1200</v>
      </c>
      <c r="X231">
        <f t="shared" ca="1" si="78"/>
        <v>2000</v>
      </c>
      <c r="Y231" s="297" t="str">
        <f t="shared" ca="1" si="70"/>
        <v>Yes</v>
      </c>
    </row>
    <row r="232" spans="1:25" outlineLevel="1" x14ac:dyDescent="0.75">
      <c r="A232" s="304">
        <f>Consumption!A232</f>
        <v>41495</v>
      </c>
      <c r="B232" s="305">
        <f>Consumption!B232</f>
        <v>0</v>
      </c>
      <c r="C232" s="41">
        <f ca="1">Consumption!C232</f>
        <v>0</v>
      </c>
      <c r="D232" s="41">
        <f t="shared" si="60"/>
        <v>0.219</v>
      </c>
      <c r="E232" s="41">
        <f t="shared" ca="1" si="71"/>
        <v>0.83099999999997787</v>
      </c>
      <c r="F232" s="306">
        <f ca="1">'Pump Main'!$M$3*1000</f>
        <v>124614.17111887744</v>
      </c>
      <c r="G232" s="41">
        <f t="shared" ca="1" si="61"/>
        <v>0</v>
      </c>
      <c r="H232" s="6">
        <f t="shared" ca="1" si="62"/>
        <v>0</v>
      </c>
      <c r="I232" s="6">
        <f t="shared" ca="1" si="72"/>
        <v>0</v>
      </c>
      <c r="J232" s="6">
        <f t="shared" ca="1" si="63"/>
        <v>0</v>
      </c>
      <c r="K232" s="6">
        <f t="shared" ca="1" si="64"/>
        <v>0</v>
      </c>
      <c r="L232" s="6">
        <f t="shared" ca="1" si="65"/>
        <v>0</v>
      </c>
      <c r="M232">
        <f t="shared" ca="1" si="73"/>
        <v>0</v>
      </c>
      <c r="N232" s="6">
        <f t="shared" si="74"/>
        <v>1200</v>
      </c>
      <c r="O232" s="6">
        <f t="shared" ca="1" si="75"/>
        <v>1200</v>
      </c>
      <c r="P232">
        <f t="shared" si="76"/>
        <v>0</v>
      </c>
      <c r="Q232" s="6">
        <f t="shared" si="66"/>
        <v>0</v>
      </c>
      <c r="R232" s="296">
        <v>14.2</v>
      </c>
      <c r="S232">
        <f t="shared" si="67"/>
        <v>5407.3600000000006</v>
      </c>
      <c r="T232">
        <f t="shared" si="68"/>
        <v>4974.771200000001</v>
      </c>
      <c r="U232">
        <f t="shared" ca="1" si="69"/>
        <v>0</v>
      </c>
      <c r="V232">
        <f t="shared" si="77"/>
        <v>4974.771200000001</v>
      </c>
      <c r="W232">
        <f t="shared" ca="1" si="79"/>
        <v>1200</v>
      </c>
      <c r="X232">
        <f t="shared" ca="1" si="78"/>
        <v>2000</v>
      </c>
      <c r="Y232" s="297" t="str">
        <f t="shared" ca="1" si="70"/>
        <v>Yes</v>
      </c>
    </row>
    <row r="233" spans="1:25" outlineLevel="1" x14ac:dyDescent="0.75">
      <c r="A233" s="304">
        <f>Consumption!A233</f>
        <v>41496</v>
      </c>
      <c r="B233" s="305">
        <f>Consumption!B233</f>
        <v>0</v>
      </c>
      <c r="C233" s="41">
        <f ca="1">Consumption!C233</f>
        <v>0</v>
      </c>
      <c r="D233" s="41">
        <f t="shared" si="60"/>
        <v>0.219</v>
      </c>
      <c r="E233" s="41">
        <f t="shared" ca="1" si="71"/>
        <v>0.6119999999999779</v>
      </c>
      <c r="F233" s="306">
        <f ca="1">'Pump Main'!$M$3*1000</f>
        <v>124614.17111887744</v>
      </c>
      <c r="G233" s="41">
        <f t="shared" ca="1" si="61"/>
        <v>0</v>
      </c>
      <c r="H233" s="6">
        <f t="shared" ca="1" si="62"/>
        <v>0</v>
      </c>
      <c r="I233" s="6">
        <f t="shared" ca="1" si="72"/>
        <v>0</v>
      </c>
      <c r="J233" s="6">
        <f t="shared" ca="1" si="63"/>
        <v>0</v>
      </c>
      <c r="K233" s="6">
        <f t="shared" ca="1" si="64"/>
        <v>0</v>
      </c>
      <c r="L233" s="6">
        <f t="shared" ca="1" si="65"/>
        <v>0</v>
      </c>
      <c r="M233">
        <f t="shared" ca="1" si="73"/>
        <v>0</v>
      </c>
      <c r="N233" s="6">
        <f t="shared" si="74"/>
        <v>1200</v>
      </c>
      <c r="O233" s="6">
        <f t="shared" ca="1" si="75"/>
        <v>1200</v>
      </c>
      <c r="P233">
        <f t="shared" si="76"/>
        <v>0</v>
      </c>
      <c r="Q233" s="6">
        <f t="shared" si="66"/>
        <v>0</v>
      </c>
      <c r="R233" s="296">
        <v>14.2</v>
      </c>
      <c r="S233">
        <f t="shared" si="67"/>
        <v>5407.3600000000006</v>
      </c>
      <c r="T233">
        <f t="shared" si="68"/>
        <v>4974.771200000001</v>
      </c>
      <c r="U233">
        <f t="shared" ca="1" si="69"/>
        <v>0</v>
      </c>
      <c r="V233">
        <f t="shared" si="77"/>
        <v>4974.771200000001</v>
      </c>
      <c r="W233">
        <f t="shared" ca="1" si="79"/>
        <v>1200</v>
      </c>
      <c r="X233">
        <f t="shared" ca="1" si="78"/>
        <v>2000</v>
      </c>
      <c r="Y233" s="297" t="str">
        <f t="shared" ca="1" si="70"/>
        <v>Yes</v>
      </c>
    </row>
    <row r="234" spans="1:25" outlineLevel="1" x14ac:dyDescent="0.75">
      <c r="A234" s="304">
        <f>Consumption!A234</f>
        <v>41497</v>
      </c>
      <c r="B234" s="305">
        <f>Consumption!B234</f>
        <v>0.4</v>
      </c>
      <c r="C234" s="41">
        <f ca="1">Consumption!C234</f>
        <v>0.04</v>
      </c>
      <c r="D234" s="41">
        <f t="shared" si="60"/>
        <v>0.219</v>
      </c>
      <c r="E234" s="41">
        <f t="shared" ca="1" si="71"/>
        <v>0.43299999999997796</v>
      </c>
      <c r="F234" s="306">
        <f ca="1">'Pump Main'!$M$3*1000</f>
        <v>124614.17111887744</v>
      </c>
      <c r="G234" s="41">
        <f t="shared" ca="1" si="61"/>
        <v>4984.5668447550979</v>
      </c>
      <c r="H234" s="6">
        <f t="shared" ca="1" si="62"/>
        <v>8464.282505955196</v>
      </c>
      <c r="I234" s="6">
        <f t="shared" ca="1" si="72"/>
        <v>2.3511895849875546</v>
      </c>
      <c r="J234" s="6">
        <f t="shared" ca="1" si="63"/>
        <v>200</v>
      </c>
      <c r="K234" s="6">
        <f t="shared" ca="1" si="64"/>
        <v>0.2</v>
      </c>
      <c r="L234" s="6">
        <f t="shared" ca="1" si="65"/>
        <v>0.4</v>
      </c>
      <c r="M234">
        <f t="shared" ca="1" si="73"/>
        <v>111.11111111111111</v>
      </c>
      <c r="N234" s="6">
        <f t="shared" si="74"/>
        <v>1200</v>
      </c>
      <c r="O234" s="6">
        <f t="shared" ca="1" si="75"/>
        <v>1313.4623006960987</v>
      </c>
      <c r="P234">
        <f t="shared" si="76"/>
        <v>0</v>
      </c>
      <c r="Q234" s="6">
        <f t="shared" si="66"/>
        <v>0</v>
      </c>
      <c r="R234" s="296">
        <v>14.2</v>
      </c>
      <c r="S234">
        <f t="shared" si="67"/>
        <v>5407.3600000000006</v>
      </c>
      <c r="T234">
        <f t="shared" si="68"/>
        <v>4974.771200000001</v>
      </c>
      <c r="U234">
        <f t="shared" ca="1" si="69"/>
        <v>0</v>
      </c>
      <c r="V234">
        <f t="shared" si="77"/>
        <v>4974.771200000001</v>
      </c>
      <c r="W234">
        <f t="shared" ca="1" si="79"/>
        <v>1313.4623006960987</v>
      </c>
      <c r="X234">
        <f t="shared" ca="1" si="78"/>
        <v>2000</v>
      </c>
      <c r="Y234" s="297" t="str">
        <f t="shared" ca="1" si="70"/>
        <v>Yes</v>
      </c>
    </row>
    <row r="235" spans="1:25" outlineLevel="1" x14ac:dyDescent="0.75">
      <c r="A235" s="304">
        <f>Consumption!A235</f>
        <v>41498</v>
      </c>
      <c r="B235" s="305">
        <f>Consumption!B235</f>
        <v>4.4000000000000004</v>
      </c>
      <c r="C235" s="41">
        <f ca="1">Consumption!C235</f>
        <v>0.44000000000000006</v>
      </c>
      <c r="D235" s="41">
        <f t="shared" si="60"/>
        <v>0.219</v>
      </c>
      <c r="E235" s="41">
        <f t="shared" ca="1" si="71"/>
        <v>0.65399999999997804</v>
      </c>
      <c r="F235" s="306">
        <f ca="1">'Pump Main'!$M$3*1000</f>
        <v>124614.17111887744</v>
      </c>
      <c r="G235" s="41">
        <f t="shared" ca="1" si="61"/>
        <v>54830.235292306075</v>
      </c>
      <c r="H235" s="6">
        <f t="shared" ca="1" si="62"/>
        <v>93107.107565507147</v>
      </c>
      <c r="I235" s="6">
        <f t="shared" ca="1" si="72"/>
        <v>25.863085434863095</v>
      </c>
      <c r="J235" s="6">
        <f t="shared" ca="1" si="63"/>
        <v>2200</v>
      </c>
      <c r="K235" s="6">
        <f t="shared" ca="1" si="64"/>
        <v>2.2000000000000002</v>
      </c>
      <c r="L235" s="6">
        <f t="shared" ca="1" si="65"/>
        <v>4.4000000000000004</v>
      </c>
      <c r="M235">
        <f t="shared" ca="1" si="73"/>
        <v>1222.2222222222222</v>
      </c>
      <c r="N235" s="6">
        <f t="shared" si="74"/>
        <v>1200</v>
      </c>
      <c r="O235" s="6">
        <f t="shared" ca="1" si="75"/>
        <v>2448.0853076570852</v>
      </c>
      <c r="P235">
        <f t="shared" si="76"/>
        <v>0</v>
      </c>
      <c r="Q235" s="6">
        <f t="shared" si="66"/>
        <v>0</v>
      </c>
      <c r="R235" s="296">
        <v>14.2</v>
      </c>
      <c r="S235">
        <f t="shared" si="67"/>
        <v>5407.3600000000006</v>
      </c>
      <c r="T235">
        <f t="shared" si="68"/>
        <v>4974.771200000001</v>
      </c>
      <c r="U235">
        <f t="shared" ca="1" si="69"/>
        <v>0</v>
      </c>
      <c r="V235">
        <f t="shared" si="77"/>
        <v>4974.771200000001</v>
      </c>
      <c r="W235">
        <f t="shared" ca="1" si="79"/>
        <v>2448.0853076570852</v>
      </c>
      <c r="X235">
        <f t="shared" ca="1" si="78"/>
        <v>2000</v>
      </c>
      <c r="Y235" s="297" t="str">
        <f t="shared" ca="1" si="70"/>
        <v>Yes</v>
      </c>
    </row>
    <row r="236" spans="1:25" outlineLevel="1" x14ac:dyDescent="0.75">
      <c r="A236" s="304">
        <f>Consumption!A236</f>
        <v>41499</v>
      </c>
      <c r="B236" s="305">
        <f>Consumption!B236</f>
        <v>1</v>
      </c>
      <c r="C236" s="41">
        <f ca="1">Consumption!C236</f>
        <v>0.1</v>
      </c>
      <c r="D236" s="41">
        <f t="shared" si="60"/>
        <v>0.219</v>
      </c>
      <c r="E236" s="41">
        <f t="shared" ca="1" si="71"/>
        <v>0.53499999999997805</v>
      </c>
      <c r="F236" s="306">
        <f ca="1">'Pump Main'!$M$3*1000</f>
        <v>124614.17111887744</v>
      </c>
      <c r="G236" s="41">
        <f t="shared" ca="1" si="61"/>
        <v>12461.417111887744</v>
      </c>
      <c r="H236" s="6">
        <f t="shared" ca="1" si="62"/>
        <v>21160.706264887987</v>
      </c>
      <c r="I236" s="6">
        <f t="shared" ca="1" si="72"/>
        <v>5.8779739624688858</v>
      </c>
      <c r="J236" s="6">
        <f t="shared" ca="1" si="63"/>
        <v>500</v>
      </c>
      <c r="K236" s="6">
        <f t="shared" ca="1" si="64"/>
        <v>0.5</v>
      </c>
      <c r="L236" s="6">
        <f t="shared" ca="1" si="65"/>
        <v>1</v>
      </c>
      <c r="M236">
        <f t="shared" ca="1" si="73"/>
        <v>277.77777777777777</v>
      </c>
      <c r="N236" s="6">
        <f t="shared" si="74"/>
        <v>1200</v>
      </c>
      <c r="O236" s="6">
        <f t="shared" ca="1" si="75"/>
        <v>1483.6557517402466</v>
      </c>
      <c r="P236">
        <f t="shared" si="76"/>
        <v>0</v>
      </c>
      <c r="Q236" s="6">
        <f t="shared" si="66"/>
        <v>0</v>
      </c>
      <c r="R236" s="296">
        <v>14.2</v>
      </c>
      <c r="S236">
        <f t="shared" si="67"/>
        <v>5407.3600000000006</v>
      </c>
      <c r="T236">
        <f t="shared" si="68"/>
        <v>4974.771200000001</v>
      </c>
      <c r="U236">
        <f t="shared" ca="1" si="69"/>
        <v>0</v>
      </c>
      <c r="V236">
        <f t="shared" si="77"/>
        <v>4974.771200000001</v>
      </c>
      <c r="W236">
        <f t="shared" ca="1" si="79"/>
        <v>1483.6557517402466</v>
      </c>
      <c r="X236">
        <f t="shared" ca="1" si="78"/>
        <v>2000</v>
      </c>
      <c r="Y236" s="297" t="str">
        <f t="shared" ca="1" si="70"/>
        <v>Yes</v>
      </c>
    </row>
    <row r="237" spans="1:25" outlineLevel="1" x14ac:dyDescent="0.75">
      <c r="A237" s="304">
        <f>Consumption!A237</f>
        <v>41500</v>
      </c>
      <c r="B237" s="305">
        <f>Consumption!B237</f>
        <v>0.4</v>
      </c>
      <c r="C237" s="41">
        <f ca="1">Consumption!C237</f>
        <v>0.04</v>
      </c>
      <c r="D237" s="41">
        <f t="shared" si="60"/>
        <v>0.219</v>
      </c>
      <c r="E237" s="41">
        <f t="shared" ca="1" si="71"/>
        <v>0.35599999999997811</v>
      </c>
      <c r="F237" s="306">
        <f ca="1">'Pump Main'!$M$3*1000</f>
        <v>124614.17111887744</v>
      </c>
      <c r="G237" s="41">
        <f t="shared" ca="1" si="61"/>
        <v>4984.5668447550979</v>
      </c>
      <c r="H237" s="6">
        <f t="shared" ca="1" si="62"/>
        <v>8464.282505955196</v>
      </c>
      <c r="I237" s="6">
        <f t="shared" ca="1" si="72"/>
        <v>2.3511895849875546</v>
      </c>
      <c r="J237" s="6">
        <f t="shared" ca="1" si="63"/>
        <v>200</v>
      </c>
      <c r="K237" s="6">
        <f t="shared" ca="1" si="64"/>
        <v>0.2</v>
      </c>
      <c r="L237" s="6">
        <f t="shared" ca="1" si="65"/>
        <v>0.4</v>
      </c>
      <c r="M237">
        <f t="shared" ca="1" si="73"/>
        <v>111.11111111111111</v>
      </c>
      <c r="N237" s="6">
        <f t="shared" si="74"/>
        <v>1200</v>
      </c>
      <c r="O237" s="6">
        <f t="shared" ca="1" si="75"/>
        <v>1313.4623006960987</v>
      </c>
      <c r="P237">
        <f t="shared" si="76"/>
        <v>0</v>
      </c>
      <c r="Q237" s="6">
        <f t="shared" si="66"/>
        <v>0</v>
      </c>
      <c r="R237" s="296">
        <v>14.2</v>
      </c>
      <c r="S237">
        <f t="shared" si="67"/>
        <v>5407.3600000000006</v>
      </c>
      <c r="T237">
        <f t="shared" si="68"/>
        <v>4974.771200000001</v>
      </c>
      <c r="U237">
        <f t="shared" ca="1" si="69"/>
        <v>0</v>
      </c>
      <c r="V237">
        <f t="shared" si="77"/>
        <v>4974.771200000001</v>
      </c>
      <c r="W237">
        <f t="shared" ca="1" si="79"/>
        <v>1313.4623006960987</v>
      </c>
      <c r="X237">
        <f t="shared" ca="1" si="78"/>
        <v>2000</v>
      </c>
      <c r="Y237" s="297" t="str">
        <f t="shared" ca="1" si="70"/>
        <v>Yes</v>
      </c>
    </row>
    <row r="238" spans="1:25" outlineLevel="1" x14ac:dyDescent="0.75">
      <c r="A238" s="304">
        <f>Consumption!A238</f>
        <v>41501</v>
      </c>
      <c r="B238" s="305">
        <f>Consumption!B238</f>
        <v>8.4</v>
      </c>
      <c r="C238" s="41">
        <f ca="1">Consumption!C238</f>
        <v>0.84</v>
      </c>
      <c r="D238" s="41">
        <f t="shared" si="60"/>
        <v>0.219</v>
      </c>
      <c r="E238" s="41">
        <f t="shared" ca="1" si="71"/>
        <v>0.976999999999978</v>
      </c>
      <c r="F238" s="306">
        <f ca="1">'Pump Main'!$M$3*1000</f>
        <v>124614.17111887744</v>
      </c>
      <c r="G238" s="41">
        <f t="shared" ca="1" si="61"/>
        <v>104675.90373985704</v>
      </c>
      <c r="H238" s="6">
        <f t="shared" ca="1" si="62"/>
        <v>177749.93262505907</v>
      </c>
      <c r="I238" s="6">
        <f t="shared" ca="1" si="72"/>
        <v>49.374981284738631</v>
      </c>
      <c r="J238" s="6">
        <f t="shared" ca="1" si="63"/>
        <v>4200</v>
      </c>
      <c r="K238" s="6">
        <f t="shared" ca="1" si="64"/>
        <v>4.2</v>
      </c>
      <c r="L238" s="6">
        <f t="shared" ca="1" si="65"/>
        <v>8.4</v>
      </c>
      <c r="M238">
        <f t="shared" ca="1" si="73"/>
        <v>2333.3333333333335</v>
      </c>
      <c r="N238" s="6">
        <f t="shared" si="74"/>
        <v>1200</v>
      </c>
      <c r="O238" s="6">
        <f t="shared" ca="1" si="75"/>
        <v>3582.7083146180721</v>
      </c>
      <c r="P238">
        <f t="shared" si="76"/>
        <v>0</v>
      </c>
      <c r="Q238" s="6">
        <f t="shared" si="66"/>
        <v>0</v>
      </c>
      <c r="R238" s="296">
        <v>14.2</v>
      </c>
      <c r="S238">
        <f t="shared" si="67"/>
        <v>5407.3600000000006</v>
      </c>
      <c r="T238">
        <f t="shared" si="68"/>
        <v>4974.771200000001</v>
      </c>
      <c r="U238">
        <f t="shared" ca="1" si="69"/>
        <v>0</v>
      </c>
      <c r="V238">
        <f t="shared" si="77"/>
        <v>4974.771200000001</v>
      </c>
      <c r="W238">
        <f t="shared" ca="1" si="79"/>
        <v>3582.7083146180721</v>
      </c>
      <c r="X238">
        <f t="shared" ca="1" si="78"/>
        <v>2000</v>
      </c>
      <c r="Y238" s="297" t="str">
        <f t="shared" ca="1" si="70"/>
        <v>Yes</v>
      </c>
    </row>
    <row r="239" spans="1:25" outlineLevel="1" x14ac:dyDescent="0.75">
      <c r="A239" s="304">
        <f>Consumption!A239</f>
        <v>41502</v>
      </c>
      <c r="B239" s="305">
        <f>Consumption!B239</f>
        <v>4.4000000000000004</v>
      </c>
      <c r="C239" s="41">
        <f ca="1">Consumption!C239</f>
        <v>0.44000000000000006</v>
      </c>
      <c r="D239" s="41">
        <f t="shared" si="60"/>
        <v>0.219</v>
      </c>
      <c r="E239" s="41">
        <f t="shared" ca="1" si="71"/>
        <v>1.197999999999978</v>
      </c>
      <c r="F239" s="306">
        <f ca="1">'Pump Main'!$M$3*1000</f>
        <v>124614.17111887744</v>
      </c>
      <c r="G239" s="41">
        <f t="shared" ca="1" si="61"/>
        <v>54830.235292306075</v>
      </c>
      <c r="H239" s="6">
        <f t="shared" ca="1" si="62"/>
        <v>93107.107565507147</v>
      </c>
      <c r="I239" s="6">
        <f t="shared" ca="1" si="72"/>
        <v>25.863085434863095</v>
      </c>
      <c r="J239" s="6">
        <f t="shared" ca="1" si="63"/>
        <v>2200</v>
      </c>
      <c r="K239" s="6">
        <f t="shared" ca="1" si="64"/>
        <v>2.2000000000000002</v>
      </c>
      <c r="L239" s="6">
        <f t="shared" ca="1" si="65"/>
        <v>4.4000000000000004</v>
      </c>
      <c r="M239">
        <f t="shared" ca="1" si="73"/>
        <v>1222.2222222222222</v>
      </c>
      <c r="N239" s="6">
        <f t="shared" si="74"/>
        <v>1200</v>
      </c>
      <c r="O239" s="6">
        <f t="shared" ca="1" si="75"/>
        <v>2448.0853076570852</v>
      </c>
      <c r="P239">
        <f t="shared" si="76"/>
        <v>0</v>
      </c>
      <c r="Q239" s="6">
        <f t="shared" si="66"/>
        <v>0</v>
      </c>
      <c r="R239" s="296">
        <v>14.2</v>
      </c>
      <c r="S239">
        <f t="shared" si="67"/>
        <v>5407.3600000000006</v>
      </c>
      <c r="T239">
        <f t="shared" si="68"/>
        <v>4974.771200000001</v>
      </c>
      <c r="U239">
        <f t="shared" ca="1" si="69"/>
        <v>0</v>
      </c>
      <c r="V239">
        <f t="shared" si="77"/>
        <v>4974.771200000001</v>
      </c>
      <c r="W239">
        <f t="shared" ca="1" si="79"/>
        <v>2448.0853076570852</v>
      </c>
      <c r="X239">
        <f t="shared" ca="1" si="78"/>
        <v>2000</v>
      </c>
      <c r="Y239" s="297" t="str">
        <f t="shared" ca="1" si="70"/>
        <v>Yes</v>
      </c>
    </row>
    <row r="240" spans="1:25" outlineLevel="1" x14ac:dyDescent="0.75">
      <c r="A240" s="304">
        <f>Consumption!A240</f>
        <v>41503</v>
      </c>
      <c r="B240" s="305">
        <f>Consumption!B240</f>
        <v>4.4000000000000004</v>
      </c>
      <c r="C240" s="41">
        <f ca="1">Consumption!C240</f>
        <v>0.44000000000000006</v>
      </c>
      <c r="D240" s="41">
        <f t="shared" si="60"/>
        <v>0.219</v>
      </c>
      <c r="E240" s="41">
        <f t="shared" ca="1" si="71"/>
        <v>1.4189999999999781</v>
      </c>
      <c r="F240" s="306">
        <f ca="1">'Pump Main'!$M$3*1000</f>
        <v>124614.17111887744</v>
      </c>
      <c r="G240" s="41">
        <f t="shared" ca="1" si="61"/>
        <v>54830.235292306075</v>
      </c>
      <c r="H240" s="6">
        <f t="shared" ca="1" si="62"/>
        <v>93107.107565507147</v>
      </c>
      <c r="I240" s="6">
        <f t="shared" ca="1" si="72"/>
        <v>25.863085434863095</v>
      </c>
      <c r="J240" s="6">
        <f t="shared" ca="1" si="63"/>
        <v>2200</v>
      </c>
      <c r="K240" s="6">
        <f t="shared" ca="1" si="64"/>
        <v>2.2000000000000002</v>
      </c>
      <c r="L240" s="6">
        <f t="shared" ca="1" si="65"/>
        <v>4.4000000000000004</v>
      </c>
      <c r="M240">
        <f t="shared" ca="1" si="73"/>
        <v>1222.2222222222222</v>
      </c>
      <c r="N240" s="6">
        <f t="shared" si="74"/>
        <v>1200</v>
      </c>
      <c r="O240" s="6">
        <f t="shared" ca="1" si="75"/>
        <v>2448.0853076570852</v>
      </c>
      <c r="P240">
        <f t="shared" si="76"/>
        <v>0</v>
      </c>
      <c r="Q240" s="6">
        <f t="shared" si="66"/>
        <v>0</v>
      </c>
      <c r="R240" s="296">
        <v>14.2</v>
      </c>
      <c r="S240">
        <f t="shared" si="67"/>
        <v>5407.3600000000006</v>
      </c>
      <c r="T240">
        <f t="shared" si="68"/>
        <v>4974.771200000001</v>
      </c>
      <c r="U240">
        <f t="shared" ca="1" si="69"/>
        <v>0</v>
      </c>
      <c r="V240">
        <f t="shared" si="77"/>
        <v>4974.771200000001</v>
      </c>
      <c r="W240">
        <f t="shared" ca="1" si="79"/>
        <v>2448.0853076570852</v>
      </c>
      <c r="X240">
        <f t="shared" ca="1" si="78"/>
        <v>2000</v>
      </c>
      <c r="Y240" s="297" t="str">
        <f t="shared" ca="1" si="70"/>
        <v>Yes</v>
      </c>
    </row>
    <row r="241" spans="1:25" outlineLevel="1" x14ac:dyDescent="0.75">
      <c r="A241" s="304">
        <f>Consumption!A241</f>
        <v>41504</v>
      </c>
      <c r="B241" s="305">
        <f>Consumption!B241</f>
        <v>14.8</v>
      </c>
      <c r="C241" s="41">
        <f ca="1">Consumption!C241</f>
        <v>1.48</v>
      </c>
      <c r="D241" s="41">
        <f t="shared" si="60"/>
        <v>0.219</v>
      </c>
      <c r="E241" s="41">
        <f t="shared" ca="1" si="71"/>
        <v>2.679999999999978</v>
      </c>
      <c r="F241" s="306">
        <f ca="1">'Pump Main'!$M$3*1000</f>
        <v>124614.17111887744</v>
      </c>
      <c r="G241" s="41">
        <f t="shared" ca="1" si="61"/>
        <v>184428.97325593859</v>
      </c>
      <c r="H241" s="6">
        <f t="shared" ca="1" si="62"/>
        <v>313178.4527203422</v>
      </c>
      <c r="I241" s="6">
        <f t="shared" ca="1" si="72"/>
        <v>86.994014644539504</v>
      </c>
      <c r="J241" s="6">
        <f t="shared" ca="1" si="63"/>
        <v>7400</v>
      </c>
      <c r="K241" s="6">
        <f t="shared" ca="1" si="64"/>
        <v>7.4</v>
      </c>
      <c r="L241" s="6">
        <f t="shared" ca="1" si="65"/>
        <v>14.8</v>
      </c>
      <c r="M241">
        <f t="shared" ca="1" si="73"/>
        <v>4111.1111111111113</v>
      </c>
      <c r="N241" s="6">
        <f t="shared" si="74"/>
        <v>1200</v>
      </c>
      <c r="O241" s="6">
        <f t="shared" ca="1" si="75"/>
        <v>5398.105125755651</v>
      </c>
      <c r="P241">
        <f t="shared" si="76"/>
        <v>0</v>
      </c>
      <c r="Q241" s="6">
        <f t="shared" si="66"/>
        <v>0</v>
      </c>
      <c r="R241" s="296">
        <v>14.2</v>
      </c>
      <c r="S241">
        <f t="shared" si="67"/>
        <v>5407.3600000000006</v>
      </c>
      <c r="T241">
        <f t="shared" si="68"/>
        <v>4974.771200000001</v>
      </c>
      <c r="U241">
        <f t="shared" ca="1" si="69"/>
        <v>0</v>
      </c>
      <c r="V241">
        <f t="shared" si="77"/>
        <v>4974.771200000001</v>
      </c>
      <c r="W241">
        <f t="shared" ca="1" si="79"/>
        <v>5398.105125755651</v>
      </c>
      <c r="X241">
        <f t="shared" ca="1" si="78"/>
        <v>1152.7541793378641</v>
      </c>
      <c r="Y241" s="297" t="str">
        <f t="shared" ca="1" si="70"/>
        <v>Yes</v>
      </c>
    </row>
    <row r="242" spans="1:25" outlineLevel="1" x14ac:dyDescent="0.75">
      <c r="A242" s="304">
        <f>Consumption!A242</f>
        <v>41505</v>
      </c>
      <c r="B242" s="305">
        <f>Consumption!B242</f>
        <v>5.6</v>
      </c>
      <c r="C242" s="41">
        <f ca="1">Consumption!C242</f>
        <v>0.56000000000000005</v>
      </c>
      <c r="D242" s="41">
        <f t="shared" si="60"/>
        <v>0.219</v>
      </c>
      <c r="E242" s="41">
        <f t="shared" ca="1" si="71"/>
        <v>3.0209999999999781</v>
      </c>
      <c r="F242" s="306">
        <f ca="1">'Pump Main'!$M$3*1000</f>
        <v>124614.17111887744</v>
      </c>
      <c r="G242" s="41">
        <f t="shared" ca="1" si="61"/>
        <v>69783.935826571367</v>
      </c>
      <c r="H242" s="6">
        <f t="shared" ca="1" si="62"/>
        <v>118499.95508337274</v>
      </c>
      <c r="I242" s="6">
        <f t="shared" ca="1" si="72"/>
        <v>32.916654189825763</v>
      </c>
      <c r="J242" s="6">
        <f t="shared" ca="1" si="63"/>
        <v>2800.0000000000005</v>
      </c>
      <c r="K242" s="6">
        <f t="shared" ca="1" si="64"/>
        <v>2.8000000000000003</v>
      </c>
      <c r="L242" s="6">
        <f t="shared" ca="1" si="65"/>
        <v>5.6000000000000005</v>
      </c>
      <c r="M242">
        <f t="shared" ca="1" si="73"/>
        <v>1555.5555555555559</v>
      </c>
      <c r="N242" s="6">
        <f t="shared" si="74"/>
        <v>1200</v>
      </c>
      <c r="O242" s="6">
        <f t="shared" ca="1" si="75"/>
        <v>2788.4722097453814</v>
      </c>
      <c r="P242">
        <f t="shared" si="76"/>
        <v>0</v>
      </c>
      <c r="Q242" s="6">
        <f t="shared" si="66"/>
        <v>0</v>
      </c>
      <c r="R242" s="296">
        <v>14.2</v>
      </c>
      <c r="S242">
        <f t="shared" si="67"/>
        <v>5407.3600000000006</v>
      </c>
      <c r="T242">
        <f t="shared" si="68"/>
        <v>4974.771200000001</v>
      </c>
      <c r="U242">
        <f t="shared" ca="1" si="69"/>
        <v>0</v>
      </c>
      <c r="V242">
        <f t="shared" si="77"/>
        <v>4974.771200000001</v>
      </c>
      <c r="W242">
        <f t="shared" ca="1" si="79"/>
        <v>2788.4722097453814</v>
      </c>
      <c r="X242">
        <f t="shared" ca="1" si="78"/>
        <v>2000</v>
      </c>
      <c r="Y242" s="297" t="str">
        <f t="shared" ca="1" si="70"/>
        <v>Yes</v>
      </c>
    </row>
    <row r="243" spans="1:25" outlineLevel="1" x14ac:dyDescent="0.75">
      <c r="A243" s="304">
        <f>Consumption!A243</f>
        <v>41506</v>
      </c>
      <c r="B243" s="305">
        <f>Consumption!B243</f>
        <v>1.2</v>
      </c>
      <c r="C243" s="41">
        <f ca="1">Consumption!C243</f>
        <v>0.12</v>
      </c>
      <c r="D243" s="41">
        <f t="shared" si="60"/>
        <v>0.219</v>
      </c>
      <c r="E243" s="41">
        <f t="shared" ca="1" si="71"/>
        <v>2.9219999999999784</v>
      </c>
      <c r="F243" s="306">
        <f ca="1">'Pump Main'!$M$3*1000</f>
        <v>124614.17111887744</v>
      </c>
      <c r="G243" s="41">
        <f t="shared" ca="1" si="61"/>
        <v>14953.700534265292</v>
      </c>
      <c r="H243" s="6">
        <f t="shared" ca="1" si="62"/>
        <v>25392.847517865586</v>
      </c>
      <c r="I243" s="6">
        <f t="shared" ca="1" si="72"/>
        <v>7.0535687549626624</v>
      </c>
      <c r="J243" s="6">
        <f t="shared" ca="1" si="63"/>
        <v>600</v>
      </c>
      <c r="K243" s="6">
        <f t="shared" ca="1" si="64"/>
        <v>0.6</v>
      </c>
      <c r="L243" s="6">
        <f t="shared" ca="1" si="65"/>
        <v>1.2</v>
      </c>
      <c r="M243">
        <f t="shared" ca="1" si="73"/>
        <v>333.33333333333331</v>
      </c>
      <c r="N243" s="6">
        <f t="shared" si="74"/>
        <v>1200</v>
      </c>
      <c r="O243" s="6">
        <f t="shared" ca="1" si="75"/>
        <v>1540.386902088296</v>
      </c>
      <c r="P243">
        <f t="shared" si="76"/>
        <v>0</v>
      </c>
      <c r="Q243" s="6">
        <f t="shared" si="66"/>
        <v>0</v>
      </c>
      <c r="R243" s="296">
        <v>14.2</v>
      </c>
      <c r="S243">
        <f t="shared" si="67"/>
        <v>5407.3600000000006</v>
      </c>
      <c r="T243">
        <f t="shared" si="68"/>
        <v>4974.771200000001</v>
      </c>
      <c r="U243">
        <f t="shared" ca="1" si="69"/>
        <v>0</v>
      </c>
      <c r="V243">
        <f t="shared" si="77"/>
        <v>4974.771200000001</v>
      </c>
      <c r="W243">
        <f t="shared" ca="1" si="79"/>
        <v>1540.386902088296</v>
      </c>
      <c r="X243">
        <f t="shared" ca="1" si="78"/>
        <v>2000</v>
      </c>
      <c r="Y243" s="297" t="str">
        <f t="shared" ca="1" si="70"/>
        <v>Yes</v>
      </c>
    </row>
    <row r="244" spans="1:25" outlineLevel="1" x14ac:dyDescent="0.75">
      <c r="A244" s="304">
        <f>Consumption!A244</f>
        <v>41507</v>
      </c>
      <c r="B244" s="305">
        <f>Consumption!B244</f>
        <v>0.4</v>
      </c>
      <c r="C244" s="41">
        <f ca="1">Consumption!C244</f>
        <v>0.04</v>
      </c>
      <c r="D244" s="41">
        <f t="shared" si="60"/>
        <v>0.219</v>
      </c>
      <c r="E244" s="41">
        <f t="shared" ca="1" si="71"/>
        <v>2.7429999999999786</v>
      </c>
      <c r="F244" s="306">
        <f ca="1">'Pump Main'!$M$3*1000</f>
        <v>124614.17111887744</v>
      </c>
      <c r="G244" s="41">
        <f t="shared" ca="1" si="61"/>
        <v>4984.5668447550979</v>
      </c>
      <c r="H244" s="6">
        <f t="shared" ca="1" si="62"/>
        <v>8464.282505955196</v>
      </c>
      <c r="I244" s="6">
        <f t="shared" ca="1" si="72"/>
        <v>2.3511895849875546</v>
      </c>
      <c r="J244" s="6">
        <f t="shared" ca="1" si="63"/>
        <v>200</v>
      </c>
      <c r="K244" s="6">
        <f t="shared" ca="1" si="64"/>
        <v>0.2</v>
      </c>
      <c r="L244" s="6">
        <f t="shared" ca="1" si="65"/>
        <v>0.4</v>
      </c>
      <c r="M244">
        <f t="shared" ca="1" si="73"/>
        <v>111.11111111111111</v>
      </c>
      <c r="N244" s="6">
        <f t="shared" si="74"/>
        <v>1200</v>
      </c>
      <c r="O244" s="6">
        <f t="shared" ca="1" si="75"/>
        <v>1313.4623006960987</v>
      </c>
      <c r="P244">
        <f t="shared" si="76"/>
        <v>0</v>
      </c>
      <c r="Q244" s="6">
        <f t="shared" si="66"/>
        <v>0</v>
      </c>
      <c r="R244" s="296">
        <v>14.2</v>
      </c>
      <c r="S244">
        <f t="shared" si="67"/>
        <v>5407.3600000000006</v>
      </c>
      <c r="T244">
        <f t="shared" si="68"/>
        <v>4974.771200000001</v>
      </c>
      <c r="U244">
        <f t="shared" ca="1" si="69"/>
        <v>0</v>
      </c>
      <c r="V244">
        <f t="shared" si="77"/>
        <v>4974.771200000001</v>
      </c>
      <c r="W244">
        <f t="shared" ca="1" si="79"/>
        <v>1313.4623006960987</v>
      </c>
      <c r="X244">
        <f t="shared" ca="1" si="78"/>
        <v>2000</v>
      </c>
      <c r="Y244" s="297" t="str">
        <f t="shared" ca="1" si="70"/>
        <v>Yes</v>
      </c>
    </row>
    <row r="245" spans="1:25" outlineLevel="1" x14ac:dyDescent="0.75">
      <c r="A245" s="304">
        <f>Consumption!A245</f>
        <v>41508</v>
      </c>
      <c r="B245" s="305">
        <f>Consumption!B245</f>
        <v>0.6</v>
      </c>
      <c r="C245" s="41">
        <f ca="1">Consumption!C245</f>
        <v>0.06</v>
      </c>
      <c r="D245" s="41">
        <f t="shared" si="60"/>
        <v>0.219</v>
      </c>
      <c r="E245" s="41">
        <f t="shared" ca="1" si="71"/>
        <v>2.5839999999999788</v>
      </c>
      <c r="F245" s="306">
        <f ca="1">'Pump Main'!$M$3*1000</f>
        <v>124614.17111887744</v>
      </c>
      <c r="G245" s="41">
        <f t="shared" ca="1" si="61"/>
        <v>7476.850267132646</v>
      </c>
      <c r="H245" s="6">
        <f t="shared" ca="1" si="62"/>
        <v>12696.423758932793</v>
      </c>
      <c r="I245" s="6">
        <f t="shared" ca="1" si="72"/>
        <v>3.5267843774813312</v>
      </c>
      <c r="J245" s="6">
        <f t="shared" ca="1" si="63"/>
        <v>300</v>
      </c>
      <c r="K245" s="6">
        <f t="shared" ca="1" si="64"/>
        <v>0.3</v>
      </c>
      <c r="L245" s="6">
        <f t="shared" ca="1" si="65"/>
        <v>0.6</v>
      </c>
      <c r="M245">
        <f t="shared" ca="1" si="73"/>
        <v>166.66666666666666</v>
      </c>
      <c r="N245" s="6">
        <f t="shared" si="74"/>
        <v>1200</v>
      </c>
      <c r="O245" s="6">
        <f t="shared" ca="1" si="75"/>
        <v>1370.1934510441479</v>
      </c>
      <c r="P245">
        <f t="shared" si="76"/>
        <v>0</v>
      </c>
      <c r="Q245" s="6">
        <f t="shared" si="66"/>
        <v>0</v>
      </c>
      <c r="R245" s="296">
        <v>14.2</v>
      </c>
      <c r="S245">
        <f t="shared" si="67"/>
        <v>5407.3600000000006</v>
      </c>
      <c r="T245">
        <f t="shared" si="68"/>
        <v>4974.771200000001</v>
      </c>
      <c r="U245">
        <f t="shared" ca="1" si="69"/>
        <v>0</v>
      </c>
      <c r="V245">
        <f t="shared" si="77"/>
        <v>4974.771200000001</v>
      </c>
      <c r="W245">
        <f t="shared" ca="1" si="79"/>
        <v>1370.1934510441479</v>
      </c>
      <c r="X245">
        <f t="shared" ca="1" si="78"/>
        <v>2000</v>
      </c>
      <c r="Y245" s="297" t="str">
        <f t="shared" ca="1" si="70"/>
        <v>Yes</v>
      </c>
    </row>
    <row r="246" spans="1:25" outlineLevel="1" x14ac:dyDescent="0.75">
      <c r="A246" s="304">
        <f>Consumption!A246</f>
        <v>41509</v>
      </c>
      <c r="B246" s="305">
        <f>Consumption!B246</f>
        <v>5.2</v>
      </c>
      <c r="C246" s="41">
        <f ca="1">Consumption!C246</f>
        <v>0.52</v>
      </c>
      <c r="D246" s="41">
        <f t="shared" si="60"/>
        <v>0.219</v>
      </c>
      <c r="E246" s="41">
        <f t="shared" ca="1" si="71"/>
        <v>2.8849999999999789</v>
      </c>
      <c r="F246" s="306">
        <f ca="1">'Pump Main'!$M$3*1000</f>
        <v>124614.17111887744</v>
      </c>
      <c r="G246" s="41">
        <f t="shared" ca="1" si="61"/>
        <v>64799.368981816267</v>
      </c>
      <c r="H246" s="6">
        <f t="shared" ca="1" si="62"/>
        <v>110035.67257741754</v>
      </c>
      <c r="I246" s="6">
        <f t="shared" ca="1" si="72"/>
        <v>30.565464604838205</v>
      </c>
      <c r="J246" s="6">
        <f t="shared" ca="1" si="63"/>
        <v>2600</v>
      </c>
      <c r="K246" s="6">
        <f t="shared" ca="1" si="64"/>
        <v>2.6</v>
      </c>
      <c r="L246" s="6">
        <f t="shared" ca="1" si="65"/>
        <v>5.2</v>
      </c>
      <c r="M246">
        <f t="shared" ca="1" si="73"/>
        <v>1444.4444444444443</v>
      </c>
      <c r="N246" s="6">
        <f t="shared" si="74"/>
        <v>1200</v>
      </c>
      <c r="O246" s="6">
        <f t="shared" ca="1" si="75"/>
        <v>2675.0099090492822</v>
      </c>
      <c r="P246">
        <f t="shared" si="76"/>
        <v>0</v>
      </c>
      <c r="Q246" s="6">
        <f t="shared" si="66"/>
        <v>0</v>
      </c>
      <c r="R246" s="296">
        <v>14.2</v>
      </c>
      <c r="S246">
        <f t="shared" si="67"/>
        <v>5407.3600000000006</v>
      </c>
      <c r="T246">
        <f t="shared" si="68"/>
        <v>4974.771200000001</v>
      </c>
      <c r="U246">
        <f t="shared" ca="1" si="69"/>
        <v>0</v>
      </c>
      <c r="V246">
        <f t="shared" si="77"/>
        <v>4974.771200000001</v>
      </c>
      <c r="W246">
        <f t="shared" ca="1" si="79"/>
        <v>2675.0099090492822</v>
      </c>
      <c r="X246">
        <f t="shared" ca="1" si="78"/>
        <v>2000</v>
      </c>
      <c r="Y246" s="297" t="str">
        <f t="shared" ca="1" si="70"/>
        <v>Yes</v>
      </c>
    </row>
    <row r="247" spans="1:25" outlineLevel="1" x14ac:dyDescent="0.75">
      <c r="A247" s="304">
        <f>Consumption!A247</f>
        <v>41510</v>
      </c>
      <c r="B247" s="305">
        <f>Consumption!B247</f>
        <v>1.4</v>
      </c>
      <c r="C247" s="41">
        <f ca="1">Consumption!C247</f>
        <v>0.14000000000000001</v>
      </c>
      <c r="D247" s="41">
        <f t="shared" si="60"/>
        <v>0.219</v>
      </c>
      <c r="E247" s="41">
        <f t="shared" ca="1" si="71"/>
        <v>2.8059999999999792</v>
      </c>
      <c r="F247" s="306">
        <f ca="1">'Pump Main'!$M$3*1000</f>
        <v>124614.17111887744</v>
      </c>
      <c r="G247" s="41">
        <f t="shared" ca="1" si="61"/>
        <v>17445.983956642842</v>
      </c>
      <c r="H247" s="6">
        <f t="shared" ca="1" si="62"/>
        <v>29624.988770843185</v>
      </c>
      <c r="I247" s="6">
        <f t="shared" ca="1" si="72"/>
        <v>8.2291635474564409</v>
      </c>
      <c r="J247" s="6">
        <f t="shared" ca="1" si="63"/>
        <v>700.00000000000011</v>
      </c>
      <c r="K247" s="6">
        <f t="shared" ca="1" si="64"/>
        <v>0.70000000000000007</v>
      </c>
      <c r="L247" s="6">
        <f t="shared" ca="1" si="65"/>
        <v>1.4000000000000001</v>
      </c>
      <c r="M247">
        <f t="shared" ca="1" si="73"/>
        <v>388.88888888888897</v>
      </c>
      <c r="N247" s="6">
        <f t="shared" si="74"/>
        <v>1200</v>
      </c>
      <c r="O247" s="6">
        <f t="shared" ca="1" si="75"/>
        <v>1597.1180524363454</v>
      </c>
      <c r="P247">
        <f t="shared" si="76"/>
        <v>0</v>
      </c>
      <c r="Q247" s="6">
        <f t="shared" si="66"/>
        <v>0</v>
      </c>
      <c r="R247" s="296">
        <v>14.2</v>
      </c>
      <c r="S247">
        <f t="shared" si="67"/>
        <v>5407.3600000000006</v>
      </c>
      <c r="T247">
        <f t="shared" si="68"/>
        <v>4974.771200000001</v>
      </c>
      <c r="U247">
        <f t="shared" ca="1" si="69"/>
        <v>0</v>
      </c>
      <c r="V247">
        <f t="shared" si="77"/>
        <v>4974.771200000001</v>
      </c>
      <c r="W247">
        <f t="shared" ca="1" si="79"/>
        <v>1597.1180524363454</v>
      </c>
      <c r="X247">
        <f t="shared" ca="1" si="78"/>
        <v>2000</v>
      </c>
      <c r="Y247" s="297" t="str">
        <f t="shared" ca="1" si="70"/>
        <v>Yes</v>
      </c>
    </row>
    <row r="248" spans="1:25" outlineLevel="1" x14ac:dyDescent="0.75">
      <c r="A248" s="304">
        <f>Consumption!A248</f>
        <v>41511</v>
      </c>
      <c r="B248" s="305">
        <f>Consumption!B248</f>
        <v>0</v>
      </c>
      <c r="C248" s="41">
        <f ca="1">Consumption!C248</f>
        <v>0</v>
      </c>
      <c r="D248" s="41">
        <f t="shared" si="60"/>
        <v>0.219</v>
      </c>
      <c r="E248" s="41">
        <f t="shared" ca="1" si="71"/>
        <v>2.5869999999999793</v>
      </c>
      <c r="F248" s="306">
        <f ca="1">'Pump Main'!$M$3*1000</f>
        <v>124614.17111887744</v>
      </c>
      <c r="G248" s="41">
        <f t="shared" ca="1" si="61"/>
        <v>0</v>
      </c>
      <c r="H248" s="6">
        <f t="shared" ca="1" si="62"/>
        <v>0</v>
      </c>
      <c r="I248" s="6">
        <f t="shared" ca="1" si="72"/>
        <v>0</v>
      </c>
      <c r="J248" s="6">
        <f t="shared" ca="1" si="63"/>
        <v>0</v>
      </c>
      <c r="K248" s="6">
        <f t="shared" ca="1" si="64"/>
        <v>0</v>
      </c>
      <c r="L248" s="6">
        <f t="shared" ca="1" si="65"/>
        <v>0</v>
      </c>
      <c r="M248">
        <f t="shared" ca="1" si="73"/>
        <v>0</v>
      </c>
      <c r="N248" s="6">
        <f t="shared" si="74"/>
        <v>1200</v>
      </c>
      <c r="O248" s="6">
        <f t="shared" ca="1" si="75"/>
        <v>1200</v>
      </c>
      <c r="P248">
        <f t="shared" si="76"/>
        <v>0</v>
      </c>
      <c r="Q248" s="6">
        <f t="shared" si="66"/>
        <v>0</v>
      </c>
      <c r="R248" s="296">
        <v>14.2</v>
      </c>
      <c r="S248">
        <f t="shared" si="67"/>
        <v>5407.3600000000006</v>
      </c>
      <c r="T248">
        <f t="shared" si="68"/>
        <v>4974.771200000001</v>
      </c>
      <c r="U248">
        <f t="shared" ca="1" si="69"/>
        <v>0</v>
      </c>
      <c r="V248">
        <f t="shared" si="77"/>
        <v>4974.771200000001</v>
      </c>
      <c r="W248">
        <f t="shared" ca="1" si="79"/>
        <v>1200</v>
      </c>
      <c r="X248">
        <f t="shared" ca="1" si="78"/>
        <v>2000</v>
      </c>
      <c r="Y248" s="297" t="str">
        <f t="shared" ca="1" si="70"/>
        <v>Yes</v>
      </c>
    </row>
    <row r="249" spans="1:25" outlineLevel="1" x14ac:dyDescent="0.75">
      <c r="A249" s="304">
        <f>Consumption!A249</f>
        <v>41512</v>
      </c>
      <c r="B249" s="305">
        <f>Consumption!B249</f>
        <v>0</v>
      </c>
      <c r="C249" s="41">
        <f ca="1">Consumption!C249</f>
        <v>0</v>
      </c>
      <c r="D249" s="41">
        <f t="shared" si="60"/>
        <v>0.219</v>
      </c>
      <c r="E249" s="41">
        <f t="shared" ca="1" si="71"/>
        <v>2.3679999999999795</v>
      </c>
      <c r="F249" s="306">
        <f ca="1">'Pump Main'!$M$3*1000</f>
        <v>124614.17111887744</v>
      </c>
      <c r="G249" s="41">
        <f t="shared" ca="1" si="61"/>
        <v>0</v>
      </c>
      <c r="H249" s="6">
        <f t="shared" ca="1" si="62"/>
        <v>0</v>
      </c>
      <c r="I249" s="6">
        <f t="shared" ca="1" si="72"/>
        <v>0</v>
      </c>
      <c r="J249" s="6">
        <f t="shared" ca="1" si="63"/>
        <v>0</v>
      </c>
      <c r="K249" s="6">
        <f t="shared" ca="1" si="64"/>
        <v>0</v>
      </c>
      <c r="L249" s="6">
        <f t="shared" ca="1" si="65"/>
        <v>0</v>
      </c>
      <c r="M249">
        <f t="shared" ca="1" si="73"/>
        <v>0</v>
      </c>
      <c r="N249" s="6">
        <f t="shared" si="74"/>
        <v>1200</v>
      </c>
      <c r="O249" s="6">
        <f t="shared" ca="1" si="75"/>
        <v>1200</v>
      </c>
      <c r="P249">
        <f t="shared" si="76"/>
        <v>0</v>
      </c>
      <c r="Q249" s="6">
        <f t="shared" si="66"/>
        <v>0</v>
      </c>
      <c r="R249" s="296">
        <v>14.2</v>
      </c>
      <c r="S249">
        <f t="shared" si="67"/>
        <v>5407.3600000000006</v>
      </c>
      <c r="T249">
        <f t="shared" si="68"/>
        <v>4974.771200000001</v>
      </c>
      <c r="U249">
        <f t="shared" ca="1" si="69"/>
        <v>0</v>
      </c>
      <c r="V249">
        <f t="shared" si="77"/>
        <v>4974.771200000001</v>
      </c>
      <c r="W249">
        <f t="shared" ca="1" si="79"/>
        <v>1200</v>
      </c>
      <c r="X249">
        <f t="shared" ca="1" si="78"/>
        <v>2000</v>
      </c>
      <c r="Y249" s="297" t="str">
        <f t="shared" ca="1" si="70"/>
        <v>Yes</v>
      </c>
    </row>
    <row r="250" spans="1:25" outlineLevel="1" x14ac:dyDescent="0.75">
      <c r="A250" s="304">
        <f>Consumption!A250</f>
        <v>41513</v>
      </c>
      <c r="B250" s="305">
        <f>Consumption!B250</f>
        <v>0.4</v>
      </c>
      <c r="C250" s="41">
        <f ca="1">Consumption!C250</f>
        <v>0.04</v>
      </c>
      <c r="D250" s="41">
        <f t="shared" si="60"/>
        <v>0.219</v>
      </c>
      <c r="E250" s="41">
        <f t="shared" ca="1" si="71"/>
        <v>2.1889999999999796</v>
      </c>
      <c r="F250" s="306">
        <f ca="1">'Pump Main'!$M$3*1000</f>
        <v>124614.17111887744</v>
      </c>
      <c r="G250" s="41">
        <f t="shared" ca="1" si="61"/>
        <v>4984.5668447550979</v>
      </c>
      <c r="H250" s="6">
        <f t="shared" ca="1" si="62"/>
        <v>8464.282505955196</v>
      </c>
      <c r="I250" s="6">
        <f t="shared" ca="1" si="72"/>
        <v>2.3511895849875546</v>
      </c>
      <c r="J250" s="6">
        <f t="shared" ca="1" si="63"/>
        <v>200</v>
      </c>
      <c r="K250" s="6">
        <f t="shared" ca="1" si="64"/>
        <v>0.2</v>
      </c>
      <c r="L250" s="6">
        <f t="shared" ca="1" si="65"/>
        <v>0.4</v>
      </c>
      <c r="M250">
        <f t="shared" ca="1" si="73"/>
        <v>111.11111111111111</v>
      </c>
      <c r="N250" s="6">
        <f t="shared" si="74"/>
        <v>1200</v>
      </c>
      <c r="O250" s="6">
        <f t="shared" ca="1" si="75"/>
        <v>1313.4623006960987</v>
      </c>
      <c r="P250">
        <f t="shared" si="76"/>
        <v>0</v>
      </c>
      <c r="Q250" s="6">
        <f t="shared" si="66"/>
        <v>0</v>
      </c>
      <c r="R250" s="296">
        <v>14.2</v>
      </c>
      <c r="S250">
        <f t="shared" si="67"/>
        <v>5407.3600000000006</v>
      </c>
      <c r="T250">
        <f t="shared" si="68"/>
        <v>4974.771200000001</v>
      </c>
      <c r="U250">
        <f t="shared" ca="1" si="69"/>
        <v>0</v>
      </c>
      <c r="V250">
        <f t="shared" si="77"/>
        <v>4974.771200000001</v>
      </c>
      <c r="W250">
        <f t="shared" ca="1" si="79"/>
        <v>1313.4623006960987</v>
      </c>
      <c r="X250">
        <f t="shared" ca="1" si="78"/>
        <v>2000</v>
      </c>
      <c r="Y250" s="297" t="str">
        <f t="shared" ca="1" si="70"/>
        <v>Yes</v>
      </c>
    </row>
    <row r="251" spans="1:25" outlineLevel="1" x14ac:dyDescent="0.75">
      <c r="A251" s="304">
        <f>Consumption!A251</f>
        <v>41514</v>
      </c>
      <c r="B251" s="305">
        <f>Consumption!B251</f>
        <v>1.2</v>
      </c>
      <c r="C251" s="41">
        <f ca="1">Consumption!C251</f>
        <v>0.12</v>
      </c>
      <c r="D251" s="41">
        <f t="shared" si="60"/>
        <v>0.219</v>
      </c>
      <c r="E251" s="41">
        <f t="shared" ca="1" si="71"/>
        <v>2.0899999999999799</v>
      </c>
      <c r="F251" s="306">
        <f ca="1">'Pump Main'!$M$3*1000</f>
        <v>124614.17111887744</v>
      </c>
      <c r="G251" s="41">
        <f t="shared" ca="1" si="61"/>
        <v>14953.700534265292</v>
      </c>
      <c r="H251" s="6">
        <f t="shared" ca="1" si="62"/>
        <v>25392.847517865586</v>
      </c>
      <c r="I251" s="6">
        <f t="shared" ca="1" si="72"/>
        <v>7.0535687549626624</v>
      </c>
      <c r="J251" s="6">
        <f t="shared" ca="1" si="63"/>
        <v>600</v>
      </c>
      <c r="K251" s="6">
        <f t="shared" ca="1" si="64"/>
        <v>0.6</v>
      </c>
      <c r="L251" s="6">
        <f t="shared" ca="1" si="65"/>
        <v>1.2</v>
      </c>
      <c r="M251">
        <f t="shared" ca="1" si="73"/>
        <v>333.33333333333331</v>
      </c>
      <c r="N251" s="6">
        <f t="shared" si="74"/>
        <v>1200</v>
      </c>
      <c r="O251" s="6">
        <f t="shared" ca="1" si="75"/>
        <v>1540.386902088296</v>
      </c>
      <c r="P251">
        <f t="shared" si="76"/>
        <v>0</v>
      </c>
      <c r="Q251" s="6">
        <f t="shared" si="66"/>
        <v>0</v>
      </c>
      <c r="R251" s="296">
        <v>14.2</v>
      </c>
      <c r="S251">
        <f t="shared" si="67"/>
        <v>5407.3600000000006</v>
      </c>
      <c r="T251">
        <f t="shared" si="68"/>
        <v>4974.771200000001</v>
      </c>
      <c r="U251">
        <f t="shared" ca="1" si="69"/>
        <v>0</v>
      </c>
      <c r="V251">
        <f t="shared" si="77"/>
        <v>4974.771200000001</v>
      </c>
      <c r="W251">
        <f t="shared" ca="1" si="79"/>
        <v>1540.386902088296</v>
      </c>
      <c r="X251">
        <f t="shared" ca="1" si="78"/>
        <v>2000</v>
      </c>
      <c r="Y251" s="297" t="str">
        <f t="shared" ca="1" si="70"/>
        <v>Yes</v>
      </c>
    </row>
    <row r="252" spans="1:25" outlineLevel="1" x14ac:dyDescent="0.75">
      <c r="A252" s="304">
        <f>Consumption!A252</f>
        <v>41515</v>
      </c>
      <c r="B252" s="305">
        <f>Consumption!B252</f>
        <v>4</v>
      </c>
      <c r="C252" s="41">
        <f ca="1">Consumption!C252</f>
        <v>0.4</v>
      </c>
      <c r="D252" s="41">
        <f t="shared" si="60"/>
        <v>0.219</v>
      </c>
      <c r="E252" s="41">
        <f t="shared" ca="1" si="71"/>
        <v>2.2709999999999799</v>
      </c>
      <c r="F252" s="306">
        <f ca="1">'Pump Main'!$M$3*1000</f>
        <v>124614.17111887744</v>
      </c>
      <c r="G252" s="41">
        <f t="shared" ca="1" si="61"/>
        <v>49845.668447550976</v>
      </c>
      <c r="H252" s="6">
        <f t="shared" ca="1" si="62"/>
        <v>84642.825059551949</v>
      </c>
      <c r="I252" s="6">
        <f t="shared" ca="1" si="72"/>
        <v>23.511895849875543</v>
      </c>
      <c r="J252" s="6">
        <f t="shared" ca="1" si="63"/>
        <v>2000</v>
      </c>
      <c r="K252" s="6">
        <f t="shared" ca="1" si="64"/>
        <v>2</v>
      </c>
      <c r="L252" s="6">
        <f t="shared" ca="1" si="65"/>
        <v>4</v>
      </c>
      <c r="M252">
        <f t="shared" ca="1" si="73"/>
        <v>1111.1111111111111</v>
      </c>
      <c r="N252" s="6">
        <f t="shared" si="74"/>
        <v>1200</v>
      </c>
      <c r="O252" s="6">
        <f t="shared" ca="1" si="75"/>
        <v>2334.6230069609865</v>
      </c>
      <c r="P252">
        <f t="shared" si="76"/>
        <v>0</v>
      </c>
      <c r="Q252" s="6">
        <f t="shared" si="66"/>
        <v>0</v>
      </c>
      <c r="R252" s="296">
        <v>14.2</v>
      </c>
      <c r="S252">
        <f t="shared" si="67"/>
        <v>5407.3600000000006</v>
      </c>
      <c r="T252">
        <f t="shared" si="68"/>
        <v>4974.771200000001</v>
      </c>
      <c r="U252">
        <f t="shared" ca="1" si="69"/>
        <v>0</v>
      </c>
      <c r="V252">
        <f t="shared" si="77"/>
        <v>4974.771200000001</v>
      </c>
      <c r="W252">
        <f t="shared" ca="1" si="79"/>
        <v>2334.6230069609865</v>
      </c>
      <c r="X252">
        <f t="shared" ca="1" si="78"/>
        <v>2000</v>
      </c>
      <c r="Y252" s="297" t="str">
        <f t="shared" ca="1" si="70"/>
        <v>Yes</v>
      </c>
    </row>
    <row r="253" spans="1:25" outlineLevel="1" x14ac:dyDescent="0.75">
      <c r="A253" s="304">
        <f>Consumption!A253</f>
        <v>41516</v>
      </c>
      <c r="B253" s="305">
        <f>Consumption!B253</f>
        <v>0</v>
      </c>
      <c r="C253" s="41">
        <f ca="1">Consumption!C253</f>
        <v>0</v>
      </c>
      <c r="D253" s="41">
        <f t="shared" si="60"/>
        <v>0.219</v>
      </c>
      <c r="E253" s="41">
        <f t="shared" ca="1" si="71"/>
        <v>2.0519999999999801</v>
      </c>
      <c r="F253" s="306">
        <f ca="1">'Pump Main'!$M$3*1000</f>
        <v>124614.17111887744</v>
      </c>
      <c r="G253" s="41">
        <f t="shared" ca="1" si="61"/>
        <v>0</v>
      </c>
      <c r="H253" s="6">
        <f t="shared" ca="1" si="62"/>
        <v>0</v>
      </c>
      <c r="I253" s="6">
        <f t="shared" ca="1" si="72"/>
        <v>0</v>
      </c>
      <c r="J253" s="6">
        <f t="shared" ca="1" si="63"/>
        <v>0</v>
      </c>
      <c r="K253" s="6">
        <f t="shared" ca="1" si="64"/>
        <v>0</v>
      </c>
      <c r="L253" s="6">
        <f t="shared" ca="1" si="65"/>
        <v>0</v>
      </c>
      <c r="M253">
        <f t="shared" ca="1" si="73"/>
        <v>0</v>
      </c>
      <c r="N253" s="6">
        <f t="shared" si="74"/>
        <v>1200</v>
      </c>
      <c r="O253" s="6">
        <f t="shared" ca="1" si="75"/>
        <v>1200</v>
      </c>
      <c r="P253">
        <f t="shared" si="76"/>
        <v>0</v>
      </c>
      <c r="Q253" s="6">
        <f t="shared" si="66"/>
        <v>0</v>
      </c>
      <c r="R253" s="296">
        <v>14.2</v>
      </c>
      <c r="S253">
        <f t="shared" si="67"/>
        <v>5407.3600000000006</v>
      </c>
      <c r="T253">
        <f t="shared" si="68"/>
        <v>4974.771200000001</v>
      </c>
      <c r="U253">
        <f t="shared" ca="1" si="69"/>
        <v>0</v>
      </c>
      <c r="V253">
        <f t="shared" si="77"/>
        <v>4974.771200000001</v>
      </c>
      <c r="W253">
        <f t="shared" ca="1" si="79"/>
        <v>1200</v>
      </c>
      <c r="X253">
        <f t="shared" ca="1" si="78"/>
        <v>2000</v>
      </c>
      <c r="Y253" s="297" t="str">
        <f t="shared" ca="1" si="70"/>
        <v>Yes</v>
      </c>
    </row>
    <row r="254" spans="1:25" outlineLevel="1" x14ac:dyDescent="0.75">
      <c r="A254" s="304">
        <f>Consumption!A254</f>
        <v>41517</v>
      </c>
      <c r="B254" s="305">
        <f>Consumption!B254</f>
        <v>0</v>
      </c>
      <c r="C254" s="41">
        <f ca="1">Consumption!C254</f>
        <v>0</v>
      </c>
      <c r="D254" s="41">
        <f t="shared" si="60"/>
        <v>0.219</v>
      </c>
      <c r="E254" s="41">
        <f t="shared" ca="1" si="71"/>
        <v>1.83299999999998</v>
      </c>
      <c r="F254" s="306">
        <f ca="1">'Pump Main'!$M$3*1000</f>
        <v>124614.17111887744</v>
      </c>
      <c r="G254" s="41">
        <f t="shared" ca="1" si="61"/>
        <v>0</v>
      </c>
      <c r="H254" s="6">
        <f t="shared" ca="1" si="62"/>
        <v>0</v>
      </c>
      <c r="I254" s="6">
        <f t="shared" ca="1" si="72"/>
        <v>0</v>
      </c>
      <c r="J254" s="6">
        <f t="shared" ca="1" si="63"/>
        <v>0</v>
      </c>
      <c r="K254" s="6">
        <f t="shared" ca="1" si="64"/>
        <v>0</v>
      </c>
      <c r="L254" s="6">
        <f t="shared" ca="1" si="65"/>
        <v>0</v>
      </c>
      <c r="M254">
        <f t="shared" ca="1" si="73"/>
        <v>0</v>
      </c>
      <c r="N254" s="6">
        <f t="shared" si="74"/>
        <v>1200</v>
      </c>
      <c r="O254" s="6">
        <f t="shared" ca="1" si="75"/>
        <v>1200</v>
      </c>
      <c r="P254">
        <f t="shared" si="76"/>
        <v>0</v>
      </c>
      <c r="Q254" s="6">
        <f t="shared" si="66"/>
        <v>0</v>
      </c>
      <c r="R254" s="296">
        <v>14.2</v>
      </c>
      <c r="S254">
        <f t="shared" si="67"/>
        <v>5407.3600000000006</v>
      </c>
      <c r="T254">
        <f t="shared" si="68"/>
        <v>4974.771200000001</v>
      </c>
      <c r="U254">
        <f t="shared" ca="1" si="69"/>
        <v>0</v>
      </c>
      <c r="V254">
        <f t="shared" si="77"/>
        <v>4974.771200000001</v>
      </c>
      <c r="W254">
        <f t="shared" ca="1" si="79"/>
        <v>1200</v>
      </c>
      <c r="X254">
        <f t="shared" ca="1" si="78"/>
        <v>2000</v>
      </c>
      <c r="Y254" s="297" t="str">
        <f t="shared" ca="1" si="70"/>
        <v>Yes</v>
      </c>
    </row>
    <row r="255" spans="1:25" outlineLevel="1" x14ac:dyDescent="0.75">
      <c r="A255" s="304">
        <f>Consumption!A255</f>
        <v>41518</v>
      </c>
      <c r="B255" s="305">
        <f>Consumption!B255</f>
        <v>0</v>
      </c>
      <c r="C255" s="41">
        <f ca="1">Consumption!C255</f>
        <v>0</v>
      </c>
      <c r="D255" s="41">
        <f t="shared" si="60"/>
        <v>0.219</v>
      </c>
      <c r="E255" s="41">
        <f t="shared" ca="1" si="71"/>
        <v>1.6139999999999799</v>
      </c>
      <c r="F255" s="306">
        <f ca="1">'Pump Main'!$M$3*1000</f>
        <v>124614.17111887744</v>
      </c>
      <c r="G255" s="41">
        <f t="shared" ca="1" si="61"/>
        <v>0</v>
      </c>
      <c r="H255" s="6">
        <f t="shared" ca="1" si="62"/>
        <v>0</v>
      </c>
      <c r="I255" s="6">
        <f t="shared" ca="1" si="72"/>
        <v>0</v>
      </c>
      <c r="J255" s="6">
        <f t="shared" ca="1" si="63"/>
        <v>0</v>
      </c>
      <c r="K255" s="6">
        <f t="shared" ca="1" si="64"/>
        <v>0</v>
      </c>
      <c r="L255" s="6">
        <f t="shared" ca="1" si="65"/>
        <v>0</v>
      </c>
      <c r="M255">
        <f t="shared" ca="1" si="73"/>
        <v>0</v>
      </c>
      <c r="N255" s="6">
        <f t="shared" si="74"/>
        <v>1200</v>
      </c>
      <c r="O255" s="6">
        <f t="shared" ca="1" si="75"/>
        <v>1200</v>
      </c>
      <c r="P255">
        <f t="shared" si="76"/>
        <v>0</v>
      </c>
      <c r="Q255" s="6">
        <f t="shared" si="66"/>
        <v>0</v>
      </c>
      <c r="R255" s="296">
        <v>12.5</v>
      </c>
      <c r="S255">
        <f t="shared" si="67"/>
        <v>4760</v>
      </c>
      <c r="T255">
        <f t="shared" si="68"/>
        <v>4379.2</v>
      </c>
      <c r="U255">
        <f t="shared" ca="1" si="69"/>
        <v>0</v>
      </c>
      <c r="V255">
        <f t="shared" si="77"/>
        <v>4379.2</v>
      </c>
      <c r="W255">
        <f t="shared" ca="1" si="79"/>
        <v>1200</v>
      </c>
      <c r="X255">
        <f t="shared" ca="1" si="78"/>
        <v>2000</v>
      </c>
      <c r="Y255" s="297" t="str">
        <f t="shared" ca="1" si="70"/>
        <v>Yes</v>
      </c>
    </row>
    <row r="256" spans="1:25" outlineLevel="1" x14ac:dyDescent="0.75">
      <c r="A256" s="304">
        <f>Consumption!A256</f>
        <v>41519</v>
      </c>
      <c r="B256" s="305">
        <f>Consumption!B256</f>
        <v>0</v>
      </c>
      <c r="C256" s="41">
        <f ca="1">Consumption!C256</f>
        <v>0</v>
      </c>
      <c r="D256" s="41">
        <f t="shared" si="60"/>
        <v>0.219</v>
      </c>
      <c r="E256" s="41">
        <f t="shared" ca="1" si="71"/>
        <v>1.3949999999999798</v>
      </c>
      <c r="F256" s="306">
        <f ca="1">'Pump Main'!$M$3*1000</f>
        <v>124614.17111887744</v>
      </c>
      <c r="G256" s="41">
        <f t="shared" ca="1" si="61"/>
        <v>0</v>
      </c>
      <c r="H256" s="6">
        <f t="shared" ca="1" si="62"/>
        <v>0</v>
      </c>
      <c r="I256" s="6">
        <f t="shared" ca="1" si="72"/>
        <v>0</v>
      </c>
      <c r="J256" s="6">
        <f t="shared" ca="1" si="63"/>
        <v>0</v>
      </c>
      <c r="K256" s="6">
        <f t="shared" ca="1" si="64"/>
        <v>0</v>
      </c>
      <c r="L256" s="6">
        <f t="shared" ca="1" si="65"/>
        <v>0</v>
      </c>
      <c r="M256">
        <f t="shared" ca="1" si="73"/>
        <v>0</v>
      </c>
      <c r="N256" s="6">
        <f t="shared" si="74"/>
        <v>1200</v>
      </c>
      <c r="O256" s="6">
        <f t="shared" ca="1" si="75"/>
        <v>1200</v>
      </c>
      <c r="P256">
        <f t="shared" si="76"/>
        <v>0</v>
      </c>
      <c r="Q256" s="6">
        <f t="shared" si="66"/>
        <v>0</v>
      </c>
      <c r="R256" s="296">
        <v>12.5</v>
      </c>
      <c r="S256">
        <f t="shared" si="67"/>
        <v>4760</v>
      </c>
      <c r="T256">
        <f t="shared" si="68"/>
        <v>4379.2</v>
      </c>
      <c r="U256">
        <f t="shared" ca="1" si="69"/>
        <v>0</v>
      </c>
      <c r="V256">
        <f t="shared" si="77"/>
        <v>4379.2</v>
      </c>
      <c r="W256">
        <f t="shared" ca="1" si="79"/>
        <v>1200</v>
      </c>
      <c r="X256">
        <f t="shared" ca="1" si="78"/>
        <v>2000</v>
      </c>
      <c r="Y256" s="297" t="str">
        <f t="shared" ca="1" si="70"/>
        <v>Yes</v>
      </c>
    </row>
    <row r="257" spans="1:25" outlineLevel="1" x14ac:dyDescent="0.75">
      <c r="A257" s="304">
        <f>Consumption!A257</f>
        <v>41520</v>
      </c>
      <c r="B257" s="305">
        <f>Consumption!B257</f>
        <v>4.8</v>
      </c>
      <c r="C257" s="41">
        <f ca="1">Consumption!C257</f>
        <v>0.48</v>
      </c>
      <c r="D257" s="41">
        <f t="shared" si="60"/>
        <v>0.219</v>
      </c>
      <c r="E257" s="41">
        <f t="shared" ca="1" si="71"/>
        <v>1.6559999999999797</v>
      </c>
      <c r="F257" s="306">
        <f ca="1">'Pump Main'!$M$3*1000</f>
        <v>124614.17111887744</v>
      </c>
      <c r="G257" s="41">
        <f t="shared" ca="1" si="61"/>
        <v>59814.802137061168</v>
      </c>
      <c r="H257" s="6">
        <f t="shared" ca="1" si="62"/>
        <v>101571.39007146235</v>
      </c>
      <c r="I257" s="6">
        <f t="shared" ca="1" si="72"/>
        <v>28.21427501985065</v>
      </c>
      <c r="J257" s="6">
        <f t="shared" ca="1" si="63"/>
        <v>2400</v>
      </c>
      <c r="K257" s="6">
        <f t="shared" ca="1" si="64"/>
        <v>2.4</v>
      </c>
      <c r="L257" s="6">
        <f t="shared" ca="1" si="65"/>
        <v>4.8</v>
      </c>
      <c r="M257">
        <f t="shared" ca="1" si="73"/>
        <v>1333.3333333333333</v>
      </c>
      <c r="N257" s="6">
        <f t="shared" si="74"/>
        <v>1200</v>
      </c>
      <c r="O257" s="6">
        <f t="shared" ca="1" si="75"/>
        <v>2561.5476083531839</v>
      </c>
      <c r="P257">
        <f t="shared" si="76"/>
        <v>0</v>
      </c>
      <c r="Q257" s="6">
        <f t="shared" si="66"/>
        <v>0</v>
      </c>
      <c r="R257" s="296">
        <v>12.5</v>
      </c>
      <c r="S257">
        <f t="shared" si="67"/>
        <v>4760</v>
      </c>
      <c r="T257">
        <f t="shared" si="68"/>
        <v>4379.2</v>
      </c>
      <c r="U257">
        <f t="shared" ca="1" si="69"/>
        <v>0</v>
      </c>
      <c r="V257">
        <f t="shared" si="77"/>
        <v>4379.2</v>
      </c>
      <c r="W257">
        <f t="shared" ca="1" si="79"/>
        <v>2561.5476083531839</v>
      </c>
      <c r="X257">
        <f t="shared" ca="1" si="78"/>
        <v>2000</v>
      </c>
      <c r="Y257" s="297" t="str">
        <f t="shared" ca="1" si="70"/>
        <v>Yes</v>
      </c>
    </row>
    <row r="258" spans="1:25" outlineLevel="1" x14ac:dyDescent="0.75">
      <c r="A258" s="304">
        <f>Consumption!A258</f>
        <v>41521</v>
      </c>
      <c r="B258" s="305">
        <f>Consumption!B258</f>
        <v>0</v>
      </c>
      <c r="C258" s="41">
        <f ca="1">Consumption!C258</f>
        <v>0</v>
      </c>
      <c r="D258" s="41">
        <f t="shared" si="60"/>
        <v>0.219</v>
      </c>
      <c r="E258" s="41">
        <f t="shared" ca="1" si="71"/>
        <v>1.4369999999999796</v>
      </c>
      <c r="F258" s="306">
        <f ca="1">'Pump Main'!$M$3*1000</f>
        <v>124614.17111887744</v>
      </c>
      <c r="G258" s="41">
        <f t="shared" ca="1" si="61"/>
        <v>0</v>
      </c>
      <c r="H258" s="6">
        <f t="shared" ca="1" si="62"/>
        <v>0</v>
      </c>
      <c r="I258" s="6">
        <f t="shared" ca="1" si="72"/>
        <v>0</v>
      </c>
      <c r="J258" s="6">
        <f t="shared" ca="1" si="63"/>
        <v>0</v>
      </c>
      <c r="K258" s="6">
        <f t="shared" ca="1" si="64"/>
        <v>0</v>
      </c>
      <c r="L258" s="6">
        <f t="shared" ca="1" si="65"/>
        <v>0</v>
      </c>
      <c r="M258">
        <f t="shared" ca="1" si="73"/>
        <v>0</v>
      </c>
      <c r="N258" s="6">
        <f t="shared" si="74"/>
        <v>1200</v>
      </c>
      <c r="O258" s="6">
        <f t="shared" ca="1" si="75"/>
        <v>1200</v>
      </c>
      <c r="P258">
        <f t="shared" si="76"/>
        <v>0</v>
      </c>
      <c r="Q258" s="6">
        <f t="shared" si="66"/>
        <v>0</v>
      </c>
      <c r="R258" s="296">
        <v>12.5</v>
      </c>
      <c r="S258">
        <f t="shared" si="67"/>
        <v>4760</v>
      </c>
      <c r="T258">
        <f t="shared" si="68"/>
        <v>4379.2</v>
      </c>
      <c r="U258">
        <f t="shared" ca="1" si="69"/>
        <v>0</v>
      </c>
      <c r="V258">
        <f t="shared" si="77"/>
        <v>4379.2</v>
      </c>
      <c r="W258">
        <f t="shared" ca="1" si="79"/>
        <v>1200</v>
      </c>
      <c r="X258">
        <f t="shared" ca="1" si="78"/>
        <v>2000</v>
      </c>
      <c r="Y258" s="297" t="str">
        <f t="shared" ca="1" si="70"/>
        <v>Yes</v>
      </c>
    </row>
    <row r="259" spans="1:25" outlineLevel="1" x14ac:dyDescent="0.75">
      <c r="A259" s="304">
        <f>Consumption!A259</f>
        <v>41522</v>
      </c>
      <c r="B259" s="305">
        <f>Consumption!B259</f>
        <v>0</v>
      </c>
      <c r="C259" s="41">
        <f ca="1">Consumption!C259</f>
        <v>0</v>
      </c>
      <c r="D259" s="41">
        <f t="shared" si="60"/>
        <v>0.219</v>
      </c>
      <c r="E259" s="41">
        <f t="shared" ca="1" si="71"/>
        <v>1.2179999999999795</v>
      </c>
      <c r="F259" s="306">
        <f ca="1">'Pump Main'!$M$3*1000</f>
        <v>124614.17111887744</v>
      </c>
      <c r="G259" s="41">
        <f t="shared" ca="1" si="61"/>
        <v>0</v>
      </c>
      <c r="H259" s="6">
        <f t="shared" ca="1" si="62"/>
        <v>0</v>
      </c>
      <c r="I259" s="6">
        <f t="shared" ca="1" si="72"/>
        <v>0</v>
      </c>
      <c r="J259" s="6">
        <f t="shared" ca="1" si="63"/>
        <v>0</v>
      </c>
      <c r="K259" s="6">
        <f t="shared" ca="1" si="64"/>
        <v>0</v>
      </c>
      <c r="L259" s="6">
        <f t="shared" ca="1" si="65"/>
        <v>0</v>
      </c>
      <c r="M259">
        <f t="shared" ca="1" si="73"/>
        <v>0</v>
      </c>
      <c r="N259" s="6">
        <f t="shared" si="74"/>
        <v>1200</v>
      </c>
      <c r="O259" s="6">
        <f t="shared" ca="1" si="75"/>
        <v>1200</v>
      </c>
      <c r="P259">
        <f t="shared" si="76"/>
        <v>0</v>
      </c>
      <c r="Q259" s="6">
        <f t="shared" si="66"/>
        <v>0</v>
      </c>
      <c r="R259" s="296">
        <v>12.5</v>
      </c>
      <c r="S259">
        <f t="shared" si="67"/>
        <v>4760</v>
      </c>
      <c r="T259">
        <f t="shared" si="68"/>
        <v>4379.2</v>
      </c>
      <c r="U259">
        <f t="shared" ca="1" si="69"/>
        <v>0</v>
      </c>
      <c r="V259">
        <f t="shared" si="77"/>
        <v>4379.2</v>
      </c>
      <c r="W259">
        <f t="shared" ca="1" si="79"/>
        <v>1200</v>
      </c>
      <c r="X259">
        <f t="shared" ca="1" si="78"/>
        <v>2000</v>
      </c>
      <c r="Y259" s="297" t="str">
        <f t="shared" ca="1" si="70"/>
        <v>Yes</v>
      </c>
    </row>
    <row r="260" spans="1:25" outlineLevel="1" x14ac:dyDescent="0.75">
      <c r="A260" s="304">
        <f>Consumption!A260</f>
        <v>41523</v>
      </c>
      <c r="B260" s="305">
        <f>Consumption!B260</f>
        <v>0</v>
      </c>
      <c r="C260" s="41">
        <f ca="1">Consumption!C260</f>
        <v>0</v>
      </c>
      <c r="D260" s="41">
        <f t="shared" si="60"/>
        <v>0.219</v>
      </c>
      <c r="E260" s="41">
        <f t="shared" ca="1" si="71"/>
        <v>0.99899999999997957</v>
      </c>
      <c r="F260" s="306">
        <f ca="1">'Pump Main'!$M$3*1000</f>
        <v>124614.17111887744</v>
      </c>
      <c r="G260" s="41">
        <f t="shared" ca="1" si="61"/>
        <v>0</v>
      </c>
      <c r="H260" s="6">
        <f t="shared" ca="1" si="62"/>
        <v>0</v>
      </c>
      <c r="I260" s="6">
        <f t="shared" ca="1" si="72"/>
        <v>0</v>
      </c>
      <c r="J260" s="6">
        <f t="shared" ca="1" si="63"/>
        <v>0</v>
      </c>
      <c r="K260" s="6">
        <f t="shared" ca="1" si="64"/>
        <v>0</v>
      </c>
      <c r="L260" s="6">
        <f t="shared" ca="1" si="65"/>
        <v>0</v>
      </c>
      <c r="M260">
        <f t="shared" ca="1" si="73"/>
        <v>0</v>
      </c>
      <c r="N260" s="6">
        <f t="shared" si="74"/>
        <v>1200</v>
      </c>
      <c r="O260" s="6">
        <f t="shared" ca="1" si="75"/>
        <v>1200</v>
      </c>
      <c r="P260">
        <f t="shared" si="76"/>
        <v>0</v>
      </c>
      <c r="Q260" s="6">
        <f t="shared" si="66"/>
        <v>0</v>
      </c>
      <c r="R260" s="296">
        <v>12.5</v>
      </c>
      <c r="S260">
        <f t="shared" si="67"/>
        <v>4760</v>
      </c>
      <c r="T260">
        <f t="shared" si="68"/>
        <v>4379.2</v>
      </c>
      <c r="U260">
        <f t="shared" ca="1" si="69"/>
        <v>0</v>
      </c>
      <c r="V260">
        <f t="shared" si="77"/>
        <v>4379.2</v>
      </c>
      <c r="W260">
        <f t="shared" ca="1" si="79"/>
        <v>1200</v>
      </c>
      <c r="X260">
        <f t="shared" ca="1" si="78"/>
        <v>2000</v>
      </c>
      <c r="Y260" s="297" t="str">
        <f t="shared" ca="1" si="70"/>
        <v>Yes</v>
      </c>
    </row>
    <row r="261" spans="1:25" outlineLevel="1" x14ac:dyDescent="0.75">
      <c r="A261" s="304">
        <f>Consumption!A261</f>
        <v>41524</v>
      </c>
      <c r="B261" s="305">
        <f>Consumption!B261</f>
        <v>0</v>
      </c>
      <c r="C261" s="41">
        <f ca="1">Consumption!C261</f>
        <v>0</v>
      </c>
      <c r="D261" s="41">
        <f t="shared" si="60"/>
        <v>0.219</v>
      </c>
      <c r="E261" s="41">
        <f t="shared" ca="1" si="71"/>
        <v>0.7799999999999796</v>
      </c>
      <c r="F261" s="306">
        <f ca="1">'Pump Main'!$M$3*1000</f>
        <v>124614.17111887744</v>
      </c>
      <c r="G261" s="41">
        <f t="shared" ca="1" si="61"/>
        <v>0</v>
      </c>
      <c r="H261" s="6">
        <f t="shared" ca="1" si="62"/>
        <v>0</v>
      </c>
      <c r="I261" s="6">
        <f t="shared" ca="1" si="72"/>
        <v>0</v>
      </c>
      <c r="J261" s="6">
        <f t="shared" ca="1" si="63"/>
        <v>0</v>
      </c>
      <c r="K261" s="6">
        <f t="shared" ca="1" si="64"/>
        <v>0</v>
      </c>
      <c r="L261" s="6">
        <f t="shared" ca="1" si="65"/>
        <v>0</v>
      </c>
      <c r="M261">
        <f t="shared" ca="1" si="73"/>
        <v>0</v>
      </c>
      <c r="N261" s="6">
        <f t="shared" si="74"/>
        <v>1200</v>
      </c>
      <c r="O261" s="6">
        <f t="shared" ca="1" si="75"/>
        <v>1200</v>
      </c>
      <c r="P261">
        <f t="shared" si="76"/>
        <v>0</v>
      </c>
      <c r="Q261" s="6">
        <f t="shared" si="66"/>
        <v>0</v>
      </c>
      <c r="R261" s="296">
        <v>12.5</v>
      </c>
      <c r="S261">
        <f t="shared" si="67"/>
        <v>4760</v>
      </c>
      <c r="T261">
        <f t="shared" si="68"/>
        <v>4379.2</v>
      </c>
      <c r="U261">
        <f t="shared" ca="1" si="69"/>
        <v>0</v>
      </c>
      <c r="V261">
        <f t="shared" si="77"/>
        <v>4379.2</v>
      </c>
      <c r="W261">
        <f t="shared" ca="1" si="79"/>
        <v>1200</v>
      </c>
      <c r="X261">
        <f t="shared" ca="1" si="78"/>
        <v>2000</v>
      </c>
      <c r="Y261" s="297" t="str">
        <f t="shared" ca="1" si="70"/>
        <v>Yes</v>
      </c>
    </row>
    <row r="262" spans="1:25" outlineLevel="1" x14ac:dyDescent="0.75">
      <c r="A262" s="304">
        <f>Consumption!A262</f>
        <v>41525</v>
      </c>
      <c r="B262" s="305">
        <f>Consumption!B262</f>
        <v>0</v>
      </c>
      <c r="C262" s="41">
        <f ca="1">Consumption!C262</f>
        <v>0</v>
      </c>
      <c r="D262" s="41">
        <f t="shared" si="60"/>
        <v>0.219</v>
      </c>
      <c r="E262" s="41">
        <f t="shared" ca="1" si="71"/>
        <v>0.56099999999997963</v>
      </c>
      <c r="F262" s="306">
        <f ca="1">'Pump Main'!$M$3*1000</f>
        <v>124614.17111887744</v>
      </c>
      <c r="G262" s="41">
        <f t="shared" ca="1" si="61"/>
        <v>0</v>
      </c>
      <c r="H262" s="6">
        <f t="shared" ca="1" si="62"/>
        <v>0</v>
      </c>
      <c r="I262" s="6">
        <f t="shared" ca="1" si="72"/>
        <v>0</v>
      </c>
      <c r="J262" s="6">
        <f t="shared" ca="1" si="63"/>
        <v>0</v>
      </c>
      <c r="K262" s="6">
        <f t="shared" ca="1" si="64"/>
        <v>0</v>
      </c>
      <c r="L262" s="6">
        <f t="shared" ca="1" si="65"/>
        <v>0</v>
      </c>
      <c r="M262">
        <f t="shared" ca="1" si="73"/>
        <v>0</v>
      </c>
      <c r="N262" s="6">
        <f t="shared" si="74"/>
        <v>1200</v>
      </c>
      <c r="O262" s="6">
        <f t="shared" ca="1" si="75"/>
        <v>1200</v>
      </c>
      <c r="P262">
        <f t="shared" si="76"/>
        <v>0</v>
      </c>
      <c r="Q262" s="6">
        <f t="shared" si="66"/>
        <v>0</v>
      </c>
      <c r="R262" s="296">
        <v>12.5</v>
      </c>
      <c r="S262">
        <f t="shared" si="67"/>
        <v>4760</v>
      </c>
      <c r="T262">
        <f t="shared" si="68"/>
        <v>4379.2</v>
      </c>
      <c r="U262">
        <f t="shared" ca="1" si="69"/>
        <v>0</v>
      </c>
      <c r="V262">
        <f t="shared" si="77"/>
        <v>4379.2</v>
      </c>
      <c r="W262">
        <f t="shared" ca="1" si="79"/>
        <v>1200</v>
      </c>
      <c r="X262">
        <f t="shared" ca="1" si="78"/>
        <v>2000</v>
      </c>
      <c r="Y262" s="297" t="str">
        <f t="shared" ca="1" si="70"/>
        <v>Yes</v>
      </c>
    </row>
    <row r="263" spans="1:25" outlineLevel="1" x14ac:dyDescent="0.75">
      <c r="A263" s="304">
        <f>Consumption!A263</f>
        <v>41526</v>
      </c>
      <c r="B263" s="305">
        <f>Consumption!B263</f>
        <v>0</v>
      </c>
      <c r="C263" s="41">
        <f ca="1">Consumption!C263</f>
        <v>0</v>
      </c>
      <c r="D263" s="41">
        <f t="shared" si="60"/>
        <v>0.219</v>
      </c>
      <c r="E263" s="41">
        <f t="shared" ca="1" si="71"/>
        <v>0.34199999999997965</v>
      </c>
      <c r="F263" s="306">
        <f ca="1">'Pump Main'!$M$3*1000</f>
        <v>124614.17111887744</v>
      </c>
      <c r="G263" s="41">
        <f t="shared" ca="1" si="61"/>
        <v>0</v>
      </c>
      <c r="H263" s="6">
        <f t="shared" ca="1" si="62"/>
        <v>0</v>
      </c>
      <c r="I263" s="6">
        <f t="shared" ca="1" si="72"/>
        <v>0</v>
      </c>
      <c r="J263" s="6">
        <f t="shared" ca="1" si="63"/>
        <v>0</v>
      </c>
      <c r="K263" s="6">
        <f t="shared" ca="1" si="64"/>
        <v>0</v>
      </c>
      <c r="L263" s="6">
        <f t="shared" ca="1" si="65"/>
        <v>0</v>
      </c>
      <c r="M263">
        <f t="shared" ca="1" si="73"/>
        <v>0</v>
      </c>
      <c r="N263" s="6">
        <f t="shared" si="74"/>
        <v>1200</v>
      </c>
      <c r="O263" s="6">
        <f t="shared" ca="1" si="75"/>
        <v>1200</v>
      </c>
      <c r="P263">
        <f t="shared" si="76"/>
        <v>0</v>
      </c>
      <c r="Q263" s="6">
        <f t="shared" si="66"/>
        <v>0</v>
      </c>
      <c r="R263" s="296">
        <v>12.5</v>
      </c>
      <c r="S263">
        <f t="shared" si="67"/>
        <v>4760</v>
      </c>
      <c r="T263">
        <f t="shared" si="68"/>
        <v>4379.2</v>
      </c>
      <c r="U263">
        <f t="shared" ca="1" si="69"/>
        <v>0</v>
      </c>
      <c r="V263">
        <f t="shared" si="77"/>
        <v>4379.2</v>
      </c>
      <c r="W263">
        <f t="shared" ca="1" si="79"/>
        <v>1200</v>
      </c>
      <c r="X263">
        <f t="shared" ca="1" si="78"/>
        <v>2000</v>
      </c>
      <c r="Y263" s="297" t="str">
        <f t="shared" ca="1" si="70"/>
        <v>Yes</v>
      </c>
    </row>
    <row r="264" spans="1:25" outlineLevel="1" x14ac:dyDescent="0.75">
      <c r="A264" s="304">
        <f>Consumption!A264</f>
        <v>41527</v>
      </c>
      <c r="B264" s="305">
        <f>Consumption!B264</f>
        <v>0</v>
      </c>
      <c r="C264" s="41">
        <f ca="1">Consumption!C264</f>
        <v>0</v>
      </c>
      <c r="D264" s="41">
        <f t="shared" si="60"/>
        <v>0.219</v>
      </c>
      <c r="E264" s="41">
        <f t="shared" ca="1" si="71"/>
        <v>0.12299999999997965</v>
      </c>
      <c r="F264" s="306">
        <f ca="1">'Pump Main'!$M$3*1000</f>
        <v>124614.17111887744</v>
      </c>
      <c r="G264" s="41">
        <f t="shared" ca="1" si="61"/>
        <v>0</v>
      </c>
      <c r="H264" s="6">
        <f t="shared" ca="1" si="62"/>
        <v>0</v>
      </c>
      <c r="I264" s="6">
        <f t="shared" ca="1" si="72"/>
        <v>0</v>
      </c>
      <c r="J264" s="6">
        <f t="shared" ca="1" si="63"/>
        <v>0</v>
      </c>
      <c r="K264" s="6">
        <f t="shared" ca="1" si="64"/>
        <v>0</v>
      </c>
      <c r="L264" s="6">
        <f t="shared" ca="1" si="65"/>
        <v>0</v>
      </c>
      <c r="M264">
        <f t="shared" ca="1" si="73"/>
        <v>0</v>
      </c>
      <c r="N264" s="6">
        <f t="shared" si="74"/>
        <v>1200</v>
      </c>
      <c r="O264" s="6">
        <f t="shared" ca="1" si="75"/>
        <v>1200</v>
      </c>
      <c r="P264">
        <f t="shared" si="76"/>
        <v>0</v>
      </c>
      <c r="Q264" s="6">
        <f t="shared" si="66"/>
        <v>0</v>
      </c>
      <c r="R264" s="296">
        <v>12.5</v>
      </c>
      <c r="S264">
        <f t="shared" si="67"/>
        <v>4760</v>
      </c>
      <c r="T264">
        <f t="shared" si="68"/>
        <v>4379.2</v>
      </c>
      <c r="U264">
        <f t="shared" ca="1" si="69"/>
        <v>0</v>
      </c>
      <c r="V264">
        <f t="shared" si="77"/>
        <v>4379.2</v>
      </c>
      <c r="W264">
        <f t="shared" ca="1" si="79"/>
        <v>1200</v>
      </c>
      <c r="X264">
        <f t="shared" ca="1" si="78"/>
        <v>2000</v>
      </c>
      <c r="Y264" s="297" t="str">
        <f t="shared" ca="1" si="70"/>
        <v>Yes</v>
      </c>
    </row>
    <row r="265" spans="1:25" outlineLevel="1" x14ac:dyDescent="0.75">
      <c r="A265" s="304">
        <f>Consumption!A265</f>
        <v>41528</v>
      </c>
      <c r="B265" s="305">
        <f>Consumption!B265</f>
        <v>0</v>
      </c>
      <c r="C265" s="41">
        <f ca="1">Consumption!C265</f>
        <v>0</v>
      </c>
      <c r="D265" s="41">
        <f t="shared" si="60"/>
        <v>0.219</v>
      </c>
      <c r="E265" s="41">
        <f t="shared" ca="1" si="71"/>
        <v>-9.6000000000020347E-2</v>
      </c>
      <c r="F265" s="306">
        <f ca="1">'Pump Main'!$M$3*1000</f>
        <v>124614.17111887744</v>
      </c>
      <c r="G265" s="41">
        <f t="shared" ca="1" si="61"/>
        <v>0</v>
      </c>
      <c r="H265" s="6">
        <f t="shared" ca="1" si="62"/>
        <v>0</v>
      </c>
      <c r="I265" s="6">
        <f t="shared" ca="1" si="72"/>
        <v>0</v>
      </c>
      <c r="J265" s="6">
        <f t="shared" ca="1" si="63"/>
        <v>0</v>
      </c>
      <c r="K265" s="6">
        <f t="shared" ca="1" si="64"/>
        <v>0</v>
      </c>
      <c r="L265" s="6">
        <f t="shared" ca="1" si="65"/>
        <v>0</v>
      </c>
      <c r="M265">
        <f t="shared" ca="1" si="73"/>
        <v>0</v>
      </c>
      <c r="N265" s="6">
        <f t="shared" si="74"/>
        <v>1200</v>
      </c>
      <c r="O265" s="6">
        <f t="shared" ca="1" si="75"/>
        <v>1200</v>
      </c>
      <c r="P265">
        <f t="shared" si="76"/>
        <v>0</v>
      </c>
      <c r="Q265" s="6">
        <f t="shared" si="66"/>
        <v>0</v>
      </c>
      <c r="R265" s="296">
        <v>12.5</v>
      </c>
      <c r="S265">
        <f t="shared" si="67"/>
        <v>4760</v>
      </c>
      <c r="T265">
        <f t="shared" si="68"/>
        <v>4379.2</v>
      </c>
      <c r="U265">
        <f t="shared" ca="1" si="69"/>
        <v>0</v>
      </c>
      <c r="V265">
        <f t="shared" si="77"/>
        <v>4379.2</v>
      </c>
      <c r="W265">
        <f t="shared" ca="1" si="79"/>
        <v>1200</v>
      </c>
      <c r="X265">
        <f t="shared" ca="1" si="78"/>
        <v>2000</v>
      </c>
      <c r="Y265" s="297" t="str">
        <f t="shared" ca="1" si="70"/>
        <v>Yes</v>
      </c>
    </row>
    <row r="266" spans="1:25" outlineLevel="1" x14ac:dyDescent="0.75">
      <c r="A266" s="304">
        <f>Consumption!A266</f>
        <v>41529</v>
      </c>
      <c r="B266" s="305">
        <f>Consumption!B266</f>
        <v>0</v>
      </c>
      <c r="C266" s="41">
        <f ca="1">Consumption!C266</f>
        <v>0</v>
      </c>
      <c r="D266" s="41">
        <f t="shared" si="60"/>
        <v>0.219</v>
      </c>
      <c r="E266" s="41">
        <f t="shared" ca="1" si="71"/>
        <v>-0.31500000000002037</v>
      </c>
      <c r="F266" s="306">
        <f ca="1">'Pump Main'!$M$3*1000</f>
        <v>124614.17111887744</v>
      </c>
      <c r="G266" s="41">
        <f t="shared" ca="1" si="61"/>
        <v>0</v>
      </c>
      <c r="H266" s="6">
        <f t="shared" ca="1" si="62"/>
        <v>0</v>
      </c>
      <c r="I266" s="6">
        <f t="shared" ca="1" si="72"/>
        <v>0</v>
      </c>
      <c r="J266" s="6">
        <f t="shared" ca="1" si="63"/>
        <v>0</v>
      </c>
      <c r="K266" s="6">
        <f t="shared" ca="1" si="64"/>
        <v>0</v>
      </c>
      <c r="L266" s="6">
        <f t="shared" ca="1" si="65"/>
        <v>0</v>
      </c>
      <c r="M266">
        <f t="shared" ca="1" si="73"/>
        <v>0</v>
      </c>
      <c r="N266" s="6">
        <f t="shared" si="74"/>
        <v>1200</v>
      </c>
      <c r="O266" s="6">
        <f t="shared" ca="1" si="75"/>
        <v>1200</v>
      </c>
      <c r="P266">
        <f t="shared" si="76"/>
        <v>0</v>
      </c>
      <c r="Q266" s="6">
        <f t="shared" si="66"/>
        <v>0</v>
      </c>
      <c r="R266" s="296">
        <v>12.5</v>
      </c>
      <c r="S266">
        <f t="shared" si="67"/>
        <v>4760</v>
      </c>
      <c r="T266">
        <f t="shared" si="68"/>
        <v>4379.2</v>
      </c>
      <c r="U266">
        <f t="shared" ca="1" si="69"/>
        <v>0</v>
      </c>
      <c r="V266">
        <f t="shared" si="77"/>
        <v>4379.2</v>
      </c>
      <c r="W266">
        <f t="shared" ca="1" si="79"/>
        <v>1200</v>
      </c>
      <c r="X266">
        <f t="shared" ca="1" si="78"/>
        <v>2000</v>
      </c>
      <c r="Y266" s="297" t="str">
        <f t="shared" ca="1" si="70"/>
        <v>Yes</v>
      </c>
    </row>
    <row r="267" spans="1:25" outlineLevel="1" x14ac:dyDescent="0.75">
      <c r="A267" s="304">
        <f>Consumption!A267</f>
        <v>41530</v>
      </c>
      <c r="B267" s="305">
        <f>Consumption!B267</f>
        <v>0</v>
      </c>
      <c r="C267" s="41">
        <f ca="1">Consumption!C267</f>
        <v>0</v>
      </c>
      <c r="D267" s="41">
        <f t="shared" si="60"/>
        <v>0.219</v>
      </c>
      <c r="E267" s="41">
        <f t="shared" ca="1" si="71"/>
        <v>-0.53400000000002035</v>
      </c>
      <c r="F267" s="306">
        <f ca="1">'Pump Main'!$M$3*1000</f>
        <v>124614.17111887744</v>
      </c>
      <c r="G267" s="41">
        <f t="shared" ca="1" si="61"/>
        <v>0</v>
      </c>
      <c r="H267" s="6">
        <f t="shared" ca="1" si="62"/>
        <v>0</v>
      </c>
      <c r="I267" s="6">
        <f t="shared" ca="1" si="72"/>
        <v>0</v>
      </c>
      <c r="J267" s="6">
        <f t="shared" ca="1" si="63"/>
        <v>0</v>
      </c>
      <c r="K267" s="6">
        <f t="shared" ca="1" si="64"/>
        <v>0</v>
      </c>
      <c r="L267" s="6">
        <f t="shared" ca="1" si="65"/>
        <v>0</v>
      </c>
      <c r="M267">
        <f t="shared" ca="1" si="73"/>
        <v>0</v>
      </c>
      <c r="N267" s="6">
        <f t="shared" si="74"/>
        <v>1200</v>
      </c>
      <c r="O267" s="6">
        <f t="shared" ca="1" si="75"/>
        <v>1200</v>
      </c>
      <c r="P267">
        <f t="shared" si="76"/>
        <v>0</v>
      </c>
      <c r="Q267" s="6">
        <f t="shared" si="66"/>
        <v>0</v>
      </c>
      <c r="R267" s="296">
        <v>12.5</v>
      </c>
      <c r="S267">
        <f t="shared" si="67"/>
        <v>4760</v>
      </c>
      <c r="T267">
        <f t="shared" si="68"/>
        <v>4379.2</v>
      </c>
      <c r="U267">
        <f t="shared" ca="1" si="69"/>
        <v>0</v>
      </c>
      <c r="V267">
        <f t="shared" si="77"/>
        <v>4379.2</v>
      </c>
      <c r="W267">
        <f t="shared" ca="1" si="79"/>
        <v>1200</v>
      </c>
      <c r="X267">
        <f t="shared" ca="1" si="78"/>
        <v>2000</v>
      </c>
      <c r="Y267" s="297" t="str">
        <f t="shared" ca="1" si="70"/>
        <v>Yes</v>
      </c>
    </row>
    <row r="268" spans="1:25" outlineLevel="1" x14ac:dyDescent="0.75">
      <c r="A268" s="304">
        <f>Consumption!A268</f>
        <v>41531</v>
      </c>
      <c r="B268" s="305">
        <f>Consumption!B268</f>
        <v>0</v>
      </c>
      <c r="C268" s="41">
        <f ca="1">Consumption!C268</f>
        <v>0</v>
      </c>
      <c r="D268" s="41">
        <f t="shared" ref="D268:D331" si="80">$B$4/1000</f>
        <v>0.219</v>
      </c>
      <c r="E268" s="41">
        <f t="shared" ca="1" si="71"/>
        <v>-0.75300000000002032</v>
      </c>
      <c r="F268" s="306">
        <f ca="1">'Pump Main'!$M$3*1000</f>
        <v>124614.17111887744</v>
      </c>
      <c r="G268" s="41">
        <f t="shared" ref="G268:G331" ca="1" si="81">C268*F268</f>
        <v>0</v>
      </c>
      <c r="H268" s="6">
        <f t="shared" ref="H268:H331" ca="1" si="82">G268/$H$1</f>
        <v>0</v>
      </c>
      <c r="I268" s="6">
        <f t="shared" ca="1" si="72"/>
        <v>0</v>
      </c>
      <c r="J268" s="6">
        <f t="shared" ref="J268:J331" ca="1" si="83">$K$4*$K$2/$K$1*C268*1000</f>
        <v>0</v>
      </c>
      <c r="K268" s="6">
        <f t="shared" ref="K268:K331" ca="1" si="84">J268/1000</f>
        <v>0</v>
      </c>
      <c r="L268" s="6">
        <f t="shared" ref="L268:L331" ca="1" si="85">$K$3*K268</f>
        <v>0</v>
      </c>
      <c r="M268">
        <f t="shared" ca="1" si="73"/>
        <v>0</v>
      </c>
      <c r="N268" s="6">
        <f t="shared" si="74"/>
        <v>1200</v>
      </c>
      <c r="O268" s="6">
        <f t="shared" ca="1" si="75"/>
        <v>1200</v>
      </c>
      <c r="P268">
        <f t="shared" si="76"/>
        <v>0</v>
      </c>
      <c r="Q268" s="6">
        <f t="shared" ref="Q268:Q331" si="86">IF($N$3,P268*3600/10^6 / $N$5 / $N$4, 0)</f>
        <v>0</v>
      </c>
      <c r="R268" s="296">
        <v>12.5</v>
      </c>
      <c r="S268">
        <f t="shared" ref="S268:S331" si="87">IF($Q$1, $Q$2 * $Q$3 * R268 * $Q$4 * $Q$5, 0)</f>
        <v>4760</v>
      </c>
      <c r="T268">
        <f t="shared" ref="T268:T331" si="88">S268*$Q$6</f>
        <v>4379.2</v>
      </c>
      <c r="U268">
        <f t="shared" ref="U268:U331" ca="1" si="89">$T$1/$T$2*C268/$T$3/1000*$T$4</f>
        <v>0</v>
      </c>
      <c r="V268">
        <f t="shared" si="77"/>
        <v>4379.2</v>
      </c>
      <c r="W268">
        <f t="shared" ca="1" si="79"/>
        <v>1200</v>
      </c>
      <c r="X268">
        <f t="shared" ca="1" si="78"/>
        <v>2000</v>
      </c>
      <c r="Y268" s="297" t="str">
        <f t="shared" ref="Y268:Y331" ca="1" si="90">IF(IF($N$3, FALSE, W268 &lt; O268),"No", "Yes")</f>
        <v>Yes</v>
      </c>
    </row>
    <row r="269" spans="1:25" outlineLevel="1" x14ac:dyDescent="0.75">
      <c r="A269" s="304">
        <f>Consumption!A269</f>
        <v>41532</v>
      </c>
      <c r="B269" s="305">
        <f>Consumption!B269</f>
        <v>0.6</v>
      </c>
      <c r="C269" s="41">
        <f ca="1">Consumption!C269</f>
        <v>0.06</v>
      </c>
      <c r="D269" s="41">
        <f t="shared" si="80"/>
        <v>0.219</v>
      </c>
      <c r="E269" s="41">
        <f t="shared" ref="E269:E332" ca="1" si="91">E268+C269-D269</f>
        <v>-0.91200000000002024</v>
      </c>
      <c r="F269" s="306">
        <f ca="1">'Pump Main'!$M$3*1000</f>
        <v>124614.17111887744</v>
      </c>
      <c r="G269" s="41">
        <f t="shared" ca="1" si="81"/>
        <v>7476.850267132646</v>
      </c>
      <c r="H269" s="6">
        <f t="shared" ca="1" si="82"/>
        <v>12696.423758932793</v>
      </c>
      <c r="I269" s="6">
        <f t="shared" ref="I269:I332" ca="1" si="92">H269/3600</f>
        <v>3.5267843774813312</v>
      </c>
      <c r="J269" s="6">
        <f t="shared" ca="1" si="83"/>
        <v>300</v>
      </c>
      <c r="K269" s="6">
        <f t="shared" ca="1" si="84"/>
        <v>0.3</v>
      </c>
      <c r="L269" s="6">
        <f t="shared" ca="1" si="85"/>
        <v>0.6</v>
      </c>
      <c r="M269">
        <f t="shared" ref="M269:M332" ca="1" si="93">L269*10^6/3600</f>
        <v>166.66666666666666</v>
      </c>
      <c r="N269" s="6">
        <f t="shared" ref="N269:N332" si="94">$N$1*$N$2</f>
        <v>1200</v>
      </c>
      <c r="O269" s="6">
        <f t="shared" ref="O269:O332" ca="1" si="95">I269+M269+N269</f>
        <v>1370.1934510441479</v>
      </c>
      <c r="P269">
        <f t="shared" ref="P269:P332" si="96">IF($N$3, O269-N269+V269, 0)</f>
        <v>0</v>
      </c>
      <c r="Q269" s="6">
        <f t="shared" si="86"/>
        <v>0</v>
      </c>
      <c r="R269" s="296">
        <v>12.5</v>
      </c>
      <c r="S269">
        <f t="shared" si="87"/>
        <v>4760</v>
      </c>
      <c r="T269">
        <f t="shared" si="88"/>
        <v>4379.2</v>
      </c>
      <c r="U269">
        <f t="shared" ca="1" si="89"/>
        <v>0</v>
      </c>
      <c r="V269">
        <f t="shared" ref="V269:V332" si="97">IF($N$3, (X269-X268+W269/$W$2)/$W$2, T269)</f>
        <v>4379.2</v>
      </c>
      <c r="W269">
        <f t="shared" ca="1" si="79"/>
        <v>1370.1934510441479</v>
      </c>
      <c r="X269">
        <f t="shared" ref="X269:X332" ca="1" si="98">IF($N$3, 0, MIN(X268+V269*$W$2 - W269 / $W$2, $W$1*$W$3))</f>
        <v>2000</v>
      </c>
      <c r="Y269" s="297" t="str">
        <f t="shared" ca="1" si="90"/>
        <v>Yes</v>
      </c>
    </row>
    <row r="270" spans="1:25" outlineLevel="1" x14ac:dyDescent="0.75">
      <c r="A270" s="304">
        <f>Consumption!A270</f>
        <v>41533</v>
      </c>
      <c r="B270" s="305">
        <f>Consumption!B270</f>
        <v>0</v>
      </c>
      <c r="C270" s="41">
        <f ca="1">Consumption!C270</f>
        <v>0</v>
      </c>
      <c r="D270" s="41">
        <f t="shared" si="80"/>
        <v>0.219</v>
      </c>
      <c r="E270" s="41">
        <f t="shared" ca="1" si="91"/>
        <v>-1.1310000000000202</v>
      </c>
      <c r="F270" s="306">
        <f ca="1">'Pump Main'!$M$3*1000</f>
        <v>124614.17111887744</v>
      </c>
      <c r="G270" s="41">
        <f t="shared" ca="1" si="81"/>
        <v>0</v>
      </c>
      <c r="H270" s="6">
        <f t="shared" ca="1" si="82"/>
        <v>0</v>
      </c>
      <c r="I270" s="6">
        <f t="shared" ca="1" si="92"/>
        <v>0</v>
      </c>
      <c r="J270" s="6">
        <f t="shared" ca="1" si="83"/>
        <v>0</v>
      </c>
      <c r="K270" s="6">
        <f t="shared" ca="1" si="84"/>
        <v>0</v>
      </c>
      <c r="L270" s="6">
        <f t="shared" ca="1" si="85"/>
        <v>0</v>
      </c>
      <c r="M270">
        <f t="shared" ca="1" si="93"/>
        <v>0</v>
      </c>
      <c r="N270" s="6">
        <f t="shared" si="94"/>
        <v>1200</v>
      </c>
      <c r="O270" s="6">
        <f t="shared" ca="1" si="95"/>
        <v>1200</v>
      </c>
      <c r="P270">
        <f t="shared" si="96"/>
        <v>0</v>
      </c>
      <c r="Q270" s="6">
        <f t="shared" si="86"/>
        <v>0</v>
      </c>
      <c r="R270" s="296">
        <v>12.5</v>
      </c>
      <c r="S270">
        <f t="shared" si="87"/>
        <v>4760</v>
      </c>
      <c r="T270">
        <f t="shared" si="88"/>
        <v>4379.2</v>
      </c>
      <c r="U270">
        <f t="shared" ca="1" si="89"/>
        <v>0</v>
      </c>
      <c r="V270">
        <f t="shared" si="97"/>
        <v>4379.2</v>
      </c>
      <c r="W270">
        <f t="shared" ref="W270:W333" ca="1" si="99">IF($N$3, N270, MIN(O270, $W$2 * (X269+V270*$W$2)))</f>
        <v>1200</v>
      </c>
      <c r="X270">
        <f t="shared" ca="1" si="98"/>
        <v>2000</v>
      </c>
      <c r="Y270" s="297" t="str">
        <f t="shared" ca="1" si="90"/>
        <v>Yes</v>
      </c>
    </row>
    <row r="271" spans="1:25" outlineLevel="1" x14ac:dyDescent="0.75">
      <c r="A271" s="304">
        <f>Consumption!A271</f>
        <v>41534</v>
      </c>
      <c r="B271" s="305">
        <f>Consumption!B271</f>
        <v>0.8</v>
      </c>
      <c r="C271" s="41">
        <f ca="1">Consumption!C271</f>
        <v>0.08</v>
      </c>
      <c r="D271" s="41">
        <f t="shared" si="80"/>
        <v>0.219</v>
      </c>
      <c r="E271" s="41">
        <f t="shared" ca="1" si="91"/>
        <v>-1.2700000000000202</v>
      </c>
      <c r="F271" s="306">
        <f ca="1">'Pump Main'!$M$3*1000</f>
        <v>124614.17111887744</v>
      </c>
      <c r="G271" s="41">
        <f t="shared" ca="1" si="81"/>
        <v>9969.1336895101958</v>
      </c>
      <c r="H271" s="6">
        <f t="shared" ca="1" si="82"/>
        <v>16928.565011910392</v>
      </c>
      <c r="I271" s="6">
        <f t="shared" ca="1" si="92"/>
        <v>4.7023791699751092</v>
      </c>
      <c r="J271" s="6">
        <f t="shared" ca="1" si="83"/>
        <v>400</v>
      </c>
      <c r="K271" s="6">
        <f t="shared" ca="1" si="84"/>
        <v>0.4</v>
      </c>
      <c r="L271" s="6">
        <f t="shared" ca="1" si="85"/>
        <v>0.8</v>
      </c>
      <c r="M271">
        <f t="shared" ca="1" si="93"/>
        <v>222.22222222222223</v>
      </c>
      <c r="N271" s="6">
        <f t="shared" si="94"/>
        <v>1200</v>
      </c>
      <c r="O271" s="6">
        <f t="shared" ca="1" si="95"/>
        <v>1426.9246013921972</v>
      </c>
      <c r="P271">
        <f t="shared" si="96"/>
        <v>0</v>
      </c>
      <c r="Q271" s="6">
        <f t="shared" si="86"/>
        <v>0</v>
      </c>
      <c r="R271" s="296">
        <v>12.5</v>
      </c>
      <c r="S271">
        <f t="shared" si="87"/>
        <v>4760</v>
      </c>
      <c r="T271">
        <f t="shared" si="88"/>
        <v>4379.2</v>
      </c>
      <c r="U271">
        <f t="shared" ca="1" si="89"/>
        <v>0</v>
      </c>
      <c r="V271">
        <f t="shared" si="97"/>
        <v>4379.2</v>
      </c>
      <c r="W271">
        <f t="shared" ca="1" si="99"/>
        <v>1426.9246013921972</v>
      </c>
      <c r="X271">
        <f t="shared" ca="1" si="98"/>
        <v>2000</v>
      </c>
      <c r="Y271" s="297" t="str">
        <f t="shared" ca="1" si="90"/>
        <v>Yes</v>
      </c>
    </row>
    <row r="272" spans="1:25" outlineLevel="1" x14ac:dyDescent="0.75">
      <c r="A272" s="304">
        <f>Consumption!A272</f>
        <v>41535</v>
      </c>
      <c r="B272" s="305">
        <f>Consumption!B272</f>
        <v>1.2</v>
      </c>
      <c r="C272" s="41">
        <f ca="1">Consumption!C272</f>
        <v>0.12</v>
      </c>
      <c r="D272" s="41">
        <f t="shared" si="80"/>
        <v>0.219</v>
      </c>
      <c r="E272" s="41">
        <f t="shared" ca="1" si="91"/>
        <v>-1.3690000000000204</v>
      </c>
      <c r="F272" s="306">
        <f ca="1">'Pump Main'!$M$3*1000</f>
        <v>124614.17111887744</v>
      </c>
      <c r="G272" s="41">
        <f t="shared" ca="1" si="81"/>
        <v>14953.700534265292</v>
      </c>
      <c r="H272" s="6">
        <f t="shared" ca="1" si="82"/>
        <v>25392.847517865586</v>
      </c>
      <c r="I272" s="6">
        <f t="shared" ca="1" si="92"/>
        <v>7.0535687549626624</v>
      </c>
      <c r="J272" s="6">
        <f t="shared" ca="1" si="83"/>
        <v>600</v>
      </c>
      <c r="K272" s="6">
        <f t="shared" ca="1" si="84"/>
        <v>0.6</v>
      </c>
      <c r="L272" s="6">
        <f t="shared" ca="1" si="85"/>
        <v>1.2</v>
      </c>
      <c r="M272">
        <f t="shared" ca="1" si="93"/>
        <v>333.33333333333331</v>
      </c>
      <c r="N272" s="6">
        <f t="shared" si="94"/>
        <v>1200</v>
      </c>
      <c r="O272" s="6">
        <f t="shared" ca="1" si="95"/>
        <v>1540.386902088296</v>
      </c>
      <c r="P272">
        <f t="shared" si="96"/>
        <v>0</v>
      </c>
      <c r="Q272" s="6">
        <f t="shared" si="86"/>
        <v>0</v>
      </c>
      <c r="R272" s="296">
        <v>12.5</v>
      </c>
      <c r="S272">
        <f t="shared" si="87"/>
        <v>4760</v>
      </c>
      <c r="T272">
        <f t="shared" si="88"/>
        <v>4379.2</v>
      </c>
      <c r="U272">
        <f t="shared" ca="1" si="89"/>
        <v>0</v>
      </c>
      <c r="V272">
        <f t="shared" si="97"/>
        <v>4379.2</v>
      </c>
      <c r="W272">
        <f t="shared" ca="1" si="99"/>
        <v>1540.386902088296</v>
      </c>
      <c r="X272">
        <f t="shared" ca="1" si="98"/>
        <v>2000</v>
      </c>
      <c r="Y272" s="297" t="str">
        <f t="shared" ca="1" si="90"/>
        <v>Yes</v>
      </c>
    </row>
    <row r="273" spans="1:25" outlineLevel="1" x14ac:dyDescent="0.75">
      <c r="A273" s="304">
        <f>Consumption!A273</f>
        <v>41536</v>
      </c>
      <c r="B273" s="305">
        <f>Consumption!B273</f>
        <v>0.8</v>
      </c>
      <c r="C273" s="41">
        <f ca="1">Consumption!C273</f>
        <v>0.08</v>
      </c>
      <c r="D273" s="41">
        <f t="shared" si="80"/>
        <v>0.219</v>
      </c>
      <c r="E273" s="41">
        <f t="shared" ca="1" si="91"/>
        <v>-1.5080000000000204</v>
      </c>
      <c r="F273" s="306">
        <f ca="1">'Pump Main'!$M$3*1000</f>
        <v>124614.17111887744</v>
      </c>
      <c r="G273" s="41">
        <f t="shared" ca="1" si="81"/>
        <v>9969.1336895101958</v>
      </c>
      <c r="H273" s="6">
        <f t="shared" ca="1" si="82"/>
        <v>16928.565011910392</v>
      </c>
      <c r="I273" s="6">
        <f t="shared" ca="1" si="92"/>
        <v>4.7023791699751092</v>
      </c>
      <c r="J273" s="6">
        <f t="shared" ca="1" si="83"/>
        <v>400</v>
      </c>
      <c r="K273" s="6">
        <f t="shared" ca="1" si="84"/>
        <v>0.4</v>
      </c>
      <c r="L273" s="6">
        <f t="shared" ca="1" si="85"/>
        <v>0.8</v>
      </c>
      <c r="M273">
        <f t="shared" ca="1" si="93"/>
        <v>222.22222222222223</v>
      </c>
      <c r="N273" s="6">
        <f t="shared" si="94"/>
        <v>1200</v>
      </c>
      <c r="O273" s="6">
        <f t="shared" ca="1" si="95"/>
        <v>1426.9246013921972</v>
      </c>
      <c r="P273">
        <f t="shared" si="96"/>
        <v>0</v>
      </c>
      <c r="Q273" s="6">
        <f t="shared" si="86"/>
        <v>0</v>
      </c>
      <c r="R273" s="296">
        <v>12.5</v>
      </c>
      <c r="S273">
        <f t="shared" si="87"/>
        <v>4760</v>
      </c>
      <c r="T273">
        <f t="shared" si="88"/>
        <v>4379.2</v>
      </c>
      <c r="U273">
        <f t="shared" ca="1" si="89"/>
        <v>0</v>
      </c>
      <c r="V273">
        <f t="shared" si="97"/>
        <v>4379.2</v>
      </c>
      <c r="W273">
        <f t="shared" ca="1" si="99"/>
        <v>1426.9246013921972</v>
      </c>
      <c r="X273">
        <f t="shared" ca="1" si="98"/>
        <v>2000</v>
      </c>
      <c r="Y273" s="297" t="str">
        <f t="shared" ca="1" si="90"/>
        <v>Yes</v>
      </c>
    </row>
    <row r="274" spans="1:25" outlineLevel="1" x14ac:dyDescent="0.75">
      <c r="A274" s="304">
        <f>Consumption!A274</f>
        <v>41537</v>
      </c>
      <c r="B274" s="305">
        <f>Consumption!B274</f>
        <v>1.4</v>
      </c>
      <c r="C274" s="41">
        <f ca="1">Consumption!C274</f>
        <v>0.14000000000000001</v>
      </c>
      <c r="D274" s="41">
        <f t="shared" si="80"/>
        <v>0.219</v>
      </c>
      <c r="E274" s="41">
        <f t="shared" ca="1" si="91"/>
        <v>-1.5870000000000204</v>
      </c>
      <c r="F274" s="306">
        <f ca="1">'Pump Main'!$M$3*1000</f>
        <v>124614.17111887744</v>
      </c>
      <c r="G274" s="41">
        <f t="shared" ca="1" si="81"/>
        <v>17445.983956642842</v>
      </c>
      <c r="H274" s="6">
        <f t="shared" ca="1" si="82"/>
        <v>29624.988770843185</v>
      </c>
      <c r="I274" s="6">
        <f t="shared" ca="1" si="92"/>
        <v>8.2291635474564409</v>
      </c>
      <c r="J274" s="6">
        <f t="shared" ca="1" si="83"/>
        <v>700.00000000000011</v>
      </c>
      <c r="K274" s="6">
        <f t="shared" ca="1" si="84"/>
        <v>0.70000000000000007</v>
      </c>
      <c r="L274" s="6">
        <f t="shared" ca="1" si="85"/>
        <v>1.4000000000000001</v>
      </c>
      <c r="M274">
        <f t="shared" ca="1" si="93"/>
        <v>388.88888888888897</v>
      </c>
      <c r="N274" s="6">
        <f t="shared" si="94"/>
        <v>1200</v>
      </c>
      <c r="O274" s="6">
        <f t="shared" ca="1" si="95"/>
        <v>1597.1180524363454</v>
      </c>
      <c r="P274">
        <f t="shared" si="96"/>
        <v>0</v>
      </c>
      <c r="Q274" s="6">
        <f t="shared" si="86"/>
        <v>0</v>
      </c>
      <c r="R274" s="296">
        <v>12.5</v>
      </c>
      <c r="S274">
        <f t="shared" si="87"/>
        <v>4760</v>
      </c>
      <c r="T274">
        <f t="shared" si="88"/>
        <v>4379.2</v>
      </c>
      <c r="U274">
        <f t="shared" ca="1" si="89"/>
        <v>0</v>
      </c>
      <c r="V274">
        <f t="shared" si="97"/>
        <v>4379.2</v>
      </c>
      <c r="W274">
        <f t="shared" ca="1" si="99"/>
        <v>1597.1180524363454</v>
      </c>
      <c r="X274">
        <f t="shared" ca="1" si="98"/>
        <v>2000</v>
      </c>
      <c r="Y274" s="297" t="str">
        <f t="shared" ca="1" si="90"/>
        <v>Yes</v>
      </c>
    </row>
    <row r="275" spans="1:25" outlineLevel="1" x14ac:dyDescent="0.75">
      <c r="A275" s="304">
        <f>Consumption!A275</f>
        <v>41538</v>
      </c>
      <c r="B275" s="305">
        <f>Consumption!B275</f>
        <v>1.4</v>
      </c>
      <c r="C275" s="41">
        <f ca="1">Consumption!C275</f>
        <v>0.14000000000000001</v>
      </c>
      <c r="D275" s="41">
        <f t="shared" si="80"/>
        <v>0.219</v>
      </c>
      <c r="E275" s="41">
        <f t="shared" ca="1" si="91"/>
        <v>-1.6660000000000206</v>
      </c>
      <c r="F275" s="306">
        <f ca="1">'Pump Main'!$M$3*1000</f>
        <v>124614.17111887744</v>
      </c>
      <c r="G275" s="41">
        <f t="shared" ca="1" si="81"/>
        <v>17445.983956642842</v>
      </c>
      <c r="H275" s="6">
        <f t="shared" ca="1" si="82"/>
        <v>29624.988770843185</v>
      </c>
      <c r="I275" s="6">
        <f t="shared" ca="1" si="92"/>
        <v>8.2291635474564409</v>
      </c>
      <c r="J275" s="6">
        <f t="shared" ca="1" si="83"/>
        <v>700.00000000000011</v>
      </c>
      <c r="K275" s="6">
        <f t="shared" ca="1" si="84"/>
        <v>0.70000000000000007</v>
      </c>
      <c r="L275" s="6">
        <f t="shared" ca="1" si="85"/>
        <v>1.4000000000000001</v>
      </c>
      <c r="M275">
        <f t="shared" ca="1" si="93"/>
        <v>388.88888888888897</v>
      </c>
      <c r="N275" s="6">
        <f t="shared" si="94"/>
        <v>1200</v>
      </c>
      <c r="O275" s="6">
        <f t="shared" ca="1" si="95"/>
        <v>1597.1180524363454</v>
      </c>
      <c r="P275">
        <f t="shared" si="96"/>
        <v>0</v>
      </c>
      <c r="Q275" s="6">
        <f t="shared" si="86"/>
        <v>0</v>
      </c>
      <c r="R275" s="296">
        <v>12.5</v>
      </c>
      <c r="S275">
        <f t="shared" si="87"/>
        <v>4760</v>
      </c>
      <c r="T275">
        <f t="shared" si="88"/>
        <v>4379.2</v>
      </c>
      <c r="U275">
        <f t="shared" ca="1" si="89"/>
        <v>0</v>
      </c>
      <c r="V275">
        <f t="shared" si="97"/>
        <v>4379.2</v>
      </c>
      <c r="W275">
        <f t="shared" ca="1" si="99"/>
        <v>1597.1180524363454</v>
      </c>
      <c r="X275">
        <f t="shared" ca="1" si="98"/>
        <v>2000</v>
      </c>
      <c r="Y275" s="297" t="str">
        <f t="shared" ca="1" si="90"/>
        <v>Yes</v>
      </c>
    </row>
    <row r="276" spans="1:25" outlineLevel="1" x14ac:dyDescent="0.75">
      <c r="A276" s="304">
        <f>Consumption!A276</f>
        <v>41539</v>
      </c>
      <c r="B276" s="305">
        <f>Consumption!B276</f>
        <v>5</v>
      </c>
      <c r="C276" s="41">
        <f ca="1">Consumption!C276</f>
        <v>0.5</v>
      </c>
      <c r="D276" s="41">
        <f t="shared" si="80"/>
        <v>0.219</v>
      </c>
      <c r="E276" s="41">
        <f t="shared" ca="1" si="91"/>
        <v>-1.3850000000000207</v>
      </c>
      <c r="F276" s="306">
        <f ca="1">'Pump Main'!$M$3*1000</f>
        <v>124614.17111887744</v>
      </c>
      <c r="G276" s="41">
        <f t="shared" ca="1" si="81"/>
        <v>62307.085559438718</v>
      </c>
      <c r="H276" s="6">
        <f t="shared" ca="1" si="82"/>
        <v>105803.53132443994</v>
      </c>
      <c r="I276" s="6">
        <f t="shared" ca="1" si="92"/>
        <v>29.389869812344429</v>
      </c>
      <c r="J276" s="6">
        <f t="shared" ca="1" si="83"/>
        <v>2500</v>
      </c>
      <c r="K276" s="6">
        <f t="shared" ca="1" si="84"/>
        <v>2.5</v>
      </c>
      <c r="L276" s="6">
        <f t="shared" ca="1" si="85"/>
        <v>5</v>
      </c>
      <c r="M276">
        <f t="shared" ca="1" si="93"/>
        <v>1388.8888888888889</v>
      </c>
      <c r="N276" s="6">
        <f t="shared" si="94"/>
        <v>1200</v>
      </c>
      <c r="O276" s="6">
        <f t="shared" ca="1" si="95"/>
        <v>2618.2787587012335</v>
      </c>
      <c r="P276">
        <f t="shared" si="96"/>
        <v>0</v>
      </c>
      <c r="Q276" s="6">
        <f t="shared" si="86"/>
        <v>0</v>
      </c>
      <c r="R276" s="296">
        <v>12.5</v>
      </c>
      <c r="S276">
        <f t="shared" si="87"/>
        <v>4760</v>
      </c>
      <c r="T276">
        <f t="shared" si="88"/>
        <v>4379.2</v>
      </c>
      <c r="U276">
        <f t="shared" ca="1" si="89"/>
        <v>0</v>
      </c>
      <c r="V276">
        <f t="shared" si="97"/>
        <v>4379.2</v>
      </c>
      <c r="W276">
        <f t="shared" ca="1" si="99"/>
        <v>2618.2787587012335</v>
      </c>
      <c r="X276">
        <f t="shared" ca="1" si="98"/>
        <v>2000</v>
      </c>
      <c r="Y276" s="297" t="str">
        <f t="shared" ca="1" si="90"/>
        <v>Yes</v>
      </c>
    </row>
    <row r="277" spans="1:25" outlineLevel="1" x14ac:dyDescent="0.75">
      <c r="A277" s="304">
        <f>Consumption!A277</f>
        <v>41540</v>
      </c>
      <c r="B277" s="305">
        <f>Consumption!B277</f>
        <v>1.2</v>
      </c>
      <c r="C277" s="41">
        <f ca="1">Consumption!C277</f>
        <v>0.12</v>
      </c>
      <c r="D277" s="41">
        <f t="shared" si="80"/>
        <v>0.219</v>
      </c>
      <c r="E277" s="41">
        <f t="shared" ca="1" si="91"/>
        <v>-1.4840000000000206</v>
      </c>
      <c r="F277" s="306">
        <f ca="1">'Pump Main'!$M$3*1000</f>
        <v>124614.17111887744</v>
      </c>
      <c r="G277" s="41">
        <f t="shared" ca="1" si="81"/>
        <v>14953.700534265292</v>
      </c>
      <c r="H277" s="6">
        <f t="shared" ca="1" si="82"/>
        <v>25392.847517865586</v>
      </c>
      <c r="I277" s="6">
        <f t="shared" ca="1" si="92"/>
        <v>7.0535687549626624</v>
      </c>
      <c r="J277" s="6">
        <f t="shared" ca="1" si="83"/>
        <v>600</v>
      </c>
      <c r="K277" s="6">
        <f t="shared" ca="1" si="84"/>
        <v>0.6</v>
      </c>
      <c r="L277" s="6">
        <f t="shared" ca="1" si="85"/>
        <v>1.2</v>
      </c>
      <c r="M277">
        <f t="shared" ca="1" si="93"/>
        <v>333.33333333333331</v>
      </c>
      <c r="N277" s="6">
        <f t="shared" si="94"/>
        <v>1200</v>
      </c>
      <c r="O277" s="6">
        <f t="shared" ca="1" si="95"/>
        <v>1540.386902088296</v>
      </c>
      <c r="P277">
        <f t="shared" si="96"/>
        <v>0</v>
      </c>
      <c r="Q277" s="6">
        <f t="shared" si="86"/>
        <v>0</v>
      </c>
      <c r="R277" s="296">
        <v>12.5</v>
      </c>
      <c r="S277">
        <f t="shared" si="87"/>
        <v>4760</v>
      </c>
      <c r="T277">
        <f t="shared" si="88"/>
        <v>4379.2</v>
      </c>
      <c r="U277">
        <f t="shared" ca="1" si="89"/>
        <v>0</v>
      </c>
      <c r="V277">
        <f t="shared" si="97"/>
        <v>4379.2</v>
      </c>
      <c r="W277">
        <f t="shared" ca="1" si="99"/>
        <v>1540.386902088296</v>
      </c>
      <c r="X277">
        <f t="shared" ca="1" si="98"/>
        <v>2000</v>
      </c>
      <c r="Y277" s="297" t="str">
        <f t="shared" ca="1" si="90"/>
        <v>Yes</v>
      </c>
    </row>
    <row r="278" spans="1:25" outlineLevel="1" x14ac:dyDescent="0.75">
      <c r="A278" s="304">
        <f>Consumption!A278</f>
        <v>41541</v>
      </c>
      <c r="B278" s="305">
        <f>Consumption!B278</f>
        <v>1.6</v>
      </c>
      <c r="C278" s="41">
        <f ca="1">Consumption!C278</f>
        <v>0.16</v>
      </c>
      <c r="D278" s="41">
        <f t="shared" si="80"/>
        <v>0.219</v>
      </c>
      <c r="E278" s="41">
        <f t="shared" ca="1" si="91"/>
        <v>-1.5430000000000208</v>
      </c>
      <c r="F278" s="306">
        <f ca="1">'Pump Main'!$M$3*1000</f>
        <v>124614.17111887744</v>
      </c>
      <c r="G278" s="41">
        <f t="shared" ca="1" si="81"/>
        <v>19938.267379020392</v>
      </c>
      <c r="H278" s="6">
        <f t="shared" ca="1" si="82"/>
        <v>33857.130023820784</v>
      </c>
      <c r="I278" s="6">
        <f t="shared" ca="1" si="92"/>
        <v>9.4047583399502184</v>
      </c>
      <c r="J278" s="6">
        <f t="shared" ca="1" si="83"/>
        <v>800</v>
      </c>
      <c r="K278" s="6">
        <f t="shared" ca="1" si="84"/>
        <v>0.8</v>
      </c>
      <c r="L278" s="6">
        <f t="shared" ca="1" si="85"/>
        <v>1.6</v>
      </c>
      <c r="M278">
        <f t="shared" ca="1" si="93"/>
        <v>444.44444444444446</v>
      </c>
      <c r="N278" s="6">
        <f t="shared" si="94"/>
        <v>1200</v>
      </c>
      <c r="O278" s="6">
        <f t="shared" ca="1" si="95"/>
        <v>1653.8492027843947</v>
      </c>
      <c r="P278">
        <f t="shared" si="96"/>
        <v>0</v>
      </c>
      <c r="Q278" s="6">
        <f t="shared" si="86"/>
        <v>0</v>
      </c>
      <c r="R278" s="296">
        <v>12.5</v>
      </c>
      <c r="S278">
        <f t="shared" si="87"/>
        <v>4760</v>
      </c>
      <c r="T278">
        <f t="shared" si="88"/>
        <v>4379.2</v>
      </c>
      <c r="U278">
        <f t="shared" ca="1" si="89"/>
        <v>0</v>
      </c>
      <c r="V278">
        <f t="shared" si="97"/>
        <v>4379.2</v>
      </c>
      <c r="W278">
        <f t="shared" ca="1" si="99"/>
        <v>1653.8492027843947</v>
      </c>
      <c r="X278">
        <f t="shared" ca="1" si="98"/>
        <v>2000</v>
      </c>
      <c r="Y278" s="297" t="str">
        <f t="shared" ca="1" si="90"/>
        <v>Yes</v>
      </c>
    </row>
    <row r="279" spans="1:25" outlineLevel="1" x14ac:dyDescent="0.75">
      <c r="A279" s="304">
        <f>Consumption!A279</f>
        <v>41542</v>
      </c>
      <c r="B279" s="305">
        <f>Consumption!B279</f>
        <v>0</v>
      </c>
      <c r="C279" s="41">
        <f ca="1">Consumption!C279</f>
        <v>0</v>
      </c>
      <c r="D279" s="41">
        <f t="shared" si="80"/>
        <v>0.219</v>
      </c>
      <c r="E279" s="41">
        <f t="shared" ca="1" si="91"/>
        <v>-1.7620000000000209</v>
      </c>
      <c r="F279" s="306">
        <f ca="1">'Pump Main'!$M$3*1000</f>
        <v>124614.17111887744</v>
      </c>
      <c r="G279" s="41">
        <f t="shared" ca="1" si="81"/>
        <v>0</v>
      </c>
      <c r="H279" s="6">
        <f t="shared" ca="1" si="82"/>
        <v>0</v>
      </c>
      <c r="I279" s="6">
        <f t="shared" ca="1" si="92"/>
        <v>0</v>
      </c>
      <c r="J279" s="6">
        <f t="shared" ca="1" si="83"/>
        <v>0</v>
      </c>
      <c r="K279" s="6">
        <f t="shared" ca="1" si="84"/>
        <v>0</v>
      </c>
      <c r="L279" s="6">
        <f t="shared" ca="1" si="85"/>
        <v>0</v>
      </c>
      <c r="M279">
        <f t="shared" ca="1" si="93"/>
        <v>0</v>
      </c>
      <c r="N279" s="6">
        <f t="shared" si="94"/>
        <v>1200</v>
      </c>
      <c r="O279" s="6">
        <f t="shared" ca="1" si="95"/>
        <v>1200</v>
      </c>
      <c r="P279">
        <f t="shared" si="96"/>
        <v>0</v>
      </c>
      <c r="Q279" s="6">
        <f t="shared" si="86"/>
        <v>0</v>
      </c>
      <c r="R279" s="296">
        <v>12.5</v>
      </c>
      <c r="S279">
        <f t="shared" si="87"/>
        <v>4760</v>
      </c>
      <c r="T279">
        <f t="shared" si="88"/>
        <v>4379.2</v>
      </c>
      <c r="U279">
        <f t="shared" ca="1" si="89"/>
        <v>0</v>
      </c>
      <c r="V279">
        <f t="shared" si="97"/>
        <v>4379.2</v>
      </c>
      <c r="W279">
        <f t="shared" ca="1" si="99"/>
        <v>1200</v>
      </c>
      <c r="X279">
        <f t="shared" ca="1" si="98"/>
        <v>2000</v>
      </c>
      <c r="Y279" s="297" t="str">
        <f t="shared" ca="1" si="90"/>
        <v>Yes</v>
      </c>
    </row>
    <row r="280" spans="1:25" outlineLevel="1" x14ac:dyDescent="0.75">
      <c r="A280" s="304">
        <f>Consumption!A280</f>
        <v>41543</v>
      </c>
      <c r="B280" s="305">
        <f>Consumption!B280</f>
        <v>4</v>
      </c>
      <c r="C280" s="41">
        <f ca="1">Consumption!C280</f>
        <v>0.4</v>
      </c>
      <c r="D280" s="41">
        <f t="shared" si="80"/>
        <v>0.219</v>
      </c>
      <c r="E280" s="41">
        <f t="shared" ca="1" si="91"/>
        <v>-1.5810000000000211</v>
      </c>
      <c r="F280" s="306">
        <f ca="1">'Pump Main'!$M$3*1000</f>
        <v>124614.17111887744</v>
      </c>
      <c r="G280" s="41">
        <f t="shared" ca="1" si="81"/>
        <v>49845.668447550976</v>
      </c>
      <c r="H280" s="6">
        <f t="shared" ca="1" si="82"/>
        <v>84642.825059551949</v>
      </c>
      <c r="I280" s="6">
        <f t="shared" ca="1" si="92"/>
        <v>23.511895849875543</v>
      </c>
      <c r="J280" s="6">
        <f t="shared" ca="1" si="83"/>
        <v>2000</v>
      </c>
      <c r="K280" s="6">
        <f t="shared" ca="1" si="84"/>
        <v>2</v>
      </c>
      <c r="L280" s="6">
        <f t="shared" ca="1" si="85"/>
        <v>4</v>
      </c>
      <c r="M280">
        <f t="shared" ca="1" si="93"/>
        <v>1111.1111111111111</v>
      </c>
      <c r="N280" s="6">
        <f t="shared" si="94"/>
        <v>1200</v>
      </c>
      <c r="O280" s="6">
        <f t="shared" ca="1" si="95"/>
        <v>2334.6230069609865</v>
      </c>
      <c r="P280">
        <f t="shared" si="96"/>
        <v>0</v>
      </c>
      <c r="Q280" s="6">
        <f t="shared" si="86"/>
        <v>0</v>
      </c>
      <c r="R280" s="296">
        <v>12.5</v>
      </c>
      <c r="S280">
        <f t="shared" si="87"/>
        <v>4760</v>
      </c>
      <c r="T280">
        <f t="shared" si="88"/>
        <v>4379.2</v>
      </c>
      <c r="U280">
        <f t="shared" ca="1" si="89"/>
        <v>0</v>
      </c>
      <c r="V280">
        <f t="shared" si="97"/>
        <v>4379.2</v>
      </c>
      <c r="W280">
        <f t="shared" ca="1" si="99"/>
        <v>2334.6230069609865</v>
      </c>
      <c r="X280">
        <f t="shared" ca="1" si="98"/>
        <v>2000</v>
      </c>
      <c r="Y280" s="297" t="str">
        <f t="shared" ca="1" si="90"/>
        <v>Yes</v>
      </c>
    </row>
    <row r="281" spans="1:25" outlineLevel="1" x14ac:dyDescent="0.75">
      <c r="A281" s="304">
        <f>Consumption!A281</f>
        <v>41544</v>
      </c>
      <c r="B281" s="305">
        <f>Consumption!B281</f>
        <v>1.6</v>
      </c>
      <c r="C281" s="41">
        <f ca="1">Consumption!C281</f>
        <v>0.16</v>
      </c>
      <c r="D281" s="41">
        <f t="shared" si="80"/>
        <v>0.219</v>
      </c>
      <c r="E281" s="41">
        <f t="shared" ca="1" si="91"/>
        <v>-1.6400000000000212</v>
      </c>
      <c r="F281" s="306">
        <f ca="1">'Pump Main'!$M$3*1000</f>
        <v>124614.17111887744</v>
      </c>
      <c r="G281" s="41">
        <f t="shared" ca="1" si="81"/>
        <v>19938.267379020392</v>
      </c>
      <c r="H281" s="6">
        <f t="shared" ca="1" si="82"/>
        <v>33857.130023820784</v>
      </c>
      <c r="I281" s="6">
        <f t="shared" ca="1" si="92"/>
        <v>9.4047583399502184</v>
      </c>
      <c r="J281" s="6">
        <f t="shared" ca="1" si="83"/>
        <v>800</v>
      </c>
      <c r="K281" s="6">
        <f t="shared" ca="1" si="84"/>
        <v>0.8</v>
      </c>
      <c r="L281" s="6">
        <f t="shared" ca="1" si="85"/>
        <v>1.6</v>
      </c>
      <c r="M281">
        <f t="shared" ca="1" si="93"/>
        <v>444.44444444444446</v>
      </c>
      <c r="N281" s="6">
        <f t="shared" si="94"/>
        <v>1200</v>
      </c>
      <c r="O281" s="6">
        <f t="shared" ca="1" si="95"/>
        <v>1653.8492027843947</v>
      </c>
      <c r="P281">
        <f t="shared" si="96"/>
        <v>0</v>
      </c>
      <c r="Q281" s="6">
        <f t="shared" si="86"/>
        <v>0</v>
      </c>
      <c r="R281" s="296">
        <v>12.5</v>
      </c>
      <c r="S281">
        <f t="shared" si="87"/>
        <v>4760</v>
      </c>
      <c r="T281">
        <f t="shared" si="88"/>
        <v>4379.2</v>
      </c>
      <c r="U281">
        <f t="shared" ca="1" si="89"/>
        <v>0</v>
      </c>
      <c r="V281">
        <f t="shared" si="97"/>
        <v>4379.2</v>
      </c>
      <c r="W281">
        <f t="shared" ca="1" si="99"/>
        <v>1653.8492027843947</v>
      </c>
      <c r="X281">
        <f t="shared" ca="1" si="98"/>
        <v>2000</v>
      </c>
      <c r="Y281" s="297" t="str">
        <f t="shared" ca="1" si="90"/>
        <v>Yes</v>
      </c>
    </row>
    <row r="282" spans="1:25" outlineLevel="1" x14ac:dyDescent="0.75">
      <c r="A282" s="304">
        <f>Consumption!A282</f>
        <v>41545</v>
      </c>
      <c r="B282" s="305">
        <f>Consumption!B282</f>
        <v>11</v>
      </c>
      <c r="C282" s="41">
        <f ca="1">Consumption!C282</f>
        <v>1.1000000000000001</v>
      </c>
      <c r="D282" s="41">
        <f t="shared" si="80"/>
        <v>0.219</v>
      </c>
      <c r="E282" s="41">
        <f t="shared" ca="1" si="91"/>
        <v>-0.7590000000000211</v>
      </c>
      <c r="F282" s="306">
        <f ca="1">'Pump Main'!$M$3*1000</f>
        <v>124614.17111887744</v>
      </c>
      <c r="G282" s="41">
        <f t="shared" ca="1" si="81"/>
        <v>137075.58823076519</v>
      </c>
      <c r="H282" s="6">
        <f t="shared" ca="1" si="82"/>
        <v>232767.76891376788</v>
      </c>
      <c r="I282" s="6">
        <f t="shared" ca="1" si="92"/>
        <v>64.657713587157744</v>
      </c>
      <c r="J282" s="6">
        <f t="shared" ca="1" si="83"/>
        <v>5500</v>
      </c>
      <c r="K282" s="6">
        <f t="shared" ca="1" si="84"/>
        <v>5.5</v>
      </c>
      <c r="L282" s="6">
        <f t="shared" ca="1" si="85"/>
        <v>11</v>
      </c>
      <c r="M282">
        <f t="shared" ca="1" si="93"/>
        <v>3055.5555555555557</v>
      </c>
      <c r="N282" s="6">
        <f t="shared" si="94"/>
        <v>1200</v>
      </c>
      <c r="O282" s="6">
        <f t="shared" ca="1" si="95"/>
        <v>4320.2132691427132</v>
      </c>
      <c r="P282">
        <f t="shared" si="96"/>
        <v>0</v>
      </c>
      <c r="Q282" s="6">
        <f t="shared" si="86"/>
        <v>0</v>
      </c>
      <c r="R282" s="296">
        <v>12.5</v>
      </c>
      <c r="S282">
        <f t="shared" si="87"/>
        <v>4760</v>
      </c>
      <c r="T282">
        <f t="shared" si="88"/>
        <v>4379.2</v>
      </c>
      <c r="U282">
        <f t="shared" ca="1" si="89"/>
        <v>0</v>
      </c>
      <c r="V282">
        <f t="shared" si="97"/>
        <v>4379.2</v>
      </c>
      <c r="W282">
        <f t="shared" ca="1" si="99"/>
        <v>4320.2132691427132</v>
      </c>
      <c r="X282">
        <f t="shared" ca="1" si="98"/>
        <v>1703.8098446430058</v>
      </c>
      <c r="Y282" s="297" t="str">
        <f t="shared" ca="1" si="90"/>
        <v>Yes</v>
      </c>
    </row>
    <row r="283" spans="1:25" outlineLevel="1" x14ac:dyDescent="0.75">
      <c r="A283" s="304">
        <f>Consumption!A283</f>
        <v>41546</v>
      </c>
      <c r="B283" s="305">
        <f>Consumption!B283</f>
        <v>5</v>
      </c>
      <c r="C283" s="41">
        <f ca="1">Consumption!C283</f>
        <v>0.5</v>
      </c>
      <c r="D283" s="41">
        <f t="shared" si="80"/>
        <v>0.219</v>
      </c>
      <c r="E283" s="41">
        <f t="shared" ca="1" si="91"/>
        <v>-0.47800000000002107</v>
      </c>
      <c r="F283" s="306">
        <f ca="1">'Pump Main'!$M$3*1000</f>
        <v>124614.17111887744</v>
      </c>
      <c r="G283" s="41">
        <f t="shared" ca="1" si="81"/>
        <v>62307.085559438718</v>
      </c>
      <c r="H283" s="6">
        <f t="shared" ca="1" si="82"/>
        <v>105803.53132443994</v>
      </c>
      <c r="I283" s="6">
        <f t="shared" ca="1" si="92"/>
        <v>29.389869812344429</v>
      </c>
      <c r="J283" s="6">
        <f t="shared" ca="1" si="83"/>
        <v>2500</v>
      </c>
      <c r="K283" s="6">
        <f t="shared" ca="1" si="84"/>
        <v>2.5</v>
      </c>
      <c r="L283" s="6">
        <f t="shared" ca="1" si="85"/>
        <v>5</v>
      </c>
      <c r="M283">
        <f t="shared" ca="1" si="93"/>
        <v>1388.8888888888889</v>
      </c>
      <c r="N283" s="6">
        <f t="shared" si="94"/>
        <v>1200</v>
      </c>
      <c r="O283" s="6">
        <f t="shared" ca="1" si="95"/>
        <v>2618.2787587012335</v>
      </c>
      <c r="P283">
        <f t="shared" si="96"/>
        <v>0</v>
      </c>
      <c r="Q283" s="6">
        <f t="shared" si="86"/>
        <v>0</v>
      </c>
      <c r="R283" s="296">
        <v>12.5</v>
      </c>
      <c r="S283">
        <f t="shared" si="87"/>
        <v>4760</v>
      </c>
      <c r="T283">
        <f t="shared" si="88"/>
        <v>4379.2</v>
      </c>
      <c r="U283">
        <f t="shared" ca="1" si="89"/>
        <v>0</v>
      </c>
      <c r="V283">
        <f t="shared" si="97"/>
        <v>4379.2</v>
      </c>
      <c r="W283">
        <f t="shared" ca="1" si="99"/>
        <v>2618.2787587012335</v>
      </c>
      <c r="X283">
        <f t="shared" ca="1" si="98"/>
        <v>2000</v>
      </c>
      <c r="Y283" s="297" t="str">
        <f t="shared" ca="1" si="90"/>
        <v>Yes</v>
      </c>
    </row>
    <row r="284" spans="1:25" outlineLevel="1" x14ac:dyDescent="0.75">
      <c r="A284" s="304">
        <f>Consumption!A284</f>
        <v>41547</v>
      </c>
      <c r="B284" s="305">
        <f>Consumption!B284</f>
        <v>2.2000000000000002</v>
      </c>
      <c r="C284" s="41">
        <f ca="1">Consumption!C284</f>
        <v>0.22000000000000003</v>
      </c>
      <c r="D284" s="41">
        <f t="shared" si="80"/>
        <v>0.219</v>
      </c>
      <c r="E284" s="41">
        <f t="shared" ca="1" si="91"/>
        <v>-0.47700000000002107</v>
      </c>
      <c r="F284" s="306">
        <f ca="1">'Pump Main'!$M$3*1000</f>
        <v>124614.17111887744</v>
      </c>
      <c r="G284" s="41">
        <f t="shared" ca="1" si="81"/>
        <v>27415.117646153038</v>
      </c>
      <c r="H284" s="6">
        <f t="shared" ca="1" si="82"/>
        <v>46553.553782753574</v>
      </c>
      <c r="I284" s="6">
        <f t="shared" ca="1" si="92"/>
        <v>12.931542717431547</v>
      </c>
      <c r="J284" s="6">
        <f t="shared" ca="1" si="83"/>
        <v>1100</v>
      </c>
      <c r="K284" s="6">
        <f t="shared" ca="1" si="84"/>
        <v>1.1000000000000001</v>
      </c>
      <c r="L284" s="6">
        <f t="shared" ca="1" si="85"/>
        <v>2.2000000000000002</v>
      </c>
      <c r="M284">
        <f t="shared" ca="1" si="93"/>
        <v>611.11111111111109</v>
      </c>
      <c r="N284" s="6">
        <f t="shared" si="94"/>
        <v>1200</v>
      </c>
      <c r="O284" s="6">
        <f t="shared" ca="1" si="95"/>
        <v>1824.0426538285426</v>
      </c>
      <c r="P284">
        <f t="shared" si="96"/>
        <v>0</v>
      </c>
      <c r="Q284" s="6">
        <f t="shared" si="86"/>
        <v>0</v>
      </c>
      <c r="R284" s="296">
        <v>12.5</v>
      </c>
      <c r="S284">
        <f t="shared" si="87"/>
        <v>4760</v>
      </c>
      <c r="T284">
        <f t="shared" si="88"/>
        <v>4379.2</v>
      </c>
      <c r="U284">
        <f t="shared" ca="1" si="89"/>
        <v>0</v>
      </c>
      <c r="V284">
        <f t="shared" si="97"/>
        <v>4379.2</v>
      </c>
      <c r="W284">
        <f t="shared" ca="1" si="99"/>
        <v>1824.0426538285426</v>
      </c>
      <c r="X284">
        <f t="shared" ca="1" si="98"/>
        <v>2000</v>
      </c>
      <c r="Y284" s="297" t="str">
        <f t="shared" ca="1" si="90"/>
        <v>Yes</v>
      </c>
    </row>
    <row r="285" spans="1:25" outlineLevel="1" x14ac:dyDescent="0.75">
      <c r="A285" s="304">
        <f>Consumption!A285</f>
        <v>41548</v>
      </c>
      <c r="B285" s="305">
        <f>Consumption!B285</f>
        <v>0</v>
      </c>
      <c r="C285" s="41">
        <f ca="1">Consumption!C285</f>
        <v>0</v>
      </c>
      <c r="D285" s="41">
        <f t="shared" si="80"/>
        <v>0.219</v>
      </c>
      <c r="E285" s="41">
        <f t="shared" ca="1" si="91"/>
        <v>-0.69600000000002105</v>
      </c>
      <c r="F285" s="306">
        <f ca="1">'Pump Main'!$M$3*1000</f>
        <v>124614.17111887744</v>
      </c>
      <c r="G285" s="41">
        <f t="shared" ca="1" si="81"/>
        <v>0</v>
      </c>
      <c r="H285" s="6">
        <f t="shared" ca="1" si="82"/>
        <v>0</v>
      </c>
      <c r="I285" s="6">
        <f t="shared" ca="1" si="92"/>
        <v>0</v>
      </c>
      <c r="J285" s="6">
        <f t="shared" ca="1" si="83"/>
        <v>0</v>
      </c>
      <c r="K285" s="6">
        <f t="shared" ca="1" si="84"/>
        <v>0</v>
      </c>
      <c r="L285" s="6">
        <f t="shared" ca="1" si="85"/>
        <v>0</v>
      </c>
      <c r="M285">
        <f t="shared" ca="1" si="93"/>
        <v>0</v>
      </c>
      <c r="N285" s="6">
        <f t="shared" si="94"/>
        <v>1200</v>
      </c>
      <c r="O285" s="6">
        <f t="shared" ca="1" si="95"/>
        <v>1200</v>
      </c>
      <c r="P285">
        <f t="shared" si="96"/>
        <v>0</v>
      </c>
      <c r="Q285" s="6">
        <f t="shared" si="86"/>
        <v>0</v>
      </c>
      <c r="R285" s="296">
        <v>10.75</v>
      </c>
      <c r="S285">
        <f t="shared" si="87"/>
        <v>4093.6000000000004</v>
      </c>
      <c r="T285">
        <f t="shared" si="88"/>
        <v>3766.1120000000005</v>
      </c>
      <c r="U285">
        <f t="shared" ca="1" si="89"/>
        <v>0</v>
      </c>
      <c r="V285">
        <f t="shared" si="97"/>
        <v>3766.1120000000005</v>
      </c>
      <c r="W285">
        <f t="shared" ca="1" si="99"/>
        <v>1200</v>
      </c>
      <c r="X285">
        <f t="shared" ca="1" si="98"/>
        <v>2000</v>
      </c>
      <c r="Y285" s="297" t="str">
        <f t="shared" ca="1" si="90"/>
        <v>Yes</v>
      </c>
    </row>
    <row r="286" spans="1:25" outlineLevel="1" x14ac:dyDescent="0.75">
      <c r="A286" s="304">
        <f>Consumption!A286</f>
        <v>41549</v>
      </c>
      <c r="B286" s="305">
        <f>Consumption!B286</f>
        <v>0</v>
      </c>
      <c r="C286" s="41">
        <f ca="1">Consumption!C286</f>
        <v>0</v>
      </c>
      <c r="D286" s="41">
        <f t="shared" si="80"/>
        <v>0.219</v>
      </c>
      <c r="E286" s="41">
        <f t="shared" ca="1" si="91"/>
        <v>-0.91500000000002102</v>
      </c>
      <c r="F286" s="306">
        <f ca="1">'Pump Main'!$M$3*1000</f>
        <v>124614.17111887744</v>
      </c>
      <c r="G286" s="41">
        <f t="shared" ca="1" si="81"/>
        <v>0</v>
      </c>
      <c r="H286" s="6">
        <f t="shared" ca="1" si="82"/>
        <v>0</v>
      </c>
      <c r="I286" s="6">
        <f t="shared" ca="1" si="92"/>
        <v>0</v>
      </c>
      <c r="J286" s="6">
        <f t="shared" ca="1" si="83"/>
        <v>0</v>
      </c>
      <c r="K286" s="6">
        <f t="shared" ca="1" si="84"/>
        <v>0</v>
      </c>
      <c r="L286" s="6">
        <f t="shared" ca="1" si="85"/>
        <v>0</v>
      </c>
      <c r="M286">
        <f t="shared" ca="1" si="93"/>
        <v>0</v>
      </c>
      <c r="N286" s="6">
        <f t="shared" si="94"/>
        <v>1200</v>
      </c>
      <c r="O286" s="6">
        <f t="shared" ca="1" si="95"/>
        <v>1200</v>
      </c>
      <c r="P286">
        <f t="shared" si="96"/>
        <v>0</v>
      </c>
      <c r="Q286" s="6">
        <f t="shared" si="86"/>
        <v>0</v>
      </c>
      <c r="R286" s="296">
        <v>10.75</v>
      </c>
      <c r="S286">
        <f t="shared" si="87"/>
        <v>4093.6000000000004</v>
      </c>
      <c r="T286">
        <f t="shared" si="88"/>
        <v>3766.1120000000005</v>
      </c>
      <c r="U286">
        <f t="shared" ca="1" si="89"/>
        <v>0</v>
      </c>
      <c r="V286">
        <f t="shared" si="97"/>
        <v>3766.1120000000005</v>
      </c>
      <c r="W286">
        <f t="shared" ca="1" si="99"/>
        <v>1200</v>
      </c>
      <c r="X286">
        <f t="shared" ca="1" si="98"/>
        <v>2000</v>
      </c>
      <c r="Y286" s="297" t="str">
        <f t="shared" ca="1" si="90"/>
        <v>Yes</v>
      </c>
    </row>
    <row r="287" spans="1:25" outlineLevel="1" x14ac:dyDescent="0.75">
      <c r="A287" s="304">
        <f>Consumption!A287</f>
        <v>41550</v>
      </c>
      <c r="B287" s="305">
        <f>Consumption!B287</f>
        <v>1.2</v>
      </c>
      <c r="C287" s="41">
        <f ca="1">Consumption!C287</f>
        <v>0.12</v>
      </c>
      <c r="D287" s="41">
        <f t="shared" si="80"/>
        <v>0.219</v>
      </c>
      <c r="E287" s="41">
        <f t="shared" ca="1" si="91"/>
        <v>-1.0140000000000211</v>
      </c>
      <c r="F287" s="306">
        <f ca="1">'Pump Main'!$M$3*1000</f>
        <v>124614.17111887744</v>
      </c>
      <c r="G287" s="41">
        <f t="shared" ca="1" si="81"/>
        <v>14953.700534265292</v>
      </c>
      <c r="H287" s="6">
        <f t="shared" ca="1" si="82"/>
        <v>25392.847517865586</v>
      </c>
      <c r="I287" s="6">
        <f t="shared" ca="1" si="92"/>
        <v>7.0535687549626624</v>
      </c>
      <c r="J287" s="6">
        <f t="shared" ca="1" si="83"/>
        <v>600</v>
      </c>
      <c r="K287" s="6">
        <f t="shared" ca="1" si="84"/>
        <v>0.6</v>
      </c>
      <c r="L287" s="6">
        <f t="shared" ca="1" si="85"/>
        <v>1.2</v>
      </c>
      <c r="M287">
        <f t="shared" ca="1" si="93"/>
        <v>333.33333333333331</v>
      </c>
      <c r="N287" s="6">
        <f t="shared" si="94"/>
        <v>1200</v>
      </c>
      <c r="O287" s="6">
        <f t="shared" ca="1" si="95"/>
        <v>1540.386902088296</v>
      </c>
      <c r="P287">
        <f t="shared" si="96"/>
        <v>0</v>
      </c>
      <c r="Q287" s="6">
        <f t="shared" si="86"/>
        <v>0</v>
      </c>
      <c r="R287" s="296">
        <v>10.75</v>
      </c>
      <c r="S287">
        <f t="shared" si="87"/>
        <v>4093.6000000000004</v>
      </c>
      <c r="T287">
        <f t="shared" si="88"/>
        <v>3766.1120000000005</v>
      </c>
      <c r="U287">
        <f t="shared" ca="1" si="89"/>
        <v>0</v>
      </c>
      <c r="V287">
        <f t="shared" si="97"/>
        <v>3766.1120000000005</v>
      </c>
      <c r="W287">
        <f t="shared" ca="1" si="99"/>
        <v>1540.386902088296</v>
      </c>
      <c r="X287">
        <f t="shared" ca="1" si="98"/>
        <v>2000</v>
      </c>
      <c r="Y287" s="297" t="str">
        <f t="shared" ca="1" si="90"/>
        <v>Yes</v>
      </c>
    </row>
    <row r="288" spans="1:25" outlineLevel="1" x14ac:dyDescent="0.75">
      <c r="A288" s="304">
        <f>Consumption!A288</f>
        <v>41551</v>
      </c>
      <c r="B288" s="305">
        <f>Consumption!B288</f>
        <v>28.4</v>
      </c>
      <c r="C288" s="41">
        <f ca="1">Consumption!C288</f>
        <v>2.5</v>
      </c>
      <c r="D288" s="41">
        <f t="shared" si="80"/>
        <v>0.219</v>
      </c>
      <c r="E288" s="41">
        <f t="shared" ca="1" si="91"/>
        <v>1.2669999999999788</v>
      </c>
      <c r="F288" s="306">
        <f ca="1">'Pump Main'!$M$3*1000</f>
        <v>124614.17111887744</v>
      </c>
      <c r="G288" s="41">
        <f t="shared" ca="1" si="81"/>
        <v>311535.42779719358</v>
      </c>
      <c r="H288" s="6">
        <f t="shared" ca="1" si="82"/>
        <v>529017.65662219969</v>
      </c>
      <c r="I288" s="6">
        <f t="shared" ca="1" si="92"/>
        <v>146.94934906172213</v>
      </c>
      <c r="J288" s="6">
        <f t="shared" ca="1" si="83"/>
        <v>12500</v>
      </c>
      <c r="K288" s="6">
        <f t="shared" ca="1" si="84"/>
        <v>12.5</v>
      </c>
      <c r="L288" s="6">
        <f t="shared" ca="1" si="85"/>
        <v>25</v>
      </c>
      <c r="M288">
        <f t="shared" ca="1" si="93"/>
        <v>6944.4444444444443</v>
      </c>
      <c r="N288" s="6">
        <f t="shared" si="94"/>
        <v>1200</v>
      </c>
      <c r="O288" s="6">
        <f t="shared" ca="1" si="95"/>
        <v>8291.3937935061658</v>
      </c>
      <c r="P288">
        <f t="shared" si="96"/>
        <v>0</v>
      </c>
      <c r="Q288" s="6">
        <f t="shared" si="86"/>
        <v>0</v>
      </c>
      <c r="R288" s="296">
        <v>10.75</v>
      </c>
      <c r="S288">
        <f t="shared" si="87"/>
        <v>4093.6000000000004</v>
      </c>
      <c r="T288">
        <f t="shared" si="88"/>
        <v>3766.1120000000005</v>
      </c>
      <c r="U288">
        <f t="shared" ca="1" si="89"/>
        <v>0</v>
      </c>
      <c r="V288">
        <f t="shared" si="97"/>
        <v>3766.1120000000005</v>
      </c>
      <c r="W288">
        <f t="shared" ca="1" si="99"/>
        <v>5390.8488191999995</v>
      </c>
      <c r="X288">
        <f t="shared" ca="1" si="98"/>
        <v>0</v>
      </c>
      <c r="Y288" s="297" t="str">
        <f t="shared" ca="1" si="90"/>
        <v>No</v>
      </c>
    </row>
    <row r="289" spans="1:25" outlineLevel="1" x14ac:dyDescent="0.75">
      <c r="A289" s="304">
        <f>Consumption!A289</f>
        <v>41552</v>
      </c>
      <c r="B289" s="305">
        <f>Consumption!B289</f>
        <v>26</v>
      </c>
      <c r="C289" s="41">
        <f ca="1">Consumption!C289</f>
        <v>2.5</v>
      </c>
      <c r="D289" s="41">
        <f t="shared" si="80"/>
        <v>0.219</v>
      </c>
      <c r="E289" s="41">
        <f t="shared" ca="1" si="91"/>
        <v>3.5479999999999792</v>
      </c>
      <c r="F289" s="306">
        <f ca="1">'Pump Main'!$M$3*1000</f>
        <v>124614.17111887744</v>
      </c>
      <c r="G289" s="41">
        <f t="shared" ca="1" si="81"/>
        <v>311535.42779719358</v>
      </c>
      <c r="H289" s="6">
        <f t="shared" ca="1" si="82"/>
        <v>529017.65662219969</v>
      </c>
      <c r="I289" s="6">
        <f t="shared" ca="1" si="92"/>
        <v>146.94934906172213</v>
      </c>
      <c r="J289" s="6">
        <f t="shared" ca="1" si="83"/>
        <v>12500</v>
      </c>
      <c r="K289" s="6">
        <f t="shared" ca="1" si="84"/>
        <v>12.5</v>
      </c>
      <c r="L289" s="6">
        <f t="shared" ca="1" si="85"/>
        <v>25</v>
      </c>
      <c r="M289">
        <f t="shared" ca="1" si="93"/>
        <v>6944.4444444444443</v>
      </c>
      <c r="N289" s="6">
        <f t="shared" si="94"/>
        <v>1200</v>
      </c>
      <c r="O289" s="6">
        <f t="shared" ca="1" si="95"/>
        <v>8291.3937935061658</v>
      </c>
      <c r="P289">
        <f t="shared" si="96"/>
        <v>0</v>
      </c>
      <c r="Q289" s="6">
        <f t="shared" si="86"/>
        <v>0</v>
      </c>
      <c r="R289" s="296">
        <v>10.75</v>
      </c>
      <c r="S289">
        <f t="shared" si="87"/>
        <v>4093.6000000000004</v>
      </c>
      <c r="T289">
        <f t="shared" si="88"/>
        <v>3766.1120000000005</v>
      </c>
      <c r="U289">
        <f t="shared" ca="1" si="89"/>
        <v>0</v>
      </c>
      <c r="V289">
        <f t="shared" si="97"/>
        <v>3766.1120000000005</v>
      </c>
      <c r="W289">
        <f t="shared" ca="1" si="99"/>
        <v>3470.8488192000004</v>
      </c>
      <c r="X289">
        <f t="shared" ca="1" si="98"/>
        <v>0</v>
      </c>
      <c r="Y289" s="297" t="str">
        <f t="shared" ca="1" si="90"/>
        <v>No</v>
      </c>
    </row>
    <row r="290" spans="1:25" outlineLevel="1" x14ac:dyDescent="0.75">
      <c r="A290" s="304">
        <f>Consumption!A290</f>
        <v>41553</v>
      </c>
      <c r="B290" s="305">
        <f>Consumption!B290</f>
        <v>8.8000000000000007</v>
      </c>
      <c r="C290" s="41">
        <f ca="1">Consumption!C290</f>
        <v>0.88000000000000012</v>
      </c>
      <c r="D290" s="41">
        <f t="shared" si="80"/>
        <v>0.219</v>
      </c>
      <c r="E290" s="41">
        <f t="shared" ca="1" si="91"/>
        <v>4.2089999999999792</v>
      </c>
      <c r="F290" s="306">
        <f ca="1">'Pump Main'!$M$3*1000</f>
        <v>124614.17111887744</v>
      </c>
      <c r="G290" s="41">
        <f t="shared" ca="1" si="81"/>
        <v>109660.47058461215</v>
      </c>
      <c r="H290" s="6">
        <f t="shared" ca="1" si="82"/>
        <v>186214.21513101429</v>
      </c>
      <c r="I290" s="6">
        <f t="shared" ca="1" si="92"/>
        <v>51.726170869726189</v>
      </c>
      <c r="J290" s="6">
        <f t="shared" ca="1" si="83"/>
        <v>4400</v>
      </c>
      <c r="K290" s="6">
        <f t="shared" ca="1" si="84"/>
        <v>4.4000000000000004</v>
      </c>
      <c r="L290" s="6">
        <f t="shared" ca="1" si="85"/>
        <v>8.8000000000000007</v>
      </c>
      <c r="M290">
        <f t="shared" ca="1" si="93"/>
        <v>2444.4444444444443</v>
      </c>
      <c r="N290" s="6">
        <f t="shared" si="94"/>
        <v>1200</v>
      </c>
      <c r="O290" s="6">
        <f t="shared" ca="1" si="95"/>
        <v>3696.1706153141704</v>
      </c>
      <c r="P290">
        <f t="shared" si="96"/>
        <v>0</v>
      </c>
      <c r="Q290" s="6">
        <f t="shared" si="86"/>
        <v>0</v>
      </c>
      <c r="R290" s="296">
        <v>10.75</v>
      </c>
      <c r="S290">
        <f t="shared" si="87"/>
        <v>4093.6000000000004</v>
      </c>
      <c r="T290">
        <f t="shared" si="88"/>
        <v>3766.1120000000005</v>
      </c>
      <c r="U290">
        <f t="shared" ca="1" si="89"/>
        <v>0</v>
      </c>
      <c r="V290">
        <f t="shared" si="97"/>
        <v>3766.1120000000005</v>
      </c>
      <c r="W290">
        <f t="shared" ca="1" si="99"/>
        <v>3470.8488192000004</v>
      </c>
      <c r="X290">
        <f t="shared" ca="1" si="98"/>
        <v>0</v>
      </c>
      <c r="Y290" s="297" t="str">
        <f t="shared" ca="1" si="90"/>
        <v>No</v>
      </c>
    </row>
    <row r="291" spans="1:25" outlineLevel="1" x14ac:dyDescent="0.75">
      <c r="A291" s="304">
        <f>Consumption!A291</f>
        <v>41554</v>
      </c>
      <c r="B291" s="305">
        <f>Consumption!B291</f>
        <v>10.6</v>
      </c>
      <c r="C291" s="41">
        <f ca="1">Consumption!C291</f>
        <v>1.06</v>
      </c>
      <c r="D291" s="41">
        <f t="shared" si="80"/>
        <v>0.219</v>
      </c>
      <c r="E291" s="41">
        <f t="shared" ca="1" si="91"/>
        <v>5.0499999999999785</v>
      </c>
      <c r="F291" s="306">
        <f ca="1">'Pump Main'!$M$3*1000</f>
        <v>124614.17111887744</v>
      </c>
      <c r="G291" s="41">
        <f t="shared" ca="1" si="81"/>
        <v>132091.02138601008</v>
      </c>
      <c r="H291" s="6">
        <f t="shared" ca="1" si="82"/>
        <v>224303.48640781266</v>
      </c>
      <c r="I291" s="6">
        <f t="shared" ca="1" si="92"/>
        <v>62.306524002170185</v>
      </c>
      <c r="J291" s="6">
        <f t="shared" ca="1" si="83"/>
        <v>5300.0000000000009</v>
      </c>
      <c r="K291" s="6">
        <f t="shared" ca="1" si="84"/>
        <v>5.3000000000000007</v>
      </c>
      <c r="L291" s="6">
        <f t="shared" ca="1" si="85"/>
        <v>10.600000000000001</v>
      </c>
      <c r="M291">
        <f t="shared" ca="1" si="93"/>
        <v>2944.4444444444448</v>
      </c>
      <c r="N291" s="6">
        <f t="shared" si="94"/>
        <v>1200</v>
      </c>
      <c r="O291" s="6">
        <f t="shared" ca="1" si="95"/>
        <v>4206.7509684466149</v>
      </c>
      <c r="P291">
        <f t="shared" si="96"/>
        <v>0</v>
      </c>
      <c r="Q291" s="6">
        <f t="shared" si="86"/>
        <v>0</v>
      </c>
      <c r="R291" s="296">
        <v>10.75</v>
      </c>
      <c r="S291">
        <f t="shared" si="87"/>
        <v>4093.6000000000004</v>
      </c>
      <c r="T291">
        <f t="shared" si="88"/>
        <v>3766.1120000000005</v>
      </c>
      <c r="U291">
        <f t="shared" ca="1" si="89"/>
        <v>0</v>
      </c>
      <c r="V291">
        <f t="shared" si="97"/>
        <v>3766.1120000000005</v>
      </c>
      <c r="W291">
        <f t="shared" ca="1" si="99"/>
        <v>3470.8488192000004</v>
      </c>
      <c r="X291">
        <f t="shared" ca="1" si="98"/>
        <v>0</v>
      </c>
      <c r="Y291" s="297" t="str">
        <f t="shared" ca="1" si="90"/>
        <v>No</v>
      </c>
    </row>
    <row r="292" spans="1:25" outlineLevel="1" x14ac:dyDescent="0.75">
      <c r="A292" s="304">
        <f>Consumption!A292</f>
        <v>41555</v>
      </c>
      <c r="B292" s="305">
        <f>Consumption!B292</f>
        <v>0</v>
      </c>
      <c r="C292" s="41">
        <f ca="1">Consumption!C292</f>
        <v>0</v>
      </c>
      <c r="D292" s="41">
        <f t="shared" si="80"/>
        <v>0.219</v>
      </c>
      <c r="E292" s="41">
        <f t="shared" ca="1" si="91"/>
        <v>4.8309999999999782</v>
      </c>
      <c r="F292" s="306">
        <f ca="1">'Pump Main'!$M$3*1000</f>
        <v>124614.17111887744</v>
      </c>
      <c r="G292" s="41">
        <f t="shared" ca="1" si="81"/>
        <v>0</v>
      </c>
      <c r="H292" s="6">
        <f t="shared" ca="1" si="82"/>
        <v>0</v>
      </c>
      <c r="I292" s="6">
        <f t="shared" ca="1" si="92"/>
        <v>0</v>
      </c>
      <c r="J292" s="6">
        <f t="shared" ca="1" si="83"/>
        <v>0</v>
      </c>
      <c r="K292" s="6">
        <f t="shared" ca="1" si="84"/>
        <v>0</v>
      </c>
      <c r="L292" s="6">
        <f t="shared" ca="1" si="85"/>
        <v>0</v>
      </c>
      <c r="M292">
        <f t="shared" ca="1" si="93"/>
        <v>0</v>
      </c>
      <c r="N292" s="6">
        <f t="shared" si="94"/>
        <v>1200</v>
      </c>
      <c r="O292" s="6">
        <f t="shared" ca="1" si="95"/>
        <v>1200</v>
      </c>
      <c r="P292">
        <f t="shared" si="96"/>
        <v>0</v>
      </c>
      <c r="Q292" s="6">
        <f t="shared" si="86"/>
        <v>0</v>
      </c>
      <c r="R292" s="296">
        <v>10.75</v>
      </c>
      <c r="S292">
        <f t="shared" si="87"/>
        <v>4093.6000000000004</v>
      </c>
      <c r="T292">
        <f t="shared" si="88"/>
        <v>3766.1120000000005</v>
      </c>
      <c r="U292">
        <f t="shared" ca="1" si="89"/>
        <v>0</v>
      </c>
      <c r="V292">
        <f t="shared" si="97"/>
        <v>3766.1120000000005</v>
      </c>
      <c r="W292">
        <f t="shared" ca="1" si="99"/>
        <v>1200</v>
      </c>
      <c r="X292">
        <f t="shared" ca="1" si="98"/>
        <v>2000</v>
      </c>
      <c r="Y292" s="297" t="str">
        <f t="shared" ca="1" si="90"/>
        <v>Yes</v>
      </c>
    </row>
    <row r="293" spans="1:25" outlineLevel="1" x14ac:dyDescent="0.75">
      <c r="A293" s="304">
        <f>Consumption!A293</f>
        <v>41556</v>
      </c>
      <c r="B293" s="305">
        <f>Consumption!B293</f>
        <v>1.2</v>
      </c>
      <c r="C293" s="41">
        <f ca="1">Consumption!C293</f>
        <v>0.12</v>
      </c>
      <c r="D293" s="41">
        <f t="shared" si="80"/>
        <v>0.219</v>
      </c>
      <c r="E293" s="41">
        <f t="shared" ca="1" si="91"/>
        <v>4.731999999999978</v>
      </c>
      <c r="F293" s="306">
        <f ca="1">'Pump Main'!$M$3*1000</f>
        <v>124614.17111887744</v>
      </c>
      <c r="G293" s="41">
        <f t="shared" ca="1" si="81"/>
        <v>14953.700534265292</v>
      </c>
      <c r="H293" s="6">
        <f t="shared" ca="1" si="82"/>
        <v>25392.847517865586</v>
      </c>
      <c r="I293" s="6">
        <f t="shared" ca="1" si="92"/>
        <v>7.0535687549626624</v>
      </c>
      <c r="J293" s="6">
        <f t="shared" ca="1" si="83"/>
        <v>600</v>
      </c>
      <c r="K293" s="6">
        <f t="shared" ca="1" si="84"/>
        <v>0.6</v>
      </c>
      <c r="L293" s="6">
        <f t="shared" ca="1" si="85"/>
        <v>1.2</v>
      </c>
      <c r="M293">
        <f t="shared" ca="1" si="93"/>
        <v>333.33333333333331</v>
      </c>
      <c r="N293" s="6">
        <f t="shared" si="94"/>
        <v>1200</v>
      </c>
      <c r="O293" s="6">
        <f t="shared" ca="1" si="95"/>
        <v>1540.386902088296</v>
      </c>
      <c r="P293">
        <f t="shared" si="96"/>
        <v>0</v>
      </c>
      <c r="Q293" s="6">
        <f t="shared" si="86"/>
        <v>0</v>
      </c>
      <c r="R293" s="296">
        <v>10.75</v>
      </c>
      <c r="S293">
        <f t="shared" si="87"/>
        <v>4093.6000000000004</v>
      </c>
      <c r="T293">
        <f t="shared" si="88"/>
        <v>3766.1120000000005</v>
      </c>
      <c r="U293">
        <f t="shared" ca="1" si="89"/>
        <v>0</v>
      </c>
      <c r="V293">
        <f t="shared" si="97"/>
        <v>3766.1120000000005</v>
      </c>
      <c r="W293">
        <f t="shared" ca="1" si="99"/>
        <v>1540.386902088296</v>
      </c>
      <c r="X293">
        <f t="shared" ca="1" si="98"/>
        <v>2000</v>
      </c>
      <c r="Y293" s="297" t="str">
        <f t="shared" ca="1" si="90"/>
        <v>Yes</v>
      </c>
    </row>
    <row r="294" spans="1:25" outlineLevel="1" x14ac:dyDescent="0.75">
      <c r="A294" s="304">
        <f>Consumption!A294</f>
        <v>41557</v>
      </c>
      <c r="B294" s="305">
        <f>Consumption!B294</f>
        <v>0</v>
      </c>
      <c r="C294" s="41">
        <f ca="1">Consumption!C294</f>
        <v>0</v>
      </c>
      <c r="D294" s="41">
        <f t="shared" si="80"/>
        <v>0.219</v>
      </c>
      <c r="E294" s="41">
        <f t="shared" ca="1" si="91"/>
        <v>4.5129999999999777</v>
      </c>
      <c r="F294" s="306">
        <f ca="1">'Pump Main'!$M$3*1000</f>
        <v>124614.17111887744</v>
      </c>
      <c r="G294" s="41">
        <f t="shared" ca="1" si="81"/>
        <v>0</v>
      </c>
      <c r="H294" s="6">
        <f t="shared" ca="1" si="82"/>
        <v>0</v>
      </c>
      <c r="I294" s="6">
        <f t="shared" ca="1" si="92"/>
        <v>0</v>
      </c>
      <c r="J294" s="6">
        <f t="shared" ca="1" si="83"/>
        <v>0</v>
      </c>
      <c r="K294" s="6">
        <f t="shared" ca="1" si="84"/>
        <v>0</v>
      </c>
      <c r="L294" s="6">
        <f t="shared" ca="1" si="85"/>
        <v>0</v>
      </c>
      <c r="M294">
        <f t="shared" ca="1" si="93"/>
        <v>0</v>
      </c>
      <c r="N294" s="6">
        <f t="shared" si="94"/>
        <v>1200</v>
      </c>
      <c r="O294" s="6">
        <f t="shared" ca="1" si="95"/>
        <v>1200</v>
      </c>
      <c r="P294">
        <f t="shared" si="96"/>
        <v>0</v>
      </c>
      <c r="Q294" s="6">
        <f t="shared" si="86"/>
        <v>0</v>
      </c>
      <c r="R294" s="296">
        <v>10.75</v>
      </c>
      <c r="S294">
        <f t="shared" si="87"/>
        <v>4093.6000000000004</v>
      </c>
      <c r="T294">
        <f t="shared" si="88"/>
        <v>3766.1120000000005</v>
      </c>
      <c r="U294">
        <f t="shared" ca="1" si="89"/>
        <v>0</v>
      </c>
      <c r="V294">
        <f t="shared" si="97"/>
        <v>3766.1120000000005</v>
      </c>
      <c r="W294">
        <f t="shared" ca="1" si="99"/>
        <v>1200</v>
      </c>
      <c r="X294">
        <f t="shared" ca="1" si="98"/>
        <v>2000</v>
      </c>
      <c r="Y294" s="297" t="str">
        <f t="shared" ca="1" si="90"/>
        <v>Yes</v>
      </c>
    </row>
    <row r="295" spans="1:25" outlineLevel="1" x14ac:dyDescent="0.75">
      <c r="A295" s="304">
        <f>Consumption!A295</f>
        <v>41558</v>
      </c>
      <c r="B295" s="305">
        <f>Consumption!B295</f>
        <v>0</v>
      </c>
      <c r="C295" s="41">
        <f ca="1">Consumption!C295</f>
        <v>0</v>
      </c>
      <c r="D295" s="41">
        <f t="shared" si="80"/>
        <v>0.219</v>
      </c>
      <c r="E295" s="41">
        <f t="shared" ca="1" si="91"/>
        <v>4.2939999999999774</v>
      </c>
      <c r="F295" s="306">
        <f ca="1">'Pump Main'!$M$3*1000</f>
        <v>124614.17111887744</v>
      </c>
      <c r="G295" s="41">
        <f t="shared" ca="1" si="81"/>
        <v>0</v>
      </c>
      <c r="H295" s="6">
        <f t="shared" ca="1" si="82"/>
        <v>0</v>
      </c>
      <c r="I295" s="6">
        <f t="shared" ca="1" si="92"/>
        <v>0</v>
      </c>
      <c r="J295" s="6">
        <f t="shared" ca="1" si="83"/>
        <v>0</v>
      </c>
      <c r="K295" s="6">
        <f t="shared" ca="1" si="84"/>
        <v>0</v>
      </c>
      <c r="L295" s="6">
        <f t="shared" ca="1" si="85"/>
        <v>0</v>
      </c>
      <c r="M295">
        <f t="shared" ca="1" si="93"/>
        <v>0</v>
      </c>
      <c r="N295" s="6">
        <f t="shared" si="94"/>
        <v>1200</v>
      </c>
      <c r="O295" s="6">
        <f t="shared" ca="1" si="95"/>
        <v>1200</v>
      </c>
      <c r="P295">
        <f t="shared" si="96"/>
        <v>0</v>
      </c>
      <c r="Q295" s="6">
        <f t="shared" si="86"/>
        <v>0</v>
      </c>
      <c r="R295" s="296">
        <v>10.75</v>
      </c>
      <c r="S295">
        <f t="shared" si="87"/>
        <v>4093.6000000000004</v>
      </c>
      <c r="T295">
        <f t="shared" si="88"/>
        <v>3766.1120000000005</v>
      </c>
      <c r="U295">
        <f t="shared" ca="1" si="89"/>
        <v>0</v>
      </c>
      <c r="V295">
        <f t="shared" si="97"/>
        <v>3766.1120000000005</v>
      </c>
      <c r="W295">
        <f t="shared" ca="1" si="99"/>
        <v>1200</v>
      </c>
      <c r="X295">
        <f t="shared" ca="1" si="98"/>
        <v>2000</v>
      </c>
      <c r="Y295" s="297" t="str">
        <f t="shared" ca="1" si="90"/>
        <v>Yes</v>
      </c>
    </row>
    <row r="296" spans="1:25" outlineLevel="1" x14ac:dyDescent="0.75">
      <c r="A296" s="304">
        <f>Consumption!A296</f>
        <v>41559</v>
      </c>
      <c r="B296" s="305">
        <f>Consumption!B296</f>
        <v>0</v>
      </c>
      <c r="C296" s="41">
        <f ca="1">Consumption!C296</f>
        <v>0</v>
      </c>
      <c r="D296" s="41">
        <f t="shared" si="80"/>
        <v>0.219</v>
      </c>
      <c r="E296" s="41">
        <f t="shared" ca="1" si="91"/>
        <v>4.0749999999999771</v>
      </c>
      <c r="F296" s="306">
        <f ca="1">'Pump Main'!$M$3*1000</f>
        <v>124614.17111887744</v>
      </c>
      <c r="G296" s="41">
        <f t="shared" ca="1" si="81"/>
        <v>0</v>
      </c>
      <c r="H296" s="6">
        <f t="shared" ca="1" si="82"/>
        <v>0</v>
      </c>
      <c r="I296" s="6">
        <f t="shared" ca="1" si="92"/>
        <v>0</v>
      </c>
      <c r="J296" s="6">
        <f t="shared" ca="1" si="83"/>
        <v>0</v>
      </c>
      <c r="K296" s="6">
        <f t="shared" ca="1" si="84"/>
        <v>0</v>
      </c>
      <c r="L296" s="6">
        <f t="shared" ca="1" si="85"/>
        <v>0</v>
      </c>
      <c r="M296">
        <f t="shared" ca="1" si="93"/>
        <v>0</v>
      </c>
      <c r="N296" s="6">
        <f t="shared" si="94"/>
        <v>1200</v>
      </c>
      <c r="O296" s="6">
        <f t="shared" ca="1" si="95"/>
        <v>1200</v>
      </c>
      <c r="P296">
        <f t="shared" si="96"/>
        <v>0</v>
      </c>
      <c r="Q296" s="6">
        <f t="shared" si="86"/>
        <v>0</v>
      </c>
      <c r="R296" s="296">
        <v>10.75</v>
      </c>
      <c r="S296">
        <f t="shared" si="87"/>
        <v>4093.6000000000004</v>
      </c>
      <c r="T296">
        <f t="shared" si="88"/>
        <v>3766.1120000000005</v>
      </c>
      <c r="U296">
        <f t="shared" ca="1" si="89"/>
        <v>0</v>
      </c>
      <c r="V296">
        <f t="shared" si="97"/>
        <v>3766.1120000000005</v>
      </c>
      <c r="W296">
        <f t="shared" ca="1" si="99"/>
        <v>1200</v>
      </c>
      <c r="X296">
        <f t="shared" ca="1" si="98"/>
        <v>2000</v>
      </c>
      <c r="Y296" s="297" t="str">
        <f t="shared" ca="1" si="90"/>
        <v>Yes</v>
      </c>
    </row>
    <row r="297" spans="1:25" outlineLevel="1" x14ac:dyDescent="0.75">
      <c r="A297" s="304">
        <f>Consumption!A297</f>
        <v>41560</v>
      </c>
      <c r="B297" s="305">
        <f>Consumption!B297</f>
        <v>0</v>
      </c>
      <c r="C297" s="41">
        <f ca="1">Consumption!C297</f>
        <v>0</v>
      </c>
      <c r="D297" s="41">
        <f t="shared" si="80"/>
        <v>0.219</v>
      </c>
      <c r="E297" s="41">
        <f t="shared" ca="1" si="91"/>
        <v>3.8559999999999772</v>
      </c>
      <c r="F297" s="306">
        <f ca="1">'Pump Main'!$M$3*1000</f>
        <v>124614.17111887744</v>
      </c>
      <c r="G297" s="41">
        <f t="shared" ca="1" si="81"/>
        <v>0</v>
      </c>
      <c r="H297" s="6">
        <f t="shared" ca="1" si="82"/>
        <v>0</v>
      </c>
      <c r="I297" s="6">
        <f t="shared" ca="1" si="92"/>
        <v>0</v>
      </c>
      <c r="J297" s="6">
        <f t="shared" ca="1" si="83"/>
        <v>0</v>
      </c>
      <c r="K297" s="6">
        <f t="shared" ca="1" si="84"/>
        <v>0</v>
      </c>
      <c r="L297" s="6">
        <f t="shared" ca="1" si="85"/>
        <v>0</v>
      </c>
      <c r="M297">
        <f t="shared" ca="1" si="93"/>
        <v>0</v>
      </c>
      <c r="N297" s="6">
        <f t="shared" si="94"/>
        <v>1200</v>
      </c>
      <c r="O297" s="6">
        <f t="shared" ca="1" si="95"/>
        <v>1200</v>
      </c>
      <c r="P297">
        <f t="shared" si="96"/>
        <v>0</v>
      </c>
      <c r="Q297" s="6">
        <f t="shared" si="86"/>
        <v>0</v>
      </c>
      <c r="R297" s="296">
        <v>10.75</v>
      </c>
      <c r="S297">
        <f t="shared" si="87"/>
        <v>4093.6000000000004</v>
      </c>
      <c r="T297">
        <f t="shared" si="88"/>
        <v>3766.1120000000005</v>
      </c>
      <c r="U297">
        <f t="shared" ca="1" si="89"/>
        <v>0</v>
      </c>
      <c r="V297">
        <f t="shared" si="97"/>
        <v>3766.1120000000005</v>
      </c>
      <c r="W297">
        <f t="shared" ca="1" si="99"/>
        <v>1200</v>
      </c>
      <c r="X297">
        <f t="shared" ca="1" si="98"/>
        <v>2000</v>
      </c>
      <c r="Y297" s="297" t="str">
        <f t="shared" ca="1" si="90"/>
        <v>Yes</v>
      </c>
    </row>
    <row r="298" spans="1:25" outlineLevel="1" x14ac:dyDescent="0.75">
      <c r="A298" s="304">
        <f>Consumption!A298</f>
        <v>41561</v>
      </c>
      <c r="B298" s="305">
        <f>Consumption!B298</f>
        <v>0</v>
      </c>
      <c r="C298" s="41">
        <f ca="1">Consumption!C298</f>
        <v>0</v>
      </c>
      <c r="D298" s="41">
        <f t="shared" si="80"/>
        <v>0.219</v>
      </c>
      <c r="E298" s="41">
        <f t="shared" ca="1" si="91"/>
        <v>3.6369999999999774</v>
      </c>
      <c r="F298" s="306">
        <f ca="1">'Pump Main'!$M$3*1000</f>
        <v>124614.17111887744</v>
      </c>
      <c r="G298" s="41">
        <f t="shared" ca="1" si="81"/>
        <v>0</v>
      </c>
      <c r="H298" s="6">
        <f t="shared" ca="1" si="82"/>
        <v>0</v>
      </c>
      <c r="I298" s="6">
        <f t="shared" ca="1" si="92"/>
        <v>0</v>
      </c>
      <c r="J298" s="6">
        <f t="shared" ca="1" si="83"/>
        <v>0</v>
      </c>
      <c r="K298" s="6">
        <f t="shared" ca="1" si="84"/>
        <v>0</v>
      </c>
      <c r="L298" s="6">
        <f t="shared" ca="1" si="85"/>
        <v>0</v>
      </c>
      <c r="M298">
        <f t="shared" ca="1" si="93"/>
        <v>0</v>
      </c>
      <c r="N298" s="6">
        <f t="shared" si="94"/>
        <v>1200</v>
      </c>
      <c r="O298" s="6">
        <f t="shared" ca="1" si="95"/>
        <v>1200</v>
      </c>
      <c r="P298">
        <f t="shared" si="96"/>
        <v>0</v>
      </c>
      <c r="Q298" s="6">
        <f t="shared" si="86"/>
        <v>0</v>
      </c>
      <c r="R298" s="296">
        <v>10.75</v>
      </c>
      <c r="S298">
        <f t="shared" si="87"/>
        <v>4093.6000000000004</v>
      </c>
      <c r="T298">
        <f t="shared" si="88"/>
        <v>3766.1120000000005</v>
      </c>
      <c r="U298">
        <f t="shared" ca="1" si="89"/>
        <v>0</v>
      </c>
      <c r="V298">
        <f t="shared" si="97"/>
        <v>3766.1120000000005</v>
      </c>
      <c r="W298">
        <f t="shared" ca="1" si="99"/>
        <v>1200</v>
      </c>
      <c r="X298">
        <f t="shared" ca="1" si="98"/>
        <v>2000</v>
      </c>
      <c r="Y298" s="297" t="str">
        <f t="shared" ca="1" si="90"/>
        <v>Yes</v>
      </c>
    </row>
    <row r="299" spans="1:25" outlineLevel="1" x14ac:dyDescent="0.75">
      <c r="A299" s="304">
        <f>Consumption!A299</f>
        <v>41562</v>
      </c>
      <c r="B299" s="305">
        <f>Consumption!B299</f>
        <v>1</v>
      </c>
      <c r="C299" s="41">
        <f ca="1">Consumption!C299</f>
        <v>0.1</v>
      </c>
      <c r="D299" s="41">
        <f t="shared" si="80"/>
        <v>0.219</v>
      </c>
      <c r="E299" s="41">
        <f t="shared" ca="1" si="91"/>
        <v>3.5179999999999776</v>
      </c>
      <c r="F299" s="306">
        <f ca="1">'Pump Main'!$M$3*1000</f>
        <v>124614.17111887744</v>
      </c>
      <c r="G299" s="41">
        <f t="shared" ca="1" si="81"/>
        <v>12461.417111887744</v>
      </c>
      <c r="H299" s="6">
        <f t="shared" ca="1" si="82"/>
        <v>21160.706264887987</v>
      </c>
      <c r="I299" s="6">
        <f t="shared" ca="1" si="92"/>
        <v>5.8779739624688858</v>
      </c>
      <c r="J299" s="6">
        <f t="shared" ca="1" si="83"/>
        <v>500</v>
      </c>
      <c r="K299" s="6">
        <f t="shared" ca="1" si="84"/>
        <v>0.5</v>
      </c>
      <c r="L299" s="6">
        <f t="shared" ca="1" si="85"/>
        <v>1</v>
      </c>
      <c r="M299">
        <f t="shared" ca="1" si="93"/>
        <v>277.77777777777777</v>
      </c>
      <c r="N299" s="6">
        <f t="shared" si="94"/>
        <v>1200</v>
      </c>
      <c r="O299" s="6">
        <f t="shared" ca="1" si="95"/>
        <v>1483.6557517402466</v>
      </c>
      <c r="P299">
        <f t="shared" si="96"/>
        <v>0</v>
      </c>
      <c r="Q299" s="6">
        <f t="shared" si="86"/>
        <v>0</v>
      </c>
      <c r="R299" s="296">
        <v>10.75</v>
      </c>
      <c r="S299">
        <f t="shared" si="87"/>
        <v>4093.6000000000004</v>
      </c>
      <c r="T299">
        <f t="shared" si="88"/>
        <v>3766.1120000000005</v>
      </c>
      <c r="U299">
        <f t="shared" ca="1" si="89"/>
        <v>0</v>
      </c>
      <c r="V299">
        <f t="shared" si="97"/>
        <v>3766.1120000000005</v>
      </c>
      <c r="W299">
        <f t="shared" ca="1" si="99"/>
        <v>1483.6557517402466</v>
      </c>
      <c r="X299">
        <f t="shared" ca="1" si="98"/>
        <v>2000</v>
      </c>
      <c r="Y299" s="297" t="str">
        <f t="shared" ca="1" si="90"/>
        <v>Yes</v>
      </c>
    </row>
    <row r="300" spans="1:25" outlineLevel="1" x14ac:dyDescent="0.75">
      <c r="A300" s="304">
        <f>Consumption!A300</f>
        <v>41563</v>
      </c>
      <c r="B300" s="305">
        <f>Consumption!B300</f>
        <v>0</v>
      </c>
      <c r="C300" s="41">
        <f ca="1">Consumption!C300</f>
        <v>0</v>
      </c>
      <c r="D300" s="41">
        <f t="shared" si="80"/>
        <v>0.219</v>
      </c>
      <c r="E300" s="41">
        <f t="shared" ca="1" si="91"/>
        <v>3.2989999999999777</v>
      </c>
      <c r="F300" s="306">
        <f ca="1">'Pump Main'!$M$3*1000</f>
        <v>124614.17111887744</v>
      </c>
      <c r="G300" s="41">
        <f t="shared" ca="1" si="81"/>
        <v>0</v>
      </c>
      <c r="H300" s="6">
        <f t="shared" ca="1" si="82"/>
        <v>0</v>
      </c>
      <c r="I300" s="6">
        <f t="shared" ca="1" si="92"/>
        <v>0</v>
      </c>
      <c r="J300" s="6">
        <f t="shared" ca="1" si="83"/>
        <v>0</v>
      </c>
      <c r="K300" s="6">
        <f t="shared" ca="1" si="84"/>
        <v>0</v>
      </c>
      <c r="L300" s="6">
        <f t="shared" ca="1" si="85"/>
        <v>0</v>
      </c>
      <c r="M300">
        <f t="shared" ca="1" si="93"/>
        <v>0</v>
      </c>
      <c r="N300" s="6">
        <f t="shared" si="94"/>
        <v>1200</v>
      </c>
      <c r="O300" s="6">
        <f t="shared" ca="1" si="95"/>
        <v>1200</v>
      </c>
      <c r="P300">
        <f t="shared" si="96"/>
        <v>0</v>
      </c>
      <c r="Q300" s="6">
        <f t="shared" si="86"/>
        <v>0</v>
      </c>
      <c r="R300" s="296">
        <v>10.75</v>
      </c>
      <c r="S300">
        <f t="shared" si="87"/>
        <v>4093.6000000000004</v>
      </c>
      <c r="T300">
        <f t="shared" si="88"/>
        <v>3766.1120000000005</v>
      </c>
      <c r="U300">
        <f t="shared" ca="1" si="89"/>
        <v>0</v>
      </c>
      <c r="V300">
        <f t="shared" si="97"/>
        <v>3766.1120000000005</v>
      </c>
      <c r="W300">
        <f t="shared" ca="1" si="99"/>
        <v>1200</v>
      </c>
      <c r="X300">
        <f t="shared" ca="1" si="98"/>
        <v>2000</v>
      </c>
      <c r="Y300" s="297" t="str">
        <f t="shared" ca="1" si="90"/>
        <v>Yes</v>
      </c>
    </row>
    <row r="301" spans="1:25" outlineLevel="1" x14ac:dyDescent="0.75">
      <c r="A301" s="304">
        <f>Consumption!A301</f>
        <v>41564</v>
      </c>
      <c r="B301" s="305">
        <f>Consumption!B301</f>
        <v>0</v>
      </c>
      <c r="C301" s="41">
        <f ca="1">Consumption!C301</f>
        <v>0</v>
      </c>
      <c r="D301" s="41">
        <f t="shared" si="80"/>
        <v>0.219</v>
      </c>
      <c r="E301" s="41">
        <f t="shared" ca="1" si="91"/>
        <v>3.0799999999999779</v>
      </c>
      <c r="F301" s="306">
        <f ca="1">'Pump Main'!$M$3*1000</f>
        <v>124614.17111887744</v>
      </c>
      <c r="G301" s="41">
        <f t="shared" ca="1" si="81"/>
        <v>0</v>
      </c>
      <c r="H301" s="6">
        <f t="shared" ca="1" si="82"/>
        <v>0</v>
      </c>
      <c r="I301" s="6">
        <f t="shared" ca="1" si="92"/>
        <v>0</v>
      </c>
      <c r="J301" s="6">
        <f t="shared" ca="1" si="83"/>
        <v>0</v>
      </c>
      <c r="K301" s="6">
        <f t="shared" ca="1" si="84"/>
        <v>0</v>
      </c>
      <c r="L301" s="6">
        <f t="shared" ca="1" si="85"/>
        <v>0</v>
      </c>
      <c r="M301">
        <f t="shared" ca="1" si="93"/>
        <v>0</v>
      </c>
      <c r="N301" s="6">
        <f t="shared" si="94"/>
        <v>1200</v>
      </c>
      <c r="O301" s="6">
        <f t="shared" ca="1" si="95"/>
        <v>1200</v>
      </c>
      <c r="P301">
        <f t="shared" si="96"/>
        <v>0</v>
      </c>
      <c r="Q301" s="6">
        <f t="shared" si="86"/>
        <v>0</v>
      </c>
      <c r="R301" s="296">
        <v>10.75</v>
      </c>
      <c r="S301">
        <f t="shared" si="87"/>
        <v>4093.6000000000004</v>
      </c>
      <c r="T301">
        <f t="shared" si="88"/>
        <v>3766.1120000000005</v>
      </c>
      <c r="U301">
        <f t="shared" ca="1" si="89"/>
        <v>0</v>
      </c>
      <c r="V301">
        <f t="shared" si="97"/>
        <v>3766.1120000000005</v>
      </c>
      <c r="W301">
        <f t="shared" ca="1" si="99"/>
        <v>1200</v>
      </c>
      <c r="X301">
        <f t="shared" ca="1" si="98"/>
        <v>2000</v>
      </c>
      <c r="Y301" s="297" t="str">
        <f t="shared" ca="1" si="90"/>
        <v>Yes</v>
      </c>
    </row>
    <row r="302" spans="1:25" outlineLevel="1" x14ac:dyDescent="0.75">
      <c r="A302" s="304">
        <f>Consumption!A302</f>
        <v>41565</v>
      </c>
      <c r="B302" s="305">
        <f>Consumption!B302</f>
        <v>0</v>
      </c>
      <c r="C302" s="41">
        <f ca="1">Consumption!C302</f>
        <v>0</v>
      </c>
      <c r="D302" s="41">
        <f t="shared" si="80"/>
        <v>0.219</v>
      </c>
      <c r="E302" s="41">
        <f t="shared" ca="1" si="91"/>
        <v>2.860999999999978</v>
      </c>
      <c r="F302" s="306">
        <f ca="1">'Pump Main'!$M$3*1000</f>
        <v>124614.17111887744</v>
      </c>
      <c r="G302" s="41">
        <f t="shared" ca="1" si="81"/>
        <v>0</v>
      </c>
      <c r="H302" s="6">
        <f t="shared" ca="1" si="82"/>
        <v>0</v>
      </c>
      <c r="I302" s="6">
        <f t="shared" ca="1" si="92"/>
        <v>0</v>
      </c>
      <c r="J302" s="6">
        <f t="shared" ca="1" si="83"/>
        <v>0</v>
      </c>
      <c r="K302" s="6">
        <f t="shared" ca="1" si="84"/>
        <v>0</v>
      </c>
      <c r="L302" s="6">
        <f t="shared" ca="1" si="85"/>
        <v>0</v>
      </c>
      <c r="M302">
        <f t="shared" ca="1" si="93"/>
        <v>0</v>
      </c>
      <c r="N302" s="6">
        <f t="shared" si="94"/>
        <v>1200</v>
      </c>
      <c r="O302" s="6">
        <f t="shared" ca="1" si="95"/>
        <v>1200</v>
      </c>
      <c r="P302">
        <f t="shared" si="96"/>
        <v>0</v>
      </c>
      <c r="Q302" s="6">
        <f t="shared" si="86"/>
        <v>0</v>
      </c>
      <c r="R302" s="296">
        <v>10.75</v>
      </c>
      <c r="S302">
        <f t="shared" si="87"/>
        <v>4093.6000000000004</v>
      </c>
      <c r="T302">
        <f t="shared" si="88"/>
        <v>3766.1120000000005</v>
      </c>
      <c r="U302">
        <f t="shared" ca="1" si="89"/>
        <v>0</v>
      </c>
      <c r="V302">
        <f t="shared" si="97"/>
        <v>3766.1120000000005</v>
      </c>
      <c r="W302">
        <f t="shared" ca="1" si="99"/>
        <v>1200</v>
      </c>
      <c r="X302">
        <f t="shared" ca="1" si="98"/>
        <v>2000</v>
      </c>
      <c r="Y302" s="297" t="str">
        <f t="shared" ca="1" si="90"/>
        <v>Yes</v>
      </c>
    </row>
    <row r="303" spans="1:25" outlineLevel="1" x14ac:dyDescent="0.75">
      <c r="A303" s="304">
        <f>Consumption!A303</f>
        <v>41566</v>
      </c>
      <c r="B303" s="305">
        <f>Consumption!B303</f>
        <v>0</v>
      </c>
      <c r="C303" s="41">
        <f ca="1">Consumption!C303</f>
        <v>0</v>
      </c>
      <c r="D303" s="41">
        <f t="shared" si="80"/>
        <v>0.219</v>
      </c>
      <c r="E303" s="41">
        <f t="shared" ca="1" si="91"/>
        <v>2.6419999999999781</v>
      </c>
      <c r="F303" s="306">
        <f ca="1">'Pump Main'!$M$3*1000</f>
        <v>124614.17111887744</v>
      </c>
      <c r="G303" s="41">
        <f t="shared" ca="1" si="81"/>
        <v>0</v>
      </c>
      <c r="H303" s="6">
        <f t="shared" ca="1" si="82"/>
        <v>0</v>
      </c>
      <c r="I303" s="6">
        <f t="shared" ca="1" si="92"/>
        <v>0</v>
      </c>
      <c r="J303" s="6">
        <f t="shared" ca="1" si="83"/>
        <v>0</v>
      </c>
      <c r="K303" s="6">
        <f t="shared" ca="1" si="84"/>
        <v>0</v>
      </c>
      <c r="L303" s="6">
        <f t="shared" ca="1" si="85"/>
        <v>0</v>
      </c>
      <c r="M303">
        <f t="shared" ca="1" si="93"/>
        <v>0</v>
      </c>
      <c r="N303" s="6">
        <f t="shared" si="94"/>
        <v>1200</v>
      </c>
      <c r="O303" s="6">
        <f t="shared" ca="1" si="95"/>
        <v>1200</v>
      </c>
      <c r="P303">
        <f t="shared" si="96"/>
        <v>0</v>
      </c>
      <c r="Q303" s="6">
        <f t="shared" si="86"/>
        <v>0</v>
      </c>
      <c r="R303" s="296">
        <v>10.75</v>
      </c>
      <c r="S303">
        <f t="shared" si="87"/>
        <v>4093.6000000000004</v>
      </c>
      <c r="T303">
        <f t="shared" si="88"/>
        <v>3766.1120000000005</v>
      </c>
      <c r="U303">
        <f t="shared" ca="1" si="89"/>
        <v>0</v>
      </c>
      <c r="V303">
        <f t="shared" si="97"/>
        <v>3766.1120000000005</v>
      </c>
      <c r="W303">
        <f t="shared" ca="1" si="99"/>
        <v>1200</v>
      </c>
      <c r="X303">
        <f t="shared" ca="1" si="98"/>
        <v>2000</v>
      </c>
      <c r="Y303" s="297" t="str">
        <f t="shared" ca="1" si="90"/>
        <v>Yes</v>
      </c>
    </row>
    <row r="304" spans="1:25" outlineLevel="1" x14ac:dyDescent="0.75">
      <c r="A304" s="304">
        <f>Consumption!A304</f>
        <v>41567</v>
      </c>
      <c r="B304" s="305">
        <f>Consumption!B304</f>
        <v>0</v>
      </c>
      <c r="C304" s="41">
        <f ca="1">Consumption!C304</f>
        <v>0</v>
      </c>
      <c r="D304" s="41">
        <f t="shared" si="80"/>
        <v>0.219</v>
      </c>
      <c r="E304" s="41">
        <f t="shared" ca="1" si="91"/>
        <v>2.4229999999999783</v>
      </c>
      <c r="F304" s="306">
        <f ca="1">'Pump Main'!$M$3*1000</f>
        <v>124614.17111887744</v>
      </c>
      <c r="G304" s="41">
        <f t="shared" ca="1" si="81"/>
        <v>0</v>
      </c>
      <c r="H304" s="6">
        <f t="shared" ca="1" si="82"/>
        <v>0</v>
      </c>
      <c r="I304" s="6">
        <f t="shared" ca="1" si="92"/>
        <v>0</v>
      </c>
      <c r="J304" s="6">
        <f t="shared" ca="1" si="83"/>
        <v>0</v>
      </c>
      <c r="K304" s="6">
        <f t="shared" ca="1" si="84"/>
        <v>0</v>
      </c>
      <c r="L304" s="6">
        <f t="shared" ca="1" si="85"/>
        <v>0</v>
      </c>
      <c r="M304">
        <f t="shared" ca="1" si="93"/>
        <v>0</v>
      </c>
      <c r="N304" s="6">
        <f t="shared" si="94"/>
        <v>1200</v>
      </c>
      <c r="O304" s="6">
        <f t="shared" ca="1" si="95"/>
        <v>1200</v>
      </c>
      <c r="P304">
        <f t="shared" si="96"/>
        <v>0</v>
      </c>
      <c r="Q304" s="6">
        <f t="shared" si="86"/>
        <v>0</v>
      </c>
      <c r="R304" s="296">
        <v>10.75</v>
      </c>
      <c r="S304">
        <f t="shared" si="87"/>
        <v>4093.6000000000004</v>
      </c>
      <c r="T304">
        <f t="shared" si="88"/>
        <v>3766.1120000000005</v>
      </c>
      <c r="U304">
        <f t="shared" ca="1" si="89"/>
        <v>0</v>
      </c>
      <c r="V304">
        <f t="shared" si="97"/>
        <v>3766.1120000000005</v>
      </c>
      <c r="W304">
        <f t="shared" ca="1" si="99"/>
        <v>1200</v>
      </c>
      <c r="X304">
        <f t="shared" ca="1" si="98"/>
        <v>2000</v>
      </c>
      <c r="Y304" s="297" t="str">
        <f t="shared" ca="1" si="90"/>
        <v>Yes</v>
      </c>
    </row>
    <row r="305" spans="1:25" outlineLevel="1" x14ac:dyDescent="0.75">
      <c r="A305" s="304">
        <f>Consumption!A305</f>
        <v>41568</v>
      </c>
      <c r="B305" s="305">
        <f>Consumption!B305</f>
        <v>0</v>
      </c>
      <c r="C305" s="41">
        <f ca="1">Consumption!C305</f>
        <v>0</v>
      </c>
      <c r="D305" s="41">
        <f t="shared" si="80"/>
        <v>0.219</v>
      </c>
      <c r="E305" s="41">
        <f t="shared" ca="1" si="91"/>
        <v>2.2039999999999784</v>
      </c>
      <c r="F305" s="306">
        <f ca="1">'Pump Main'!$M$3*1000</f>
        <v>124614.17111887744</v>
      </c>
      <c r="G305" s="41">
        <f t="shared" ca="1" si="81"/>
        <v>0</v>
      </c>
      <c r="H305" s="6">
        <f t="shared" ca="1" si="82"/>
        <v>0</v>
      </c>
      <c r="I305" s="6">
        <f t="shared" ca="1" si="92"/>
        <v>0</v>
      </c>
      <c r="J305" s="6">
        <f t="shared" ca="1" si="83"/>
        <v>0</v>
      </c>
      <c r="K305" s="6">
        <f t="shared" ca="1" si="84"/>
        <v>0</v>
      </c>
      <c r="L305" s="6">
        <f t="shared" ca="1" si="85"/>
        <v>0</v>
      </c>
      <c r="M305">
        <f t="shared" ca="1" si="93"/>
        <v>0</v>
      </c>
      <c r="N305" s="6">
        <f t="shared" si="94"/>
        <v>1200</v>
      </c>
      <c r="O305" s="6">
        <f t="shared" ca="1" si="95"/>
        <v>1200</v>
      </c>
      <c r="P305">
        <f t="shared" si="96"/>
        <v>0</v>
      </c>
      <c r="Q305" s="6">
        <f t="shared" si="86"/>
        <v>0</v>
      </c>
      <c r="R305" s="296">
        <v>10.75</v>
      </c>
      <c r="S305">
        <f t="shared" si="87"/>
        <v>4093.6000000000004</v>
      </c>
      <c r="T305">
        <f t="shared" si="88"/>
        <v>3766.1120000000005</v>
      </c>
      <c r="U305">
        <f t="shared" ca="1" si="89"/>
        <v>0</v>
      </c>
      <c r="V305">
        <f t="shared" si="97"/>
        <v>3766.1120000000005</v>
      </c>
      <c r="W305">
        <f t="shared" ca="1" si="99"/>
        <v>1200</v>
      </c>
      <c r="X305">
        <f t="shared" ca="1" si="98"/>
        <v>2000</v>
      </c>
      <c r="Y305" s="297" t="str">
        <f t="shared" ca="1" si="90"/>
        <v>Yes</v>
      </c>
    </row>
    <row r="306" spans="1:25" outlineLevel="1" x14ac:dyDescent="0.75">
      <c r="A306" s="304">
        <f>Consumption!A306</f>
        <v>41569</v>
      </c>
      <c r="B306" s="305">
        <f>Consumption!B306</f>
        <v>0</v>
      </c>
      <c r="C306" s="41">
        <f ca="1">Consumption!C306</f>
        <v>0</v>
      </c>
      <c r="D306" s="41">
        <f t="shared" si="80"/>
        <v>0.219</v>
      </c>
      <c r="E306" s="41">
        <f t="shared" ca="1" si="91"/>
        <v>1.9849999999999783</v>
      </c>
      <c r="F306" s="306">
        <f ca="1">'Pump Main'!$M$3*1000</f>
        <v>124614.17111887744</v>
      </c>
      <c r="G306" s="41">
        <f t="shared" ca="1" si="81"/>
        <v>0</v>
      </c>
      <c r="H306" s="6">
        <f t="shared" ca="1" si="82"/>
        <v>0</v>
      </c>
      <c r="I306" s="6">
        <f t="shared" ca="1" si="92"/>
        <v>0</v>
      </c>
      <c r="J306" s="6">
        <f t="shared" ca="1" si="83"/>
        <v>0</v>
      </c>
      <c r="K306" s="6">
        <f t="shared" ca="1" si="84"/>
        <v>0</v>
      </c>
      <c r="L306" s="6">
        <f t="shared" ca="1" si="85"/>
        <v>0</v>
      </c>
      <c r="M306">
        <f t="shared" ca="1" si="93"/>
        <v>0</v>
      </c>
      <c r="N306" s="6">
        <f t="shared" si="94"/>
        <v>1200</v>
      </c>
      <c r="O306" s="6">
        <f t="shared" ca="1" si="95"/>
        <v>1200</v>
      </c>
      <c r="P306">
        <f t="shared" si="96"/>
        <v>0</v>
      </c>
      <c r="Q306" s="6">
        <f t="shared" si="86"/>
        <v>0</v>
      </c>
      <c r="R306" s="296">
        <v>10.75</v>
      </c>
      <c r="S306">
        <f t="shared" si="87"/>
        <v>4093.6000000000004</v>
      </c>
      <c r="T306">
        <f t="shared" si="88"/>
        <v>3766.1120000000005</v>
      </c>
      <c r="U306">
        <f t="shared" ca="1" si="89"/>
        <v>0</v>
      </c>
      <c r="V306">
        <f t="shared" si="97"/>
        <v>3766.1120000000005</v>
      </c>
      <c r="W306">
        <f t="shared" ca="1" si="99"/>
        <v>1200</v>
      </c>
      <c r="X306">
        <f t="shared" ca="1" si="98"/>
        <v>2000</v>
      </c>
      <c r="Y306" s="297" t="str">
        <f t="shared" ca="1" si="90"/>
        <v>Yes</v>
      </c>
    </row>
    <row r="307" spans="1:25" outlineLevel="1" x14ac:dyDescent="0.75">
      <c r="A307" s="304">
        <f>Consumption!A307</f>
        <v>41570</v>
      </c>
      <c r="B307" s="305">
        <f>Consumption!B307</f>
        <v>0</v>
      </c>
      <c r="C307" s="41">
        <f ca="1">Consumption!C307</f>
        <v>0</v>
      </c>
      <c r="D307" s="41">
        <f t="shared" si="80"/>
        <v>0.219</v>
      </c>
      <c r="E307" s="41">
        <f t="shared" ca="1" si="91"/>
        <v>1.7659999999999783</v>
      </c>
      <c r="F307" s="306">
        <f ca="1">'Pump Main'!$M$3*1000</f>
        <v>124614.17111887744</v>
      </c>
      <c r="G307" s="41">
        <f t="shared" ca="1" si="81"/>
        <v>0</v>
      </c>
      <c r="H307" s="6">
        <f t="shared" ca="1" si="82"/>
        <v>0</v>
      </c>
      <c r="I307" s="6">
        <f t="shared" ca="1" si="92"/>
        <v>0</v>
      </c>
      <c r="J307" s="6">
        <f t="shared" ca="1" si="83"/>
        <v>0</v>
      </c>
      <c r="K307" s="6">
        <f t="shared" ca="1" si="84"/>
        <v>0</v>
      </c>
      <c r="L307" s="6">
        <f t="shared" ca="1" si="85"/>
        <v>0</v>
      </c>
      <c r="M307">
        <f t="shared" ca="1" si="93"/>
        <v>0</v>
      </c>
      <c r="N307" s="6">
        <f t="shared" si="94"/>
        <v>1200</v>
      </c>
      <c r="O307" s="6">
        <f t="shared" ca="1" si="95"/>
        <v>1200</v>
      </c>
      <c r="P307">
        <f t="shared" si="96"/>
        <v>0</v>
      </c>
      <c r="Q307" s="6">
        <f t="shared" si="86"/>
        <v>0</v>
      </c>
      <c r="R307" s="296">
        <v>10.75</v>
      </c>
      <c r="S307">
        <f t="shared" si="87"/>
        <v>4093.6000000000004</v>
      </c>
      <c r="T307">
        <f t="shared" si="88"/>
        <v>3766.1120000000005</v>
      </c>
      <c r="U307">
        <f t="shared" ca="1" si="89"/>
        <v>0</v>
      </c>
      <c r="V307">
        <f t="shared" si="97"/>
        <v>3766.1120000000005</v>
      </c>
      <c r="W307">
        <f t="shared" ca="1" si="99"/>
        <v>1200</v>
      </c>
      <c r="X307">
        <f t="shared" ca="1" si="98"/>
        <v>2000</v>
      </c>
      <c r="Y307" s="297" t="str">
        <f t="shared" ca="1" si="90"/>
        <v>Yes</v>
      </c>
    </row>
    <row r="308" spans="1:25" outlineLevel="1" x14ac:dyDescent="0.75">
      <c r="A308" s="304">
        <f>Consumption!A308</f>
        <v>41571</v>
      </c>
      <c r="B308" s="305">
        <f>Consumption!B308</f>
        <v>0</v>
      </c>
      <c r="C308" s="41">
        <f ca="1">Consumption!C308</f>
        <v>0</v>
      </c>
      <c r="D308" s="41">
        <f t="shared" si="80"/>
        <v>0.219</v>
      </c>
      <c r="E308" s="41">
        <f t="shared" ca="1" si="91"/>
        <v>1.5469999999999782</v>
      </c>
      <c r="F308" s="306">
        <f ca="1">'Pump Main'!$M$3*1000</f>
        <v>124614.17111887744</v>
      </c>
      <c r="G308" s="41">
        <f t="shared" ca="1" si="81"/>
        <v>0</v>
      </c>
      <c r="H308" s="6">
        <f t="shared" ca="1" si="82"/>
        <v>0</v>
      </c>
      <c r="I308" s="6">
        <f t="shared" ca="1" si="92"/>
        <v>0</v>
      </c>
      <c r="J308" s="6">
        <f t="shared" ca="1" si="83"/>
        <v>0</v>
      </c>
      <c r="K308" s="6">
        <f t="shared" ca="1" si="84"/>
        <v>0</v>
      </c>
      <c r="L308" s="6">
        <f t="shared" ca="1" si="85"/>
        <v>0</v>
      </c>
      <c r="M308">
        <f t="shared" ca="1" si="93"/>
        <v>0</v>
      </c>
      <c r="N308" s="6">
        <f t="shared" si="94"/>
        <v>1200</v>
      </c>
      <c r="O308" s="6">
        <f t="shared" ca="1" si="95"/>
        <v>1200</v>
      </c>
      <c r="P308">
        <f t="shared" si="96"/>
        <v>0</v>
      </c>
      <c r="Q308" s="6">
        <f t="shared" si="86"/>
        <v>0</v>
      </c>
      <c r="R308" s="296">
        <v>10.75</v>
      </c>
      <c r="S308">
        <f t="shared" si="87"/>
        <v>4093.6000000000004</v>
      </c>
      <c r="T308">
        <f t="shared" si="88"/>
        <v>3766.1120000000005</v>
      </c>
      <c r="U308">
        <f t="shared" ca="1" si="89"/>
        <v>0</v>
      </c>
      <c r="V308">
        <f t="shared" si="97"/>
        <v>3766.1120000000005</v>
      </c>
      <c r="W308">
        <f t="shared" ca="1" si="99"/>
        <v>1200</v>
      </c>
      <c r="X308">
        <f t="shared" ca="1" si="98"/>
        <v>2000</v>
      </c>
      <c r="Y308" s="297" t="str">
        <f t="shared" ca="1" si="90"/>
        <v>Yes</v>
      </c>
    </row>
    <row r="309" spans="1:25" outlineLevel="1" x14ac:dyDescent="0.75">
      <c r="A309" s="304">
        <f>Consumption!A309</f>
        <v>41572</v>
      </c>
      <c r="B309" s="305">
        <f>Consumption!B309</f>
        <v>0</v>
      </c>
      <c r="C309" s="41">
        <f ca="1">Consumption!C309</f>
        <v>0</v>
      </c>
      <c r="D309" s="41">
        <f t="shared" si="80"/>
        <v>0.219</v>
      </c>
      <c r="E309" s="41">
        <f t="shared" ca="1" si="91"/>
        <v>1.3279999999999781</v>
      </c>
      <c r="F309" s="306">
        <f ca="1">'Pump Main'!$M$3*1000</f>
        <v>124614.17111887744</v>
      </c>
      <c r="G309" s="41">
        <f t="shared" ca="1" si="81"/>
        <v>0</v>
      </c>
      <c r="H309" s="6">
        <f t="shared" ca="1" si="82"/>
        <v>0</v>
      </c>
      <c r="I309" s="6">
        <f t="shared" ca="1" si="92"/>
        <v>0</v>
      </c>
      <c r="J309" s="6">
        <f t="shared" ca="1" si="83"/>
        <v>0</v>
      </c>
      <c r="K309" s="6">
        <f t="shared" ca="1" si="84"/>
        <v>0</v>
      </c>
      <c r="L309" s="6">
        <f t="shared" ca="1" si="85"/>
        <v>0</v>
      </c>
      <c r="M309">
        <f t="shared" ca="1" si="93"/>
        <v>0</v>
      </c>
      <c r="N309" s="6">
        <f t="shared" si="94"/>
        <v>1200</v>
      </c>
      <c r="O309" s="6">
        <f t="shared" ca="1" si="95"/>
        <v>1200</v>
      </c>
      <c r="P309">
        <f t="shared" si="96"/>
        <v>0</v>
      </c>
      <c r="Q309" s="6">
        <f t="shared" si="86"/>
        <v>0</v>
      </c>
      <c r="R309" s="296">
        <v>10.75</v>
      </c>
      <c r="S309">
        <f t="shared" si="87"/>
        <v>4093.6000000000004</v>
      </c>
      <c r="T309">
        <f t="shared" si="88"/>
        <v>3766.1120000000005</v>
      </c>
      <c r="U309">
        <f t="shared" ca="1" si="89"/>
        <v>0</v>
      </c>
      <c r="V309">
        <f t="shared" si="97"/>
        <v>3766.1120000000005</v>
      </c>
      <c r="W309">
        <f t="shared" ca="1" si="99"/>
        <v>1200</v>
      </c>
      <c r="X309">
        <f t="shared" ca="1" si="98"/>
        <v>2000</v>
      </c>
      <c r="Y309" s="297" t="str">
        <f t="shared" ca="1" si="90"/>
        <v>Yes</v>
      </c>
    </row>
    <row r="310" spans="1:25" outlineLevel="1" x14ac:dyDescent="0.75">
      <c r="A310" s="304">
        <f>Consumption!A310</f>
        <v>41573</v>
      </c>
      <c r="B310" s="305">
        <f>Consumption!B310</f>
        <v>9.6</v>
      </c>
      <c r="C310" s="41">
        <f ca="1">Consumption!C310</f>
        <v>0.96</v>
      </c>
      <c r="D310" s="41">
        <f t="shared" si="80"/>
        <v>0.219</v>
      </c>
      <c r="E310" s="41">
        <f t="shared" ca="1" si="91"/>
        <v>2.0689999999999782</v>
      </c>
      <c r="F310" s="306">
        <f ca="1">'Pump Main'!$M$3*1000</f>
        <v>124614.17111887744</v>
      </c>
      <c r="G310" s="41">
        <f t="shared" ca="1" si="81"/>
        <v>119629.60427412234</v>
      </c>
      <c r="H310" s="6">
        <f t="shared" ca="1" si="82"/>
        <v>203142.78014292469</v>
      </c>
      <c r="I310" s="6">
        <f t="shared" ca="1" si="92"/>
        <v>56.4285500397013</v>
      </c>
      <c r="J310" s="6">
        <f t="shared" ca="1" si="83"/>
        <v>4800</v>
      </c>
      <c r="K310" s="6">
        <f t="shared" ca="1" si="84"/>
        <v>4.8</v>
      </c>
      <c r="L310" s="6">
        <f t="shared" ca="1" si="85"/>
        <v>9.6</v>
      </c>
      <c r="M310">
        <f t="shared" ca="1" si="93"/>
        <v>2666.6666666666665</v>
      </c>
      <c r="N310" s="6">
        <f t="shared" si="94"/>
        <v>1200</v>
      </c>
      <c r="O310" s="6">
        <f t="shared" ca="1" si="95"/>
        <v>3923.0952167063679</v>
      </c>
      <c r="P310">
        <f t="shared" si="96"/>
        <v>0</v>
      </c>
      <c r="Q310" s="6">
        <f t="shared" si="86"/>
        <v>0</v>
      </c>
      <c r="R310" s="296">
        <v>10.75</v>
      </c>
      <c r="S310">
        <f t="shared" si="87"/>
        <v>4093.6000000000004</v>
      </c>
      <c r="T310">
        <f t="shared" si="88"/>
        <v>3766.1120000000005</v>
      </c>
      <c r="U310">
        <f t="shared" ca="1" si="89"/>
        <v>0</v>
      </c>
      <c r="V310">
        <f t="shared" si="97"/>
        <v>3766.1120000000005</v>
      </c>
      <c r="W310">
        <f t="shared" ca="1" si="99"/>
        <v>3923.0952167063679</v>
      </c>
      <c r="X310">
        <f t="shared" ca="1" si="98"/>
        <v>1528.9100025975335</v>
      </c>
      <c r="Y310" s="297" t="str">
        <f t="shared" ca="1" si="90"/>
        <v>Yes</v>
      </c>
    </row>
    <row r="311" spans="1:25" outlineLevel="1" x14ac:dyDescent="0.75">
      <c r="A311" s="304">
        <f>Consumption!A311</f>
        <v>41574</v>
      </c>
      <c r="B311" s="305">
        <f>Consumption!B311</f>
        <v>0</v>
      </c>
      <c r="C311" s="41">
        <f ca="1">Consumption!C311</f>
        <v>0</v>
      </c>
      <c r="D311" s="41">
        <f t="shared" si="80"/>
        <v>0.219</v>
      </c>
      <c r="E311" s="41">
        <f t="shared" ca="1" si="91"/>
        <v>1.8499999999999781</v>
      </c>
      <c r="F311" s="306">
        <f ca="1">'Pump Main'!$M$3*1000</f>
        <v>124614.17111887744</v>
      </c>
      <c r="G311" s="41">
        <f t="shared" ca="1" si="81"/>
        <v>0</v>
      </c>
      <c r="H311" s="6">
        <f t="shared" ca="1" si="82"/>
        <v>0</v>
      </c>
      <c r="I311" s="6">
        <f t="shared" ca="1" si="92"/>
        <v>0</v>
      </c>
      <c r="J311" s="6">
        <f t="shared" ca="1" si="83"/>
        <v>0</v>
      </c>
      <c r="K311" s="6">
        <f t="shared" ca="1" si="84"/>
        <v>0</v>
      </c>
      <c r="L311" s="6">
        <f t="shared" ca="1" si="85"/>
        <v>0</v>
      </c>
      <c r="M311">
        <f t="shared" ca="1" si="93"/>
        <v>0</v>
      </c>
      <c r="N311" s="6">
        <f t="shared" si="94"/>
        <v>1200</v>
      </c>
      <c r="O311" s="6">
        <f t="shared" ca="1" si="95"/>
        <v>1200</v>
      </c>
      <c r="P311">
        <f t="shared" si="96"/>
        <v>0</v>
      </c>
      <c r="Q311" s="6">
        <f t="shared" si="86"/>
        <v>0</v>
      </c>
      <c r="R311" s="296">
        <v>10.75</v>
      </c>
      <c r="S311">
        <f t="shared" si="87"/>
        <v>4093.6000000000004</v>
      </c>
      <c r="T311">
        <f t="shared" si="88"/>
        <v>3766.1120000000005</v>
      </c>
      <c r="U311">
        <f t="shared" ca="1" si="89"/>
        <v>0</v>
      </c>
      <c r="V311">
        <f t="shared" si="97"/>
        <v>3766.1120000000005</v>
      </c>
      <c r="W311">
        <f t="shared" ca="1" si="99"/>
        <v>1200</v>
      </c>
      <c r="X311">
        <f t="shared" ca="1" si="98"/>
        <v>2000</v>
      </c>
      <c r="Y311" s="297" t="str">
        <f t="shared" ca="1" si="90"/>
        <v>Yes</v>
      </c>
    </row>
    <row r="312" spans="1:25" outlineLevel="1" x14ac:dyDescent="0.75">
      <c r="A312" s="304">
        <f>Consumption!A312</f>
        <v>41575</v>
      </c>
      <c r="B312" s="305">
        <f>Consumption!B312</f>
        <v>0</v>
      </c>
      <c r="C312" s="41">
        <f ca="1">Consumption!C312</f>
        <v>0</v>
      </c>
      <c r="D312" s="41">
        <f t="shared" si="80"/>
        <v>0.219</v>
      </c>
      <c r="E312" s="41">
        <f t="shared" ca="1" si="91"/>
        <v>1.630999999999978</v>
      </c>
      <c r="F312" s="306">
        <f ca="1">'Pump Main'!$M$3*1000</f>
        <v>124614.17111887744</v>
      </c>
      <c r="G312" s="41">
        <f t="shared" ca="1" si="81"/>
        <v>0</v>
      </c>
      <c r="H312" s="6">
        <f t="shared" ca="1" si="82"/>
        <v>0</v>
      </c>
      <c r="I312" s="6">
        <f t="shared" ca="1" si="92"/>
        <v>0</v>
      </c>
      <c r="J312" s="6">
        <f t="shared" ca="1" si="83"/>
        <v>0</v>
      </c>
      <c r="K312" s="6">
        <f t="shared" ca="1" si="84"/>
        <v>0</v>
      </c>
      <c r="L312" s="6">
        <f t="shared" ca="1" si="85"/>
        <v>0</v>
      </c>
      <c r="M312">
        <f t="shared" ca="1" si="93"/>
        <v>0</v>
      </c>
      <c r="N312" s="6">
        <f t="shared" si="94"/>
        <v>1200</v>
      </c>
      <c r="O312" s="6">
        <f t="shared" ca="1" si="95"/>
        <v>1200</v>
      </c>
      <c r="P312">
        <f t="shared" si="96"/>
        <v>0</v>
      </c>
      <c r="Q312" s="6">
        <f t="shared" si="86"/>
        <v>0</v>
      </c>
      <c r="R312" s="296">
        <v>10.75</v>
      </c>
      <c r="S312">
        <f t="shared" si="87"/>
        <v>4093.6000000000004</v>
      </c>
      <c r="T312">
        <f t="shared" si="88"/>
        <v>3766.1120000000005</v>
      </c>
      <c r="U312">
        <f t="shared" ca="1" si="89"/>
        <v>0</v>
      </c>
      <c r="V312">
        <f t="shared" si="97"/>
        <v>3766.1120000000005</v>
      </c>
      <c r="W312">
        <f t="shared" ca="1" si="99"/>
        <v>1200</v>
      </c>
      <c r="X312">
        <f t="shared" ca="1" si="98"/>
        <v>2000</v>
      </c>
      <c r="Y312" s="297" t="str">
        <f t="shared" ca="1" si="90"/>
        <v>Yes</v>
      </c>
    </row>
    <row r="313" spans="1:25" outlineLevel="1" x14ac:dyDescent="0.75">
      <c r="A313" s="304">
        <f>Consumption!A313</f>
        <v>41576</v>
      </c>
      <c r="B313" s="305">
        <f>Consumption!B313</f>
        <v>0</v>
      </c>
      <c r="C313" s="41">
        <f ca="1">Consumption!C313</f>
        <v>0</v>
      </c>
      <c r="D313" s="41">
        <f t="shared" si="80"/>
        <v>0.219</v>
      </c>
      <c r="E313" s="41">
        <f t="shared" ca="1" si="91"/>
        <v>1.4119999999999779</v>
      </c>
      <c r="F313" s="306">
        <f ca="1">'Pump Main'!$M$3*1000</f>
        <v>124614.17111887744</v>
      </c>
      <c r="G313" s="41">
        <f t="shared" ca="1" si="81"/>
        <v>0</v>
      </c>
      <c r="H313" s="6">
        <f t="shared" ca="1" si="82"/>
        <v>0</v>
      </c>
      <c r="I313" s="6">
        <f t="shared" ca="1" si="92"/>
        <v>0</v>
      </c>
      <c r="J313" s="6">
        <f t="shared" ca="1" si="83"/>
        <v>0</v>
      </c>
      <c r="K313" s="6">
        <f t="shared" ca="1" si="84"/>
        <v>0</v>
      </c>
      <c r="L313" s="6">
        <f t="shared" ca="1" si="85"/>
        <v>0</v>
      </c>
      <c r="M313">
        <f t="shared" ca="1" si="93"/>
        <v>0</v>
      </c>
      <c r="N313" s="6">
        <f t="shared" si="94"/>
        <v>1200</v>
      </c>
      <c r="O313" s="6">
        <f t="shared" ca="1" si="95"/>
        <v>1200</v>
      </c>
      <c r="P313">
        <f t="shared" si="96"/>
        <v>0</v>
      </c>
      <c r="Q313" s="6">
        <f t="shared" si="86"/>
        <v>0</v>
      </c>
      <c r="R313" s="296">
        <v>10.75</v>
      </c>
      <c r="S313">
        <f t="shared" si="87"/>
        <v>4093.6000000000004</v>
      </c>
      <c r="T313">
        <f t="shared" si="88"/>
        <v>3766.1120000000005</v>
      </c>
      <c r="U313">
        <f t="shared" ca="1" si="89"/>
        <v>0</v>
      </c>
      <c r="V313">
        <f t="shared" si="97"/>
        <v>3766.1120000000005</v>
      </c>
      <c r="W313">
        <f t="shared" ca="1" si="99"/>
        <v>1200</v>
      </c>
      <c r="X313">
        <f t="shared" ca="1" si="98"/>
        <v>2000</v>
      </c>
      <c r="Y313" s="297" t="str">
        <f t="shared" ca="1" si="90"/>
        <v>Yes</v>
      </c>
    </row>
    <row r="314" spans="1:25" outlineLevel="1" x14ac:dyDescent="0.75">
      <c r="A314" s="304">
        <f>Consumption!A314</f>
        <v>41577</v>
      </c>
      <c r="B314" s="305">
        <f>Consumption!B314</f>
        <v>14.1</v>
      </c>
      <c r="C314" s="41">
        <f ca="1">Consumption!C314</f>
        <v>1.41</v>
      </c>
      <c r="D314" s="41">
        <f t="shared" si="80"/>
        <v>0.219</v>
      </c>
      <c r="E314" s="41">
        <f t="shared" ca="1" si="91"/>
        <v>2.602999999999978</v>
      </c>
      <c r="F314" s="306">
        <f ca="1">'Pump Main'!$M$3*1000</f>
        <v>124614.17111887744</v>
      </c>
      <c r="G314" s="41">
        <f t="shared" ca="1" si="81"/>
        <v>175705.98127761716</v>
      </c>
      <c r="H314" s="6">
        <f t="shared" ca="1" si="82"/>
        <v>298365.95833492058</v>
      </c>
      <c r="I314" s="6">
        <f t="shared" ca="1" si="92"/>
        <v>82.879432870811272</v>
      </c>
      <c r="J314" s="6">
        <f t="shared" ca="1" si="83"/>
        <v>7050</v>
      </c>
      <c r="K314" s="6">
        <f t="shared" ca="1" si="84"/>
        <v>7.05</v>
      </c>
      <c r="L314" s="6">
        <f t="shared" ca="1" si="85"/>
        <v>14.1</v>
      </c>
      <c r="M314">
        <f t="shared" ca="1" si="93"/>
        <v>3916.6666666666665</v>
      </c>
      <c r="N314" s="6">
        <f t="shared" si="94"/>
        <v>1200</v>
      </c>
      <c r="O314" s="6">
        <f t="shared" ca="1" si="95"/>
        <v>5199.5460995374779</v>
      </c>
      <c r="P314">
        <f t="shared" si="96"/>
        <v>0</v>
      </c>
      <c r="Q314" s="6">
        <f t="shared" si="86"/>
        <v>0</v>
      </c>
      <c r="R314" s="296">
        <v>10.75</v>
      </c>
      <c r="S314">
        <f t="shared" si="87"/>
        <v>4093.6000000000004</v>
      </c>
      <c r="T314">
        <f t="shared" si="88"/>
        <v>3766.1120000000005</v>
      </c>
      <c r="U314">
        <f t="shared" ca="1" si="89"/>
        <v>0</v>
      </c>
      <c r="V314">
        <f t="shared" si="97"/>
        <v>3766.1120000000005</v>
      </c>
      <c r="W314">
        <f t="shared" ca="1" si="99"/>
        <v>5199.5460995374779</v>
      </c>
      <c r="X314">
        <f t="shared" ca="1" si="98"/>
        <v>199.27366631512723</v>
      </c>
      <c r="Y314" s="297" t="str">
        <f t="shared" ca="1" si="90"/>
        <v>Yes</v>
      </c>
    </row>
    <row r="315" spans="1:25" outlineLevel="1" x14ac:dyDescent="0.75">
      <c r="A315" s="304">
        <f>Consumption!A315</f>
        <v>41578</v>
      </c>
      <c r="B315" s="305">
        <f>Consumption!B315</f>
        <v>2</v>
      </c>
      <c r="C315" s="41">
        <f ca="1">Consumption!C315</f>
        <v>0.2</v>
      </c>
      <c r="D315" s="41">
        <f t="shared" si="80"/>
        <v>0.219</v>
      </c>
      <c r="E315" s="41">
        <f t="shared" ca="1" si="91"/>
        <v>2.5839999999999783</v>
      </c>
      <c r="F315" s="306">
        <f ca="1">'Pump Main'!$M$3*1000</f>
        <v>124614.17111887744</v>
      </c>
      <c r="G315" s="41">
        <f t="shared" ca="1" si="81"/>
        <v>24922.834223775488</v>
      </c>
      <c r="H315" s="6">
        <f t="shared" ca="1" si="82"/>
        <v>42321.412529775975</v>
      </c>
      <c r="I315" s="6">
        <f t="shared" ca="1" si="92"/>
        <v>11.755947924937772</v>
      </c>
      <c r="J315" s="6">
        <f t="shared" ca="1" si="83"/>
        <v>1000</v>
      </c>
      <c r="K315" s="6">
        <f t="shared" ca="1" si="84"/>
        <v>1</v>
      </c>
      <c r="L315" s="6">
        <f t="shared" ca="1" si="85"/>
        <v>2</v>
      </c>
      <c r="M315">
        <f t="shared" ca="1" si="93"/>
        <v>555.55555555555554</v>
      </c>
      <c r="N315" s="6">
        <f t="shared" si="94"/>
        <v>1200</v>
      </c>
      <c r="O315" s="6">
        <f t="shared" ca="1" si="95"/>
        <v>1767.3115034804932</v>
      </c>
      <c r="P315">
        <f t="shared" si="96"/>
        <v>0</v>
      </c>
      <c r="Q315" s="6">
        <f t="shared" si="86"/>
        <v>0</v>
      </c>
      <c r="R315" s="296">
        <v>10.75</v>
      </c>
      <c r="S315">
        <f t="shared" si="87"/>
        <v>4093.6000000000004</v>
      </c>
      <c r="T315">
        <f t="shared" si="88"/>
        <v>3766.1120000000005</v>
      </c>
      <c r="U315">
        <f t="shared" ca="1" si="89"/>
        <v>0</v>
      </c>
      <c r="V315">
        <f t="shared" si="97"/>
        <v>3766.1120000000005</v>
      </c>
      <c r="W315">
        <f t="shared" ca="1" si="99"/>
        <v>1767.3115034804932</v>
      </c>
      <c r="X315">
        <f t="shared" ca="1" si="98"/>
        <v>1973.7917035229473</v>
      </c>
      <c r="Y315" s="297" t="str">
        <f t="shared" ca="1" si="90"/>
        <v>Yes</v>
      </c>
    </row>
    <row r="316" spans="1:25" outlineLevel="1" x14ac:dyDescent="0.75">
      <c r="A316" s="304">
        <f>Consumption!A316</f>
        <v>41579</v>
      </c>
      <c r="B316" s="305">
        <f>Consumption!B316</f>
        <v>0.8</v>
      </c>
      <c r="C316" s="41">
        <f ca="1">Consumption!C316</f>
        <v>0.08</v>
      </c>
      <c r="D316" s="41">
        <f t="shared" si="80"/>
        <v>0.219</v>
      </c>
      <c r="E316" s="41">
        <f t="shared" ca="1" si="91"/>
        <v>2.4449999999999785</v>
      </c>
      <c r="F316" s="306">
        <f ca="1">'Pump Main'!$M$3*1000</f>
        <v>124614.17111887744</v>
      </c>
      <c r="G316" s="41">
        <f t="shared" ca="1" si="81"/>
        <v>9969.1336895101958</v>
      </c>
      <c r="H316" s="6">
        <f t="shared" ca="1" si="82"/>
        <v>16928.565011910392</v>
      </c>
      <c r="I316" s="6">
        <f t="shared" ca="1" si="92"/>
        <v>4.7023791699751092</v>
      </c>
      <c r="J316" s="6">
        <f t="shared" ca="1" si="83"/>
        <v>400</v>
      </c>
      <c r="K316" s="6">
        <f t="shared" ca="1" si="84"/>
        <v>0.4</v>
      </c>
      <c r="L316" s="6">
        <f t="shared" ca="1" si="85"/>
        <v>0.8</v>
      </c>
      <c r="M316">
        <f t="shared" ca="1" si="93"/>
        <v>222.22222222222223</v>
      </c>
      <c r="N316" s="6">
        <f t="shared" si="94"/>
        <v>1200</v>
      </c>
      <c r="O316" s="6">
        <f t="shared" ca="1" si="95"/>
        <v>1426.9246013921972</v>
      </c>
      <c r="P316">
        <f t="shared" si="96"/>
        <v>0</v>
      </c>
      <c r="Q316" s="6">
        <f t="shared" si="86"/>
        <v>0</v>
      </c>
      <c r="R316" s="296">
        <v>9</v>
      </c>
      <c r="S316">
        <f t="shared" si="87"/>
        <v>3427.2000000000003</v>
      </c>
      <c r="T316">
        <f t="shared" si="88"/>
        <v>3153.0240000000003</v>
      </c>
      <c r="U316">
        <f t="shared" ca="1" si="89"/>
        <v>0</v>
      </c>
      <c r="V316">
        <f t="shared" si="97"/>
        <v>3153.0240000000003</v>
      </c>
      <c r="W316">
        <f t="shared" ca="1" si="99"/>
        <v>1426.9246013921972</v>
      </c>
      <c r="X316">
        <f t="shared" ca="1" si="98"/>
        <v>2000</v>
      </c>
      <c r="Y316" s="297" t="str">
        <f t="shared" ca="1" si="90"/>
        <v>Yes</v>
      </c>
    </row>
    <row r="317" spans="1:25" outlineLevel="1" x14ac:dyDescent="0.75">
      <c r="A317" s="304">
        <f>Consumption!A317</f>
        <v>41580</v>
      </c>
      <c r="B317" s="305">
        <f>Consumption!B317</f>
        <v>0</v>
      </c>
      <c r="C317" s="41">
        <f ca="1">Consumption!C317</f>
        <v>0</v>
      </c>
      <c r="D317" s="41">
        <f t="shared" si="80"/>
        <v>0.219</v>
      </c>
      <c r="E317" s="41">
        <f t="shared" ca="1" si="91"/>
        <v>2.2259999999999787</v>
      </c>
      <c r="F317" s="306">
        <f ca="1">'Pump Main'!$M$3*1000</f>
        <v>124614.17111887744</v>
      </c>
      <c r="G317" s="41">
        <f t="shared" ca="1" si="81"/>
        <v>0</v>
      </c>
      <c r="H317" s="6">
        <f t="shared" ca="1" si="82"/>
        <v>0</v>
      </c>
      <c r="I317" s="6">
        <f t="shared" ca="1" si="92"/>
        <v>0</v>
      </c>
      <c r="J317" s="6">
        <f t="shared" ca="1" si="83"/>
        <v>0</v>
      </c>
      <c r="K317" s="6">
        <f t="shared" ca="1" si="84"/>
        <v>0</v>
      </c>
      <c r="L317" s="6">
        <f t="shared" ca="1" si="85"/>
        <v>0</v>
      </c>
      <c r="M317">
        <f t="shared" ca="1" si="93"/>
        <v>0</v>
      </c>
      <c r="N317" s="6">
        <f t="shared" si="94"/>
        <v>1200</v>
      </c>
      <c r="O317" s="6">
        <f t="shared" ca="1" si="95"/>
        <v>1200</v>
      </c>
      <c r="P317">
        <f t="shared" si="96"/>
        <v>0</v>
      </c>
      <c r="Q317" s="6">
        <f t="shared" si="86"/>
        <v>0</v>
      </c>
      <c r="R317" s="296">
        <v>9</v>
      </c>
      <c r="S317">
        <f t="shared" si="87"/>
        <v>3427.2000000000003</v>
      </c>
      <c r="T317">
        <f t="shared" si="88"/>
        <v>3153.0240000000003</v>
      </c>
      <c r="U317">
        <f t="shared" ca="1" si="89"/>
        <v>0</v>
      </c>
      <c r="V317">
        <f t="shared" si="97"/>
        <v>3153.0240000000003</v>
      </c>
      <c r="W317">
        <f t="shared" ca="1" si="99"/>
        <v>1200</v>
      </c>
      <c r="X317">
        <f t="shared" ca="1" si="98"/>
        <v>2000</v>
      </c>
      <c r="Y317" s="297" t="str">
        <f t="shared" ca="1" si="90"/>
        <v>Yes</v>
      </c>
    </row>
    <row r="318" spans="1:25" outlineLevel="1" x14ac:dyDescent="0.75">
      <c r="A318" s="304">
        <f>Consumption!A318</f>
        <v>41581</v>
      </c>
      <c r="B318" s="305">
        <f>Consumption!B318</f>
        <v>0</v>
      </c>
      <c r="C318" s="41">
        <f ca="1">Consumption!C318</f>
        <v>0</v>
      </c>
      <c r="D318" s="41">
        <f t="shared" si="80"/>
        <v>0.219</v>
      </c>
      <c r="E318" s="41">
        <f t="shared" ca="1" si="91"/>
        <v>2.0069999999999788</v>
      </c>
      <c r="F318" s="306">
        <f ca="1">'Pump Main'!$M$3*1000</f>
        <v>124614.17111887744</v>
      </c>
      <c r="G318" s="41">
        <f t="shared" ca="1" si="81"/>
        <v>0</v>
      </c>
      <c r="H318" s="6">
        <f t="shared" ca="1" si="82"/>
        <v>0</v>
      </c>
      <c r="I318" s="6">
        <f t="shared" ca="1" si="92"/>
        <v>0</v>
      </c>
      <c r="J318" s="6">
        <f t="shared" ca="1" si="83"/>
        <v>0</v>
      </c>
      <c r="K318" s="6">
        <f t="shared" ca="1" si="84"/>
        <v>0</v>
      </c>
      <c r="L318" s="6">
        <f t="shared" ca="1" si="85"/>
        <v>0</v>
      </c>
      <c r="M318">
        <f t="shared" ca="1" si="93"/>
        <v>0</v>
      </c>
      <c r="N318" s="6">
        <f t="shared" si="94"/>
        <v>1200</v>
      </c>
      <c r="O318" s="6">
        <f t="shared" ca="1" si="95"/>
        <v>1200</v>
      </c>
      <c r="P318">
        <f t="shared" si="96"/>
        <v>0</v>
      </c>
      <c r="Q318" s="6">
        <f t="shared" si="86"/>
        <v>0</v>
      </c>
      <c r="R318" s="296">
        <v>9</v>
      </c>
      <c r="S318">
        <f t="shared" si="87"/>
        <v>3427.2000000000003</v>
      </c>
      <c r="T318">
        <f t="shared" si="88"/>
        <v>3153.0240000000003</v>
      </c>
      <c r="U318">
        <f t="shared" ca="1" si="89"/>
        <v>0</v>
      </c>
      <c r="V318">
        <f t="shared" si="97"/>
        <v>3153.0240000000003</v>
      </c>
      <c r="W318">
        <f t="shared" ca="1" si="99"/>
        <v>1200</v>
      </c>
      <c r="X318">
        <f t="shared" ca="1" si="98"/>
        <v>2000</v>
      </c>
      <c r="Y318" s="297" t="str">
        <f t="shared" ca="1" si="90"/>
        <v>Yes</v>
      </c>
    </row>
    <row r="319" spans="1:25" outlineLevel="1" x14ac:dyDescent="0.75">
      <c r="A319" s="304">
        <f>Consumption!A319</f>
        <v>41582</v>
      </c>
      <c r="B319" s="305">
        <f>Consumption!B319</f>
        <v>1.2</v>
      </c>
      <c r="C319" s="41">
        <f ca="1">Consumption!C319</f>
        <v>0.12</v>
      </c>
      <c r="D319" s="41">
        <f t="shared" si="80"/>
        <v>0.219</v>
      </c>
      <c r="E319" s="41">
        <f t="shared" ca="1" si="91"/>
        <v>1.9079999999999788</v>
      </c>
      <c r="F319" s="306">
        <f ca="1">'Pump Main'!$M$3*1000</f>
        <v>124614.17111887744</v>
      </c>
      <c r="G319" s="41">
        <f t="shared" ca="1" si="81"/>
        <v>14953.700534265292</v>
      </c>
      <c r="H319" s="6">
        <f t="shared" ca="1" si="82"/>
        <v>25392.847517865586</v>
      </c>
      <c r="I319" s="6">
        <f t="shared" ca="1" si="92"/>
        <v>7.0535687549626624</v>
      </c>
      <c r="J319" s="6">
        <f t="shared" ca="1" si="83"/>
        <v>600</v>
      </c>
      <c r="K319" s="6">
        <f t="shared" ca="1" si="84"/>
        <v>0.6</v>
      </c>
      <c r="L319" s="6">
        <f t="shared" ca="1" si="85"/>
        <v>1.2</v>
      </c>
      <c r="M319">
        <f t="shared" ca="1" si="93"/>
        <v>333.33333333333331</v>
      </c>
      <c r="N319" s="6">
        <f t="shared" si="94"/>
        <v>1200</v>
      </c>
      <c r="O319" s="6">
        <f t="shared" ca="1" si="95"/>
        <v>1540.386902088296</v>
      </c>
      <c r="P319">
        <f t="shared" si="96"/>
        <v>0</v>
      </c>
      <c r="Q319" s="6">
        <f t="shared" si="86"/>
        <v>0</v>
      </c>
      <c r="R319" s="296">
        <v>9</v>
      </c>
      <c r="S319">
        <f t="shared" si="87"/>
        <v>3427.2000000000003</v>
      </c>
      <c r="T319">
        <f t="shared" si="88"/>
        <v>3153.0240000000003</v>
      </c>
      <c r="U319">
        <f t="shared" ca="1" si="89"/>
        <v>0</v>
      </c>
      <c r="V319">
        <f t="shared" si="97"/>
        <v>3153.0240000000003</v>
      </c>
      <c r="W319">
        <f t="shared" ca="1" si="99"/>
        <v>1540.386902088296</v>
      </c>
      <c r="X319">
        <f t="shared" ca="1" si="98"/>
        <v>2000</v>
      </c>
      <c r="Y319" s="297" t="str">
        <f t="shared" ca="1" si="90"/>
        <v>Yes</v>
      </c>
    </row>
    <row r="320" spans="1:25" outlineLevel="1" x14ac:dyDescent="0.75">
      <c r="A320" s="304">
        <f>Consumption!A320</f>
        <v>41583</v>
      </c>
      <c r="B320" s="305">
        <f>Consumption!B320</f>
        <v>3</v>
      </c>
      <c r="C320" s="41">
        <f ca="1">Consumption!C320</f>
        <v>0.3</v>
      </c>
      <c r="D320" s="41">
        <f t="shared" si="80"/>
        <v>0.219</v>
      </c>
      <c r="E320" s="41">
        <f t="shared" ca="1" si="91"/>
        <v>1.9889999999999788</v>
      </c>
      <c r="F320" s="306">
        <f ca="1">'Pump Main'!$M$3*1000</f>
        <v>124614.17111887744</v>
      </c>
      <c r="G320" s="41">
        <f t="shared" ca="1" si="81"/>
        <v>37384.251335663226</v>
      </c>
      <c r="H320" s="6">
        <f t="shared" ca="1" si="82"/>
        <v>63482.118794663955</v>
      </c>
      <c r="I320" s="6">
        <f t="shared" ca="1" si="92"/>
        <v>17.633921887406654</v>
      </c>
      <c r="J320" s="6">
        <f t="shared" ca="1" si="83"/>
        <v>1500</v>
      </c>
      <c r="K320" s="6">
        <f t="shared" ca="1" si="84"/>
        <v>1.5</v>
      </c>
      <c r="L320" s="6">
        <f t="shared" ca="1" si="85"/>
        <v>3</v>
      </c>
      <c r="M320">
        <f t="shared" ca="1" si="93"/>
        <v>833.33333333333337</v>
      </c>
      <c r="N320" s="6">
        <f t="shared" si="94"/>
        <v>1200</v>
      </c>
      <c r="O320" s="6">
        <f t="shared" ca="1" si="95"/>
        <v>2050.9672552207403</v>
      </c>
      <c r="P320">
        <f t="shared" si="96"/>
        <v>0</v>
      </c>
      <c r="Q320" s="6">
        <f t="shared" si="86"/>
        <v>0</v>
      </c>
      <c r="R320" s="296">
        <v>9</v>
      </c>
      <c r="S320">
        <f t="shared" si="87"/>
        <v>3427.2000000000003</v>
      </c>
      <c r="T320">
        <f t="shared" si="88"/>
        <v>3153.0240000000003</v>
      </c>
      <c r="U320">
        <f t="shared" ca="1" si="89"/>
        <v>0</v>
      </c>
      <c r="V320">
        <f t="shared" si="97"/>
        <v>3153.0240000000003</v>
      </c>
      <c r="W320">
        <f t="shared" ca="1" si="99"/>
        <v>2050.9672552207403</v>
      </c>
      <c r="X320">
        <f t="shared" ca="1" si="98"/>
        <v>2000</v>
      </c>
      <c r="Y320" s="297" t="str">
        <f t="shared" ca="1" si="90"/>
        <v>Yes</v>
      </c>
    </row>
    <row r="321" spans="1:25" outlineLevel="1" x14ac:dyDescent="0.75">
      <c r="A321" s="304">
        <f>Consumption!A321</f>
        <v>41584</v>
      </c>
      <c r="B321" s="305">
        <f>Consumption!B321</f>
        <v>3.2</v>
      </c>
      <c r="C321" s="41">
        <f ca="1">Consumption!C321</f>
        <v>0.32</v>
      </c>
      <c r="D321" s="41">
        <f t="shared" si="80"/>
        <v>0.219</v>
      </c>
      <c r="E321" s="41">
        <f t="shared" ca="1" si="91"/>
        <v>2.089999999999979</v>
      </c>
      <c r="F321" s="306">
        <f ca="1">'Pump Main'!$M$3*1000</f>
        <v>124614.17111887744</v>
      </c>
      <c r="G321" s="41">
        <f t="shared" ca="1" si="81"/>
        <v>39876.534758040783</v>
      </c>
      <c r="H321" s="6">
        <f t="shared" ca="1" si="82"/>
        <v>67714.260047641568</v>
      </c>
      <c r="I321" s="6">
        <f t="shared" ca="1" si="92"/>
        <v>18.809516679900437</v>
      </c>
      <c r="J321" s="6">
        <f t="shared" ca="1" si="83"/>
        <v>1600</v>
      </c>
      <c r="K321" s="6">
        <f t="shared" ca="1" si="84"/>
        <v>1.6</v>
      </c>
      <c r="L321" s="6">
        <f t="shared" ca="1" si="85"/>
        <v>3.2</v>
      </c>
      <c r="M321">
        <f t="shared" ca="1" si="93"/>
        <v>888.88888888888891</v>
      </c>
      <c r="N321" s="6">
        <f t="shared" si="94"/>
        <v>1200</v>
      </c>
      <c r="O321" s="6">
        <f t="shared" ca="1" si="95"/>
        <v>2107.6984055687894</v>
      </c>
      <c r="P321">
        <f t="shared" si="96"/>
        <v>0</v>
      </c>
      <c r="Q321" s="6">
        <f t="shared" si="86"/>
        <v>0</v>
      </c>
      <c r="R321" s="296">
        <v>9</v>
      </c>
      <c r="S321">
        <f t="shared" si="87"/>
        <v>3427.2000000000003</v>
      </c>
      <c r="T321">
        <f t="shared" si="88"/>
        <v>3153.0240000000003</v>
      </c>
      <c r="U321">
        <f t="shared" ca="1" si="89"/>
        <v>0</v>
      </c>
      <c r="V321">
        <f t="shared" si="97"/>
        <v>3153.0240000000003</v>
      </c>
      <c r="W321">
        <f t="shared" ca="1" si="99"/>
        <v>2107.6984055687894</v>
      </c>
      <c r="X321">
        <f t="shared" ca="1" si="98"/>
        <v>2000</v>
      </c>
      <c r="Y321" s="297" t="str">
        <f t="shared" ca="1" si="90"/>
        <v>Yes</v>
      </c>
    </row>
    <row r="322" spans="1:25" outlineLevel="1" x14ac:dyDescent="0.75">
      <c r="A322" s="304">
        <f>Consumption!A322</f>
        <v>41585</v>
      </c>
      <c r="B322" s="305">
        <f>Consumption!B322</f>
        <v>3.2</v>
      </c>
      <c r="C322" s="41">
        <f ca="1">Consumption!C322</f>
        <v>0.32</v>
      </c>
      <c r="D322" s="41">
        <f t="shared" si="80"/>
        <v>0.219</v>
      </c>
      <c r="E322" s="41">
        <f t="shared" ca="1" si="91"/>
        <v>2.190999999999979</v>
      </c>
      <c r="F322" s="306">
        <f ca="1">'Pump Main'!$M$3*1000</f>
        <v>124614.17111887744</v>
      </c>
      <c r="G322" s="41">
        <f t="shared" ca="1" si="81"/>
        <v>39876.534758040783</v>
      </c>
      <c r="H322" s="6">
        <f t="shared" ca="1" si="82"/>
        <v>67714.260047641568</v>
      </c>
      <c r="I322" s="6">
        <f t="shared" ca="1" si="92"/>
        <v>18.809516679900437</v>
      </c>
      <c r="J322" s="6">
        <f t="shared" ca="1" si="83"/>
        <v>1600</v>
      </c>
      <c r="K322" s="6">
        <f t="shared" ca="1" si="84"/>
        <v>1.6</v>
      </c>
      <c r="L322" s="6">
        <f t="shared" ca="1" si="85"/>
        <v>3.2</v>
      </c>
      <c r="M322">
        <f t="shared" ca="1" si="93"/>
        <v>888.88888888888891</v>
      </c>
      <c r="N322" s="6">
        <f t="shared" si="94"/>
        <v>1200</v>
      </c>
      <c r="O322" s="6">
        <f t="shared" ca="1" si="95"/>
        <v>2107.6984055687894</v>
      </c>
      <c r="P322">
        <f t="shared" si="96"/>
        <v>0</v>
      </c>
      <c r="Q322" s="6">
        <f t="shared" si="86"/>
        <v>0</v>
      </c>
      <c r="R322" s="296">
        <v>9</v>
      </c>
      <c r="S322">
        <f t="shared" si="87"/>
        <v>3427.2000000000003</v>
      </c>
      <c r="T322">
        <f t="shared" si="88"/>
        <v>3153.0240000000003</v>
      </c>
      <c r="U322">
        <f t="shared" ca="1" si="89"/>
        <v>0</v>
      </c>
      <c r="V322">
        <f t="shared" si="97"/>
        <v>3153.0240000000003</v>
      </c>
      <c r="W322">
        <f t="shared" ca="1" si="99"/>
        <v>2107.6984055687894</v>
      </c>
      <c r="X322">
        <f t="shared" ca="1" si="98"/>
        <v>2000</v>
      </c>
      <c r="Y322" s="297" t="str">
        <f t="shared" ca="1" si="90"/>
        <v>Yes</v>
      </c>
    </row>
    <row r="323" spans="1:25" outlineLevel="1" x14ac:dyDescent="0.75">
      <c r="A323" s="304">
        <f>Consumption!A323</f>
        <v>41586</v>
      </c>
      <c r="B323" s="305">
        <f>Consumption!B323</f>
        <v>5.6</v>
      </c>
      <c r="C323" s="41">
        <f ca="1">Consumption!C323</f>
        <v>0.56000000000000005</v>
      </c>
      <c r="D323" s="41">
        <f t="shared" si="80"/>
        <v>0.219</v>
      </c>
      <c r="E323" s="41">
        <f t="shared" ca="1" si="91"/>
        <v>2.5319999999999792</v>
      </c>
      <c r="F323" s="306">
        <f ca="1">'Pump Main'!$M$3*1000</f>
        <v>124614.17111887744</v>
      </c>
      <c r="G323" s="41">
        <f t="shared" ca="1" si="81"/>
        <v>69783.935826571367</v>
      </c>
      <c r="H323" s="6">
        <f t="shared" ca="1" si="82"/>
        <v>118499.95508337274</v>
      </c>
      <c r="I323" s="6">
        <f t="shared" ca="1" si="92"/>
        <v>32.916654189825763</v>
      </c>
      <c r="J323" s="6">
        <f t="shared" ca="1" si="83"/>
        <v>2800.0000000000005</v>
      </c>
      <c r="K323" s="6">
        <f t="shared" ca="1" si="84"/>
        <v>2.8000000000000003</v>
      </c>
      <c r="L323" s="6">
        <f t="shared" ca="1" si="85"/>
        <v>5.6000000000000005</v>
      </c>
      <c r="M323">
        <f t="shared" ca="1" si="93"/>
        <v>1555.5555555555559</v>
      </c>
      <c r="N323" s="6">
        <f t="shared" si="94"/>
        <v>1200</v>
      </c>
      <c r="O323" s="6">
        <f t="shared" ca="1" si="95"/>
        <v>2788.4722097453814</v>
      </c>
      <c r="P323">
        <f t="shared" si="96"/>
        <v>0</v>
      </c>
      <c r="Q323" s="6">
        <f t="shared" si="86"/>
        <v>0</v>
      </c>
      <c r="R323" s="296">
        <v>9</v>
      </c>
      <c r="S323">
        <f t="shared" si="87"/>
        <v>3427.2000000000003</v>
      </c>
      <c r="T323">
        <f t="shared" si="88"/>
        <v>3153.0240000000003</v>
      </c>
      <c r="U323">
        <f t="shared" ca="1" si="89"/>
        <v>0</v>
      </c>
      <c r="V323">
        <f t="shared" si="97"/>
        <v>3153.0240000000003</v>
      </c>
      <c r="W323">
        <f t="shared" ca="1" si="99"/>
        <v>2788.4722097453814</v>
      </c>
      <c r="X323">
        <f t="shared" ca="1" si="98"/>
        <v>2000</v>
      </c>
      <c r="Y323" s="297" t="str">
        <f t="shared" ca="1" si="90"/>
        <v>Yes</v>
      </c>
    </row>
    <row r="324" spans="1:25" outlineLevel="1" x14ac:dyDescent="0.75">
      <c r="A324" s="304">
        <f>Consumption!A324</f>
        <v>41587</v>
      </c>
      <c r="B324" s="305">
        <f>Consumption!B324</f>
        <v>0</v>
      </c>
      <c r="C324" s="41">
        <f ca="1">Consumption!C324</f>
        <v>0</v>
      </c>
      <c r="D324" s="41">
        <f t="shared" si="80"/>
        <v>0.219</v>
      </c>
      <c r="E324" s="41">
        <f t="shared" ca="1" si="91"/>
        <v>2.3129999999999793</v>
      </c>
      <c r="F324" s="306">
        <f ca="1">'Pump Main'!$M$3*1000</f>
        <v>124614.17111887744</v>
      </c>
      <c r="G324" s="41">
        <f t="shared" ca="1" si="81"/>
        <v>0</v>
      </c>
      <c r="H324" s="6">
        <f t="shared" ca="1" si="82"/>
        <v>0</v>
      </c>
      <c r="I324" s="6">
        <f t="shared" ca="1" si="92"/>
        <v>0</v>
      </c>
      <c r="J324" s="6">
        <f t="shared" ca="1" si="83"/>
        <v>0</v>
      </c>
      <c r="K324" s="6">
        <f t="shared" ca="1" si="84"/>
        <v>0</v>
      </c>
      <c r="L324" s="6">
        <f t="shared" ca="1" si="85"/>
        <v>0</v>
      </c>
      <c r="M324">
        <f t="shared" ca="1" si="93"/>
        <v>0</v>
      </c>
      <c r="N324" s="6">
        <f t="shared" si="94"/>
        <v>1200</v>
      </c>
      <c r="O324" s="6">
        <f t="shared" ca="1" si="95"/>
        <v>1200</v>
      </c>
      <c r="P324">
        <f t="shared" si="96"/>
        <v>0</v>
      </c>
      <c r="Q324" s="6">
        <f t="shared" si="86"/>
        <v>0</v>
      </c>
      <c r="R324" s="296">
        <v>9</v>
      </c>
      <c r="S324">
        <f t="shared" si="87"/>
        <v>3427.2000000000003</v>
      </c>
      <c r="T324">
        <f t="shared" si="88"/>
        <v>3153.0240000000003</v>
      </c>
      <c r="U324">
        <f t="shared" ca="1" si="89"/>
        <v>0</v>
      </c>
      <c r="V324">
        <f t="shared" si="97"/>
        <v>3153.0240000000003</v>
      </c>
      <c r="W324">
        <f t="shared" ca="1" si="99"/>
        <v>1200</v>
      </c>
      <c r="X324">
        <f t="shared" ca="1" si="98"/>
        <v>2000</v>
      </c>
      <c r="Y324" s="297" t="str">
        <f t="shared" ca="1" si="90"/>
        <v>Yes</v>
      </c>
    </row>
    <row r="325" spans="1:25" outlineLevel="1" x14ac:dyDescent="0.75">
      <c r="A325" s="304">
        <f>Consumption!A325</f>
        <v>41588</v>
      </c>
      <c r="B325" s="305">
        <f>Consumption!B325</f>
        <v>0</v>
      </c>
      <c r="C325" s="41">
        <f ca="1">Consumption!C325</f>
        <v>0</v>
      </c>
      <c r="D325" s="41">
        <f t="shared" si="80"/>
        <v>0.219</v>
      </c>
      <c r="E325" s="41">
        <f t="shared" ca="1" si="91"/>
        <v>2.0939999999999794</v>
      </c>
      <c r="F325" s="306">
        <f ca="1">'Pump Main'!$M$3*1000</f>
        <v>124614.17111887744</v>
      </c>
      <c r="G325" s="41">
        <f t="shared" ca="1" si="81"/>
        <v>0</v>
      </c>
      <c r="H325" s="6">
        <f t="shared" ca="1" si="82"/>
        <v>0</v>
      </c>
      <c r="I325" s="6">
        <f t="shared" ca="1" si="92"/>
        <v>0</v>
      </c>
      <c r="J325" s="6">
        <f t="shared" ca="1" si="83"/>
        <v>0</v>
      </c>
      <c r="K325" s="6">
        <f t="shared" ca="1" si="84"/>
        <v>0</v>
      </c>
      <c r="L325" s="6">
        <f t="shared" ca="1" si="85"/>
        <v>0</v>
      </c>
      <c r="M325">
        <f t="shared" ca="1" si="93"/>
        <v>0</v>
      </c>
      <c r="N325" s="6">
        <f t="shared" si="94"/>
        <v>1200</v>
      </c>
      <c r="O325" s="6">
        <f t="shared" ca="1" si="95"/>
        <v>1200</v>
      </c>
      <c r="P325">
        <f t="shared" si="96"/>
        <v>0</v>
      </c>
      <c r="Q325" s="6">
        <f t="shared" si="86"/>
        <v>0</v>
      </c>
      <c r="R325" s="296">
        <v>9</v>
      </c>
      <c r="S325">
        <f t="shared" si="87"/>
        <v>3427.2000000000003</v>
      </c>
      <c r="T325">
        <f t="shared" si="88"/>
        <v>3153.0240000000003</v>
      </c>
      <c r="U325">
        <f t="shared" ca="1" si="89"/>
        <v>0</v>
      </c>
      <c r="V325">
        <f t="shared" si="97"/>
        <v>3153.0240000000003</v>
      </c>
      <c r="W325">
        <f t="shared" ca="1" si="99"/>
        <v>1200</v>
      </c>
      <c r="X325">
        <f t="shared" ca="1" si="98"/>
        <v>2000</v>
      </c>
      <c r="Y325" s="297" t="str">
        <f t="shared" ca="1" si="90"/>
        <v>Yes</v>
      </c>
    </row>
    <row r="326" spans="1:25" outlineLevel="1" x14ac:dyDescent="0.75">
      <c r="A326" s="304">
        <f>Consumption!A326</f>
        <v>41589</v>
      </c>
      <c r="B326" s="305">
        <f>Consumption!B326</f>
        <v>1.8</v>
      </c>
      <c r="C326" s="41">
        <f ca="1">Consumption!C326</f>
        <v>0.18</v>
      </c>
      <c r="D326" s="41">
        <f t="shared" si="80"/>
        <v>0.219</v>
      </c>
      <c r="E326" s="41">
        <f t="shared" ca="1" si="91"/>
        <v>2.0549999999999797</v>
      </c>
      <c r="F326" s="306">
        <f ca="1">'Pump Main'!$M$3*1000</f>
        <v>124614.17111887744</v>
      </c>
      <c r="G326" s="41">
        <f t="shared" ca="1" si="81"/>
        <v>22430.550801397938</v>
      </c>
      <c r="H326" s="6">
        <f t="shared" ca="1" si="82"/>
        <v>38089.271276798376</v>
      </c>
      <c r="I326" s="6">
        <f t="shared" ca="1" si="92"/>
        <v>10.580353132443994</v>
      </c>
      <c r="J326" s="6">
        <f t="shared" ca="1" si="83"/>
        <v>899.99999999999989</v>
      </c>
      <c r="K326" s="6">
        <f t="shared" ca="1" si="84"/>
        <v>0.89999999999999991</v>
      </c>
      <c r="L326" s="6">
        <f t="shared" ca="1" si="85"/>
        <v>1.7999999999999998</v>
      </c>
      <c r="M326">
        <f t="shared" ca="1" si="93"/>
        <v>499.99999999999994</v>
      </c>
      <c r="N326" s="6">
        <f t="shared" si="94"/>
        <v>1200</v>
      </c>
      <c r="O326" s="6">
        <f t="shared" ca="1" si="95"/>
        <v>1710.5803531324439</v>
      </c>
      <c r="P326">
        <f t="shared" si="96"/>
        <v>0</v>
      </c>
      <c r="Q326" s="6">
        <f t="shared" si="86"/>
        <v>0</v>
      </c>
      <c r="R326" s="296">
        <v>9</v>
      </c>
      <c r="S326">
        <f t="shared" si="87"/>
        <v>3427.2000000000003</v>
      </c>
      <c r="T326">
        <f t="shared" si="88"/>
        <v>3153.0240000000003</v>
      </c>
      <c r="U326">
        <f t="shared" ca="1" si="89"/>
        <v>0</v>
      </c>
      <c r="V326">
        <f t="shared" si="97"/>
        <v>3153.0240000000003</v>
      </c>
      <c r="W326">
        <f t="shared" ca="1" si="99"/>
        <v>1710.5803531324439</v>
      </c>
      <c r="X326">
        <f t="shared" ca="1" si="98"/>
        <v>2000</v>
      </c>
      <c r="Y326" s="297" t="str">
        <f t="shared" ca="1" si="90"/>
        <v>Yes</v>
      </c>
    </row>
    <row r="327" spans="1:25" outlineLevel="1" x14ac:dyDescent="0.75">
      <c r="A327" s="304">
        <f>Consumption!A327</f>
        <v>41590</v>
      </c>
      <c r="B327" s="305">
        <f>Consumption!B327</f>
        <v>9.6</v>
      </c>
      <c r="C327" s="41">
        <f ca="1">Consumption!C327</f>
        <v>0.96</v>
      </c>
      <c r="D327" s="41">
        <f t="shared" si="80"/>
        <v>0.219</v>
      </c>
      <c r="E327" s="41">
        <f t="shared" ca="1" si="91"/>
        <v>2.7959999999999798</v>
      </c>
      <c r="F327" s="306">
        <f ca="1">'Pump Main'!$M$3*1000</f>
        <v>124614.17111887744</v>
      </c>
      <c r="G327" s="41">
        <f t="shared" ca="1" si="81"/>
        <v>119629.60427412234</v>
      </c>
      <c r="H327" s="6">
        <f t="shared" ca="1" si="82"/>
        <v>203142.78014292469</v>
      </c>
      <c r="I327" s="6">
        <f t="shared" ca="1" si="92"/>
        <v>56.4285500397013</v>
      </c>
      <c r="J327" s="6">
        <f t="shared" ca="1" si="83"/>
        <v>4800</v>
      </c>
      <c r="K327" s="6">
        <f t="shared" ca="1" si="84"/>
        <v>4.8</v>
      </c>
      <c r="L327" s="6">
        <f t="shared" ca="1" si="85"/>
        <v>9.6</v>
      </c>
      <c r="M327">
        <f t="shared" ca="1" si="93"/>
        <v>2666.6666666666665</v>
      </c>
      <c r="N327" s="6">
        <f t="shared" si="94"/>
        <v>1200</v>
      </c>
      <c r="O327" s="6">
        <f t="shared" ca="1" si="95"/>
        <v>3923.0952167063679</v>
      </c>
      <c r="P327">
        <f t="shared" si="96"/>
        <v>0</v>
      </c>
      <c r="Q327" s="6">
        <f t="shared" si="86"/>
        <v>0</v>
      </c>
      <c r="R327" s="296">
        <v>9</v>
      </c>
      <c r="S327">
        <f t="shared" si="87"/>
        <v>3427.2000000000003</v>
      </c>
      <c r="T327">
        <f t="shared" si="88"/>
        <v>3153.0240000000003</v>
      </c>
      <c r="U327">
        <f t="shared" ca="1" si="89"/>
        <v>0</v>
      </c>
      <c r="V327">
        <f t="shared" si="97"/>
        <v>3153.0240000000003</v>
      </c>
      <c r="W327">
        <f t="shared" ca="1" si="99"/>
        <v>3923.0952167063679</v>
      </c>
      <c r="X327">
        <f t="shared" ca="1" si="98"/>
        <v>940.34552259753355</v>
      </c>
      <c r="Y327" s="297" t="str">
        <f t="shared" ca="1" si="90"/>
        <v>Yes</v>
      </c>
    </row>
    <row r="328" spans="1:25" outlineLevel="1" x14ac:dyDescent="0.75">
      <c r="A328" s="304">
        <f>Consumption!A328</f>
        <v>41591</v>
      </c>
      <c r="B328" s="305">
        <f>Consumption!B328</f>
        <v>8.8000000000000007</v>
      </c>
      <c r="C328" s="41">
        <f ca="1">Consumption!C328</f>
        <v>0.88000000000000012</v>
      </c>
      <c r="D328" s="41">
        <f t="shared" si="80"/>
        <v>0.219</v>
      </c>
      <c r="E328" s="41">
        <f t="shared" ca="1" si="91"/>
        <v>3.4569999999999799</v>
      </c>
      <c r="F328" s="306">
        <f ca="1">'Pump Main'!$M$3*1000</f>
        <v>124614.17111887744</v>
      </c>
      <c r="G328" s="41">
        <f t="shared" ca="1" si="81"/>
        <v>109660.47058461215</v>
      </c>
      <c r="H328" s="6">
        <f t="shared" ca="1" si="82"/>
        <v>186214.21513101429</v>
      </c>
      <c r="I328" s="6">
        <f t="shared" ca="1" si="92"/>
        <v>51.726170869726189</v>
      </c>
      <c r="J328" s="6">
        <f t="shared" ca="1" si="83"/>
        <v>4400</v>
      </c>
      <c r="K328" s="6">
        <f t="shared" ca="1" si="84"/>
        <v>4.4000000000000004</v>
      </c>
      <c r="L328" s="6">
        <f t="shared" ca="1" si="85"/>
        <v>8.8000000000000007</v>
      </c>
      <c r="M328">
        <f t="shared" ca="1" si="93"/>
        <v>2444.4444444444443</v>
      </c>
      <c r="N328" s="6">
        <f t="shared" si="94"/>
        <v>1200</v>
      </c>
      <c r="O328" s="6">
        <f t="shared" ca="1" si="95"/>
        <v>3696.1706153141704</v>
      </c>
      <c r="P328">
        <f t="shared" si="96"/>
        <v>0</v>
      </c>
      <c r="Q328" s="6">
        <f t="shared" si="86"/>
        <v>0</v>
      </c>
      <c r="R328" s="296">
        <v>9</v>
      </c>
      <c r="S328">
        <f t="shared" si="87"/>
        <v>3427.2000000000003</v>
      </c>
      <c r="T328">
        <f t="shared" si="88"/>
        <v>3153.0240000000003</v>
      </c>
      <c r="U328">
        <f t="shared" ca="1" si="89"/>
        <v>0</v>
      </c>
      <c r="V328">
        <f t="shared" si="97"/>
        <v>3153.0240000000003</v>
      </c>
      <c r="W328">
        <f t="shared" ca="1" si="99"/>
        <v>3696.1706153141704</v>
      </c>
      <c r="X328">
        <f t="shared" ca="1" si="98"/>
        <v>117.0708383119395</v>
      </c>
      <c r="Y328" s="297" t="str">
        <f t="shared" ca="1" si="90"/>
        <v>Yes</v>
      </c>
    </row>
    <row r="329" spans="1:25" outlineLevel="1" x14ac:dyDescent="0.75">
      <c r="A329" s="304">
        <f>Consumption!A329</f>
        <v>41592</v>
      </c>
      <c r="B329" s="305">
        <f>Consumption!B329</f>
        <v>1.4</v>
      </c>
      <c r="C329" s="41">
        <f ca="1">Consumption!C329</f>
        <v>0.14000000000000001</v>
      </c>
      <c r="D329" s="41">
        <f t="shared" si="80"/>
        <v>0.219</v>
      </c>
      <c r="E329" s="41">
        <f t="shared" ca="1" si="91"/>
        <v>3.3779999999999801</v>
      </c>
      <c r="F329" s="306">
        <f ca="1">'Pump Main'!$M$3*1000</f>
        <v>124614.17111887744</v>
      </c>
      <c r="G329" s="41">
        <f t="shared" ca="1" si="81"/>
        <v>17445.983956642842</v>
      </c>
      <c r="H329" s="6">
        <f t="shared" ca="1" si="82"/>
        <v>29624.988770843185</v>
      </c>
      <c r="I329" s="6">
        <f t="shared" ca="1" si="92"/>
        <v>8.2291635474564409</v>
      </c>
      <c r="J329" s="6">
        <f t="shared" ca="1" si="83"/>
        <v>700.00000000000011</v>
      </c>
      <c r="K329" s="6">
        <f t="shared" ca="1" si="84"/>
        <v>0.70000000000000007</v>
      </c>
      <c r="L329" s="6">
        <f t="shared" ca="1" si="85"/>
        <v>1.4000000000000001</v>
      </c>
      <c r="M329">
        <f t="shared" ca="1" si="93"/>
        <v>388.88888888888897</v>
      </c>
      <c r="N329" s="6">
        <f t="shared" si="94"/>
        <v>1200</v>
      </c>
      <c r="O329" s="6">
        <f t="shared" ca="1" si="95"/>
        <v>1597.1180524363454</v>
      </c>
      <c r="P329">
        <f t="shared" si="96"/>
        <v>0</v>
      </c>
      <c r="Q329" s="6">
        <f t="shared" si="86"/>
        <v>0</v>
      </c>
      <c r="R329" s="296">
        <v>9</v>
      </c>
      <c r="S329">
        <f t="shared" si="87"/>
        <v>3427.2000000000003</v>
      </c>
      <c r="T329">
        <f t="shared" si="88"/>
        <v>3153.0240000000003</v>
      </c>
      <c r="U329">
        <f t="shared" ca="1" si="89"/>
        <v>0</v>
      </c>
      <c r="V329">
        <f t="shared" si="97"/>
        <v>3153.0240000000003</v>
      </c>
      <c r="W329">
        <f t="shared" ca="1" si="99"/>
        <v>1597.1180524363454</v>
      </c>
      <c r="X329">
        <f t="shared" ca="1" si="98"/>
        <v>1480.3092403574133</v>
      </c>
      <c r="Y329" s="297" t="str">
        <f t="shared" ca="1" si="90"/>
        <v>Yes</v>
      </c>
    </row>
    <row r="330" spans="1:25" outlineLevel="1" x14ac:dyDescent="0.75">
      <c r="A330" s="304">
        <f>Consumption!A330</f>
        <v>41593</v>
      </c>
      <c r="B330" s="305">
        <f>Consumption!B330</f>
        <v>11.8</v>
      </c>
      <c r="C330" s="41">
        <f ca="1">Consumption!C330</f>
        <v>1.18</v>
      </c>
      <c r="D330" s="41">
        <f t="shared" si="80"/>
        <v>0.219</v>
      </c>
      <c r="E330" s="41">
        <f t="shared" ca="1" si="91"/>
        <v>4.33899999999998</v>
      </c>
      <c r="F330" s="306">
        <f ca="1">'Pump Main'!$M$3*1000</f>
        <v>124614.17111887744</v>
      </c>
      <c r="G330" s="41">
        <f t="shared" ca="1" si="81"/>
        <v>147044.72192027536</v>
      </c>
      <c r="H330" s="6">
        <f t="shared" ca="1" si="82"/>
        <v>249696.33392567822</v>
      </c>
      <c r="I330" s="6">
        <f t="shared" ca="1" si="92"/>
        <v>69.360092757132833</v>
      </c>
      <c r="J330" s="6">
        <f t="shared" ca="1" si="83"/>
        <v>5899.9999999999991</v>
      </c>
      <c r="K330" s="6">
        <f t="shared" ca="1" si="84"/>
        <v>5.8999999999999995</v>
      </c>
      <c r="L330" s="6">
        <f t="shared" ca="1" si="85"/>
        <v>11.799999999999999</v>
      </c>
      <c r="M330">
        <f t="shared" ca="1" si="93"/>
        <v>3277.7777777777774</v>
      </c>
      <c r="N330" s="6">
        <f t="shared" si="94"/>
        <v>1200</v>
      </c>
      <c r="O330" s="6">
        <f t="shared" ca="1" si="95"/>
        <v>4547.1378705349107</v>
      </c>
      <c r="P330">
        <f t="shared" si="96"/>
        <v>0</v>
      </c>
      <c r="Q330" s="6">
        <f t="shared" si="86"/>
        <v>0</v>
      </c>
      <c r="R330" s="296">
        <v>9</v>
      </c>
      <c r="S330">
        <f t="shared" si="87"/>
        <v>3427.2000000000003</v>
      </c>
      <c r="T330">
        <f t="shared" si="88"/>
        <v>3153.0240000000003</v>
      </c>
      <c r="U330">
        <f t="shared" ca="1" si="89"/>
        <v>0</v>
      </c>
      <c r="V330">
        <f t="shared" si="97"/>
        <v>3153.0240000000003</v>
      </c>
      <c r="W330">
        <f t="shared" ca="1" si="99"/>
        <v>4326.9237891431167</v>
      </c>
      <c r="X330">
        <f t="shared" ca="1" si="98"/>
        <v>0</v>
      </c>
      <c r="Y330" s="297" t="str">
        <f t="shared" ca="1" si="90"/>
        <v>No</v>
      </c>
    </row>
    <row r="331" spans="1:25" outlineLevel="1" x14ac:dyDescent="0.75">
      <c r="A331" s="304">
        <f>Consumption!A331</f>
        <v>41594</v>
      </c>
      <c r="B331" s="305">
        <f>Consumption!B331</f>
        <v>0</v>
      </c>
      <c r="C331" s="41">
        <f ca="1">Consumption!C331</f>
        <v>0</v>
      </c>
      <c r="D331" s="41">
        <f t="shared" si="80"/>
        <v>0.219</v>
      </c>
      <c r="E331" s="41">
        <f t="shared" ca="1" si="91"/>
        <v>4.1199999999999797</v>
      </c>
      <c r="F331" s="306">
        <f ca="1">'Pump Main'!$M$3*1000</f>
        <v>124614.17111887744</v>
      </c>
      <c r="G331" s="41">
        <f t="shared" ca="1" si="81"/>
        <v>0</v>
      </c>
      <c r="H331" s="6">
        <f t="shared" ca="1" si="82"/>
        <v>0</v>
      </c>
      <c r="I331" s="6">
        <f t="shared" ca="1" si="92"/>
        <v>0</v>
      </c>
      <c r="J331" s="6">
        <f t="shared" ca="1" si="83"/>
        <v>0</v>
      </c>
      <c r="K331" s="6">
        <f t="shared" ca="1" si="84"/>
        <v>0</v>
      </c>
      <c r="L331" s="6">
        <f t="shared" ca="1" si="85"/>
        <v>0</v>
      </c>
      <c r="M331">
        <f t="shared" ca="1" si="93"/>
        <v>0</v>
      </c>
      <c r="N331" s="6">
        <f t="shared" si="94"/>
        <v>1200</v>
      </c>
      <c r="O331" s="6">
        <f t="shared" ca="1" si="95"/>
        <v>1200</v>
      </c>
      <c r="P331">
        <f t="shared" si="96"/>
        <v>0</v>
      </c>
      <c r="Q331" s="6">
        <f t="shared" si="86"/>
        <v>0</v>
      </c>
      <c r="R331" s="296">
        <v>9</v>
      </c>
      <c r="S331">
        <f t="shared" si="87"/>
        <v>3427.2000000000003</v>
      </c>
      <c r="T331">
        <f t="shared" si="88"/>
        <v>3153.0240000000003</v>
      </c>
      <c r="U331">
        <f t="shared" ca="1" si="89"/>
        <v>0</v>
      </c>
      <c r="V331">
        <f t="shared" si="97"/>
        <v>3153.0240000000003</v>
      </c>
      <c r="W331">
        <f t="shared" ca="1" si="99"/>
        <v>1200</v>
      </c>
      <c r="X331">
        <f t="shared" ca="1" si="98"/>
        <v>1776.9030400000001</v>
      </c>
      <c r="Y331" s="297" t="str">
        <f t="shared" ca="1" si="90"/>
        <v>Yes</v>
      </c>
    </row>
    <row r="332" spans="1:25" outlineLevel="1" x14ac:dyDescent="0.75">
      <c r="A332" s="304">
        <f>Consumption!A332</f>
        <v>41595</v>
      </c>
      <c r="B332" s="305">
        <f>Consumption!B332</f>
        <v>4.5999999999999996</v>
      </c>
      <c r="C332" s="41">
        <f ca="1">Consumption!C332</f>
        <v>0.45999999999999996</v>
      </c>
      <c r="D332" s="41">
        <f t="shared" ref="D332:D376" si="100">$B$4/1000</f>
        <v>0.219</v>
      </c>
      <c r="E332" s="41">
        <f t="shared" ca="1" si="91"/>
        <v>4.3609999999999793</v>
      </c>
      <c r="F332" s="306">
        <f ca="1">'Pump Main'!$M$3*1000</f>
        <v>124614.17111887744</v>
      </c>
      <c r="G332" s="41">
        <f t="shared" ref="G332:G376" ca="1" si="101">C332*F332</f>
        <v>57322.518714683618</v>
      </c>
      <c r="H332" s="6">
        <f t="shared" ref="H332:H376" ca="1" si="102">G332/$H$1</f>
        <v>97339.248818484732</v>
      </c>
      <c r="I332" s="6">
        <f t="shared" ca="1" si="92"/>
        <v>27.03868022735687</v>
      </c>
      <c r="J332" s="6">
        <f t="shared" ref="J332:J376" ca="1" si="103">$K$4*$K$2/$K$1*C332*1000</f>
        <v>2300</v>
      </c>
      <c r="K332" s="6">
        <f t="shared" ref="K332:K376" ca="1" si="104">J332/1000</f>
        <v>2.2999999999999998</v>
      </c>
      <c r="L332" s="6">
        <f t="shared" ref="L332:L376" ca="1" si="105">$K$3*K332</f>
        <v>4.5999999999999996</v>
      </c>
      <c r="M332">
        <f t="shared" ca="1" si="93"/>
        <v>1277.7777777777778</v>
      </c>
      <c r="N332" s="6">
        <f t="shared" si="94"/>
        <v>1200</v>
      </c>
      <c r="O332" s="6">
        <f t="shared" ca="1" si="95"/>
        <v>2504.8164580051348</v>
      </c>
      <c r="P332">
        <f t="shared" si="96"/>
        <v>0</v>
      </c>
      <c r="Q332" s="6">
        <f t="shared" ref="Q332:Q376" si="106">IF($N$3,P332*3600/10^6 / $N$5 / $N$4, 0)</f>
        <v>0</v>
      </c>
      <c r="R332" s="296">
        <v>9</v>
      </c>
      <c r="S332">
        <f t="shared" ref="S332:S376" si="107">IF($Q$1, $Q$2 * $Q$3 * R332 * $Q$4 * $Q$5, 0)</f>
        <v>3427.2000000000003</v>
      </c>
      <c r="T332">
        <f t="shared" ref="T332:T376" si="108">S332*$Q$6</f>
        <v>3153.0240000000003</v>
      </c>
      <c r="U332">
        <f t="shared" ref="U332:U376" ca="1" si="109">$T$1/$T$2*C332/$T$3/1000*$T$4</f>
        <v>0</v>
      </c>
      <c r="V332">
        <f t="shared" si="97"/>
        <v>3153.0240000000003</v>
      </c>
      <c r="W332">
        <f t="shared" ca="1" si="99"/>
        <v>2504.8164580051348</v>
      </c>
      <c r="X332">
        <f t="shared" ca="1" si="98"/>
        <v>2000</v>
      </c>
      <c r="Y332" s="297" t="str">
        <f t="shared" ref="Y332:Y376" ca="1" si="110">IF(IF($N$3, FALSE, W332 &lt; O332),"No", "Yes")</f>
        <v>Yes</v>
      </c>
    </row>
    <row r="333" spans="1:25" outlineLevel="1" x14ac:dyDescent="0.75">
      <c r="A333" s="304">
        <f>Consumption!A333</f>
        <v>41596</v>
      </c>
      <c r="B333" s="305">
        <f>Consumption!B333</f>
        <v>0</v>
      </c>
      <c r="C333" s="41">
        <f ca="1">Consumption!C333</f>
        <v>0</v>
      </c>
      <c r="D333" s="41">
        <f t="shared" si="100"/>
        <v>0.219</v>
      </c>
      <c r="E333" s="41">
        <f t="shared" ref="E333:E376" ca="1" si="111">E332+C333-D333</f>
        <v>4.141999999999979</v>
      </c>
      <c r="F333" s="306">
        <f ca="1">'Pump Main'!$M$3*1000</f>
        <v>124614.17111887744</v>
      </c>
      <c r="G333" s="41">
        <f t="shared" ca="1" si="101"/>
        <v>0</v>
      </c>
      <c r="H333" s="6">
        <f t="shared" ca="1" si="102"/>
        <v>0</v>
      </c>
      <c r="I333" s="6">
        <f t="shared" ref="I333:I376" ca="1" si="112">H333/3600</f>
        <v>0</v>
      </c>
      <c r="J333" s="6">
        <f t="shared" ca="1" si="103"/>
        <v>0</v>
      </c>
      <c r="K333" s="6">
        <f t="shared" ca="1" si="104"/>
        <v>0</v>
      </c>
      <c r="L333" s="6">
        <f t="shared" ca="1" si="105"/>
        <v>0</v>
      </c>
      <c r="M333">
        <f t="shared" ref="M333:M376" ca="1" si="113">L333*10^6/3600</f>
        <v>0</v>
      </c>
      <c r="N333" s="6">
        <f t="shared" ref="N333:N376" si="114">$N$1*$N$2</f>
        <v>1200</v>
      </c>
      <c r="O333" s="6">
        <f t="shared" ref="O333:O376" ca="1" si="115">I333+M333+N333</f>
        <v>1200</v>
      </c>
      <c r="P333">
        <f t="shared" ref="P333:P376" si="116">IF($N$3, O333-N333+V333, 0)</f>
        <v>0</v>
      </c>
      <c r="Q333" s="6">
        <f t="shared" si="106"/>
        <v>0</v>
      </c>
      <c r="R333" s="296">
        <v>9</v>
      </c>
      <c r="S333">
        <f t="shared" si="107"/>
        <v>3427.2000000000003</v>
      </c>
      <c r="T333">
        <f t="shared" si="108"/>
        <v>3153.0240000000003</v>
      </c>
      <c r="U333">
        <f t="shared" ca="1" si="109"/>
        <v>0</v>
      </c>
      <c r="V333">
        <f t="shared" ref="V333:V376" si="117">IF($N$3, (X333-X332+W333/$W$2)/$W$2, T333)</f>
        <v>3153.0240000000003</v>
      </c>
      <c r="W333">
        <f t="shared" ca="1" si="99"/>
        <v>1200</v>
      </c>
      <c r="X333">
        <f t="shared" ref="X333:X376" ca="1" si="118">IF($N$3, 0, MIN(X332+V333*$W$2 - W333 / $W$2, $W$1*$W$3))</f>
        <v>2000</v>
      </c>
      <c r="Y333" s="297" t="str">
        <f t="shared" ca="1" si="110"/>
        <v>Yes</v>
      </c>
    </row>
    <row r="334" spans="1:25" outlineLevel="1" x14ac:dyDescent="0.75">
      <c r="A334" s="304">
        <f>Consumption!A334</f>
        <v>41597</v>
      </c>
      <c r="B334" s="305">
        <f>Consumption!B334</f>
        <v>0</v>
      </c>
      <c r="C334" s="41">
        <f ca="1">Consumption!C334</f>
        <v>0</v>
      </c>
      <c r="D334" s="41">
        <f t="shared" si="100"/>
        <v>0.219</v>
      </c>
      <c r="E334" s="41">
        <f t="shared" ca="1" si="111"/>
        <v>3.9229999999999792</v>
      </c>
      <c r="F334" s="306">
        <f ca="1">'Pump Main'!$M$3*1000</f>
        <v>124614.17111887744</v>
      </c>
      <c r="G334" s="41">
        <f t="shared" ca="1" si="101"/>
        <v>0</v>
      </c>
      <c r="H334" s="6">
        <f t="shared" ca="1" si="102"/>
        <v>0</v>
      </c>
      <c r="I334" s="6">
        <f t="shared" ca="1" si="112"/>
        <v>0</v>
      </c>
      <c r="J334" s="6">
        <f t="shared" ca="1" si="103"/>
        <v>0</v>
      </c>
      <c r="K334" s="6">
        <f t="shared" ca="1" si="104"/>
        <v>0</v>
      </c>
      <c r="L334" s="6">
        <f t="shared" ca="1" si="105"/>
        <v>0</v>
      </c>
      <c r="M334">
        <f t="shared" ca="1" si="113"/>
        <v>0</v>
      </c>
      <c r="N334" s="6">
        <f t="shared" si="114"/>
        <v>1200</v>
      </c>
      <c r="O334" s="6">
        <f t="shared" ca="1" si="115"/>
        <v>1200</v>
      </c>
      <c r="P334">
        <f t="shared" si="116"/>
        <v>0</v>
      </c>
      <c r="Q334" s="6">
        <f t="shared" si="106"/>
        <v>0</v>
      </c>
      <c r="R334" s="296">
        <v>9</v>
      </c>
      <c r="S334">
        <f t="shared" si="107"/>
        <v>3427.2000000000003</v>
      </c>
      <c r="T334">
        <f t="shared" si="108"/>
        <v>3153.0240000000003</v>
      </c>
      <c r="U334">
        <f t="shared" ca="1" si="109"/>
        <v>0</v>
      </c>
      <c r="V334">
        <f t="shared" si="117"/>
        <v>3153.0240000000003</v>
      </c>
      <c r="W334">
        <f t="shared" ref="W334:W376" ca="1" si="119">IF($N$3, N334, MIN(O334, $W$2 * (X333+V334*$W$2)))</f>
        <v>1200</v>
      </c>
      <c r="X334">
        <f t="shared" ca="1" si="118"/>
        <v>2000</v>
      </c>
      <c r="Y334" s="297" t="str">
        <f t="shared" ca="1" si="110"/>
        <v>Yes</v>
      </c>
    </row>
    <row r="335" spans="1:25" outlineLevel="1" x14ac:dyDescent="0.75">
      <c r="A335" s="304">
        <f>Consumption!A335</f>
        <v>41598</v>
      </c>
      <c r="B335" s="305">
        <f>Consumption!B335</f>
        <v>0</v>
      </c>
      <c r="C335" s="41">
        <f ca="1">Consumption!C335</f>
        <v>0</v>
      </c>
      <c r="D335" s="41">
        <f t="shared" si="100"/>
        <v>0.219</v>
      </c>
      <c r="E335" s="41">
        <f t="shared" ca="1" si="111"/>
        <v>3.7039999999999793</v>
      </c>
      <c r="F335" s="306">
        <f ca="1">'Pump Main'!$M$3*1000</f>
        <v>124614.17111887744</v>
      </c>
      <c r="G335" s="41">
        <f t="shared" ca="1" si="101"/>
        <v>0</v>
      </c>
      <c r="H335" s="6">
        <f t="shared" ca="1" si="102"/>
        <v>0</v>
      </c>
      <c r="I335" s="6">
        <f t="shared" ca="1" si="112"/>
        <v>0</v>
      </c>
      <c r="J335" s="6">
        <f t="shared" ca="1" si="103"/>
        <v>0</v>
      </c>
      <c r="K335" s="6">
        <f t="shared" ca="1" si="104"/>
        <v>0</v>
      </c>
      <c r="L335" s="6">
        <f t="shared" ca="1" si="105"/>
        <v>0</v>
      </c>
      <c r="M335">
        <f t="shared" ca="1" si="113"/>
        <v>0</v>
      </c>
      <c r="N335" s="6">
        <f t="shared" si="114"/>
        <v>1200</v>
      </c>
      <c r="O335" s="6">
        <f t="shared" ca="1" si="115"/>
        <v>1200</v>
      </c>
      <c r="P335">
        <f t="shared" si="116"/>
        <v>0</v>
      </c>
      <c r="Q335" s="6">
        <f t="shared" si="106"/>
        <v>0</v>
      </c>
      <c r="R335" s="296">
        <v>9</v>
      </c>
      <c r="S335">
        <f t="shared" si="107"/>
        <v>3427.2000000000003</v>
      </c>
      <c r="T335">
        <f t="shared" si="108"/>
        <v>3153.0240000000003</v>
      </c>
      <c r="U335">
        <f t="shared" ca="1" si="109"/>
        <v>0</v>
      </c>
      <c r="V335">
        <f t="shared" si="117"/>
        <v>3153.0240000000003</v>
      </c>
      <c r="W335">
        <f t="shared" ca="1" si="119"/>
        <v>1200</v>
      </c>
      <c r="X335">
        <f t="shared" ca="1" si="118"/>
        <v>2000</v>
      </c>
      <c r="Y335" s="297" t="str">
        <f t="shared" ca="1" si="110"/>
        <v>Yes</v>
      </c>
    </row>
    <row r="336" spans="1:25" outlineLevel="1" x14ac:dyDescent="0.75">
      <c r="A336" s="304">
        <f>Consumption!A336</f>
        <v>41599</v>
      </c>
      <c r="B336" s="305">
        <f>Consumption!B336</f>
        <v>0.6</v>
      </c>
      <c r="C336" s="41">
        <f ca="1">Consumption!C336</f>
        <v>0.06</v>
      </c>
      <c r="D336" s="41">
        <f t="shared" si="100"/>
        <v>0.219</v>
      </c>
      <c r="E336" s="41">
        <f t="shared" ca="1" si="111"/>
        <v>3.5449999999999795</v>
      </c>
      <c r="F336" s="306">
        <f ca="1">'Pump Main'!$M$3*1000</f>
        <v>124614.17111887744</v>
      </c>
      <c r="G336" s="41">
        <f t="shared" ca="1" si="101"/>
        <v>7476.850267132646</v>
      </c>
      <c r="H336" s="6">
        <f t="shared" ca="1" si="102"/>
        <v>12696.423758932793</v>
      </c>
      <c r="I336" s="6">
        <f t="shared" ca="1" si="112"/>
        <v>3.5267843774813312</v>
      </c>
      <c r="J336" s="6">
        <f t="shared" ca="1" si="103"/>
        <v>300</v>
      </c>
      <c r="K336" s="6">
        <f t="shared" ca="1" si="104"/>
        <v>0.3</v>
      </c>
      <c r="L336" s="6">
        <f t="shared" ca="1" si="105"/>
        <v>0.6</v>
      </c>
      <c r="M336">
        <f t="shared" ca="1" si="113"/>
        <v>166.66666666666666</v>
      </c>
      <c r="N336" s="6">
        <f t="shared" si="114"/>
        <v>1200</v>
      </c>
      <c r="O336" s="6">
        <f t="shared" ca="1" si="115"/>
        <v>1370.1934510441479</v>
      </c>
      <c r="P336">
        <f t="shared" si="116"/>
        <v>0</v>
      </c>
      <c r="Q336" s="6">
        <f t="shared" si="106"/>
        <v>0</v>
      </c>
      <c r="R336" s="296">
        <v>9</v>
      </c>
      <c r="S336">
        <f t="shared" si="107"/>
        <v>3427.2000000000003</v>
      </c>
      <c r="T336">
        <f t="shared" si="108"/>
        <v>3153.0240000000003</v>
      </c>
      <c r="U336">
        <f t="shared" ca="1" si="109"/>
        <v>0</v>
      </c>
      <c r="V336">
        <f t="shared" si="117"/>
        <v>3153.0240000000003</v>
      </c>
      <c r="W336">
        <f t="shared" ca="1" si="119"/>
        <v>1370.1934510441479</v>
      </c>
      <c r="X336">
        <f t="shared" ca="1" si="118"/>
        <v>2000</v>
      </c>
      <c r="Y336" s="297" t="str">
        <f t="shared" ca="1" si="110"/>
        <v>Yes</v>
      </c>
    </row>
    <row r="337" spans="1:25" outlineLevel="1" x14ac:dyDescent="0.75">
      <c r="A337" s="304">
        <f>Consumption!A337</f>
        <v>41600</v>
      </c>
      <c r="B337" s="305">
        <f>Consumption!B337</f>
        <v>0</v>
      </c>
      <c r="C337" s="41">
        <f ca="1">Consumption!C337</f>
        <v>0</v>
      </c>
      <c r="D337" s="41">
        <f t="shared" si="100"/>
        <v>0.219</v>
      </c>
      <c r="E337" s="41">
        <f t="shared" ca="1" si="111"/>
        <v>3.3259999999999796</v>
      </c>
      <c r="F337" s="306">
        <f ca="1">'Pump Main'!$M$3*1000</f>
        <v>124614.17111887744</v>
      </c>
      <c r="G337" s="41">
        <f t="shared" ca="1" si="101"/>
        <v>0</v>
      </c>
      <c r="H337" s="6">
        <f t="shared" ca="1" si="102"/>
        <v>0</v>
      </c>
      <c r="I337" s="6">
        <f t="shared" ca="1" si="112"/>
        <v>0</v>
      </c>
      <c r="J337" s="6">
        <f t="shared" ca="1" si="103"/>
        <v>0</v>
      </c>
      <c r="K337" s="6">
        <f t="shared" ca="1" si="104"/>
        <v>0</v>
      </c>
      <c r="L337" s="6">
        <f t="shared" ca="1" si="105"/>
        <v>0</v>
      </c>
      <c r="M337">
        <f t="shared" ca="1" si="113"/>
        <v>0</v>
      </c>
      <c r="N337" s="6">
        <f t="shared" si="114"/>
        <v>1200</v>
      </c>
      <c r="O337" s="6">
        <f t="shared" ca="1" si="115"/>
        <v>1200</v>
      </c>
      <c r="P337">
        <f t="shared" si="116"/>
        <v>0</v>
      </c>
      <c r="Q337" s="6">
        <f t="shared" si="106"/>
        <v>0</v>
      </c>
      <c r="R337" s="296">
        <v>9</v>
      </c>
      <c r="S337">
        <f t="shared" si="107"/>
        <v>3427.2000000000003</v>
      </c>
      <c r="T337">
        <f t="shared" si="108"/>
        <v>3153.0240000000003</v>
      </c>
      <c r="U337">
        <f t="shared" ca="1" si="109"/>
        <v>0</v>
      </c>
      <c r="V337">
        <f t="shared" si="117"/>
        <v>3153.0240000000003</v>
      </c>
      <c r="W337">
        <f t="shared" ca="1" si="119"/>
        <v>1200</v>
      </c>
      <c r="X337">
        <f t="shared" ca="1" si="118"/>
        <v>2000</v>
      </c>
      <c r="Y337" s="297" t="str">
        <f t="shared" ca="1" si="110"/>
        <v>Yes</v>
      </c>
    </row>
    <row r="338" spans="1:25" outlineLevel="1" x14ac:dyDescent="0.75">
      <c r="A338" s="304">
        <f>Consumption!A338</f>
        <v>41601</v>
      </c>
      <c r="B338" s="305">
        <f>Consumption!B338</f>
        <v>5</v>
      </c>
      <c r="C338" s="41">
        <f ca="1">Consumption!C338</f>
        <v>0.5</v>
      </c>
      <c r="D338" s="41">
        <f t="shared" si="100"/>
        <v>0.219</v>
      </c>
      <c r="E338" s="41">
        <f t="shared" ca="1" si="111"/>
        <v>3.6069999999999798</v>
      </c>
      <c r="F338" s="306">
        <f ca="1">'Pump Main'!$M$3*1000</f>
        <v>124614.17111887744</v>
      </c>
      <c r="G338" s="41">
        <f t="shared" ca="1" si="101"/>
        <v>62307.085559438718</v>
      </c>
      <c r="H338" s="6">
        <f t="shared" ca="1" si="102"/>
        <v>105803.53132443994</v>
      </c>
      <c r="I338" s="6">
        <f t="shared" ca="1" si="112"/>
        <v>29.389869812344429</v>
      </c>
      <c r="J338" s="6">
        <f t="shared" ca="1" si="103"/>
        <v>2500</v>
      </c>
      <c r="K338" s="6">
        <f t="shared" ca="1" si="104"/>
        <v>2.5</v>
      </c>
      <c r="L338" s="6">
        <f t="shared" ca="1" si="105"/>
        <v>5</v>
      </c>
      <c r="M338">
        <f t="shared" ca="1" si="113"/>
        <v>1388.8888888888889</v>
      </c>
      <c r="N338" s="6">
        <f t="shared" si="114"/>
        <v>1200</v>
      </c>
      <c r="O338" s="6">
        <f t="shared" ca="1" si="115"/>
        <v>2618.2787587012335</v>
      </c>
      <c r="P338">
        <f t="shared" si="116"/>
        <v>0</v>
      </c>
      <c r="Q338" s="6">
        <f t="shared" si="106"/>
        <v>0</v>
      </c>
      <c r="R338" s="296">
        <v>9</v>
      </c>
      <c r="S338">
        <f t="shared" si="107"/>
        <v>3427.2000000000003</v>
      </c>
      <c r="T338">
        <f t="shared" si="108"/>
        <v>3153.0240000000003</v>
      </c>
      <c r="U338">
        <f t="shared" ca="1" si="109"/>
        <v>0</v>
      </c>
      <c r="V338">
        <f t="shared" si="117"/>
        <v>3153.0240000000003</v>
      </c>
      <c r="W338">
        <f t="shared" ca="1" si="119"/>
        <v>2618.2787587012335</v>
      </c>
      <c r="X338">
        <f t="shared" ca="1" si="118"/>
        <v>2000</v>
      </c>
      <c r="Y338" s="297" t="str">
        <f t="shared" ca="1" si="110"/>
        <v>Yes</v>
      </c>
    </row>
    <row r="339" spans="1:25" outlineLevel="1" x14ac:dyDescent="0.75">
      <c r="A339" s="304">
        <f>Consumption!A339</f>
        <v>41602</v>
      </c>
      <c r="B339" s="305">
        <f>Consumption!B339</f>
        <v>4.4000000000000004</v>
      </c>
      <c r="C339" s="41">
        <f ca="1">Consumption!C339</f>
        <v>0.44000000000000006</v>
      </c>
      <c r="D339" s="41">
        <f t="shared" si="100"/>
        <v>0.219</v>
      </c>
      <c r="E339" s="41">
        <f t="shared" ca="1" si="111"/>
        <v>3.8279999999999803</v>
      </c>
      <c r="F339" s="306">
        <f ca="1">'Pump Main'!$M$3*1000</f>
        <v>124614.17111887744</v>
      </c>
      <c r="G339" s="41">
        <f t="shared" ca="1" si="101"/>
        <v>54830.235292306075</v>
      </c>
      <c r="H339" s="6">
        <f t="shared" ca="1" si="102"/>
        <v>93107.107565507147</v>
      </c>
      <c r="I339" s="6">
        <f t="shared" ca="1" si="112"/>
        <v>25.863085434863095</v>
      </c>
      <c r="J339" s="6">
        <f t="shared" ca="1" si="103"/>
        <v>2200</v>
      </c>
      <c r="K339" s="6">
        <f t="shared" ca="1" si="104"/>
        <v>2.2000000000000002</v>
      </c>
      <c r="L339" s="6">
        <f t="shared" ca="1" si="105"/>
        <v>4.4000000000000004</v>
      </c>
      <c r="M339">
        <f t="shared" ca="1" si="113"/>
        <v>1222.2222222222222</v>
      </c>
      <c r="N339" s="6">
        <f t="shared" si="114"/>
        <v>1200</v>
      </c>
      <c r="O339" s="6">
        <f t="shared" ca="1" si="115"/>
        <v>2448.0853076570852</v>
      </c>
      <c r="P339">
        <f t="shared" si="116"/>
        <v>0</v>
      </c>
      <c r="Q339" s="6">
        <f t="shared" si="106"/>
        <v>0</v>
      </c>
      <c r="R339" s="296">
        <v>9</v>
      </c>
      <c r="S339">
        <f t="shared" si="107"/>
        <v>3427.2000000000003</v>
      </c>
      <c r="T339">
        <f t="shared" si="108"/>
        <v>3153.0240000000003</v>
      </c>
      <c r="U339">
        <f t="shared" ca="1" si="109"/>
        <v>0</v>
      </c>
      <c r="V339">
        <f t="shared" si="117"/>
        <v>3153.0240000000003</v>
      </c>
      <c r="W339">
        <f t="shared" ca="1" si="119"/>
        <v>2448.0853076570852</v>
      </c>
      <c r="X339">
        <f t="shared" ca="1" si="118"/>
        <v>2000</v>
      </c>
      <c r="Y339" s="297" t="str">
        <f t="shared" ca="1" si="110"/>
        <v>Yes</v>
      </c>
    </row>
    <row r="340" spans="1:25" outlineLevel="1" x14ac:dyDescent="0.75">
      <c r="A340" s="304">
        <f>Consumption!A340</f>
        <v>41603</v>
      </c>
      <c r="B340" s="305">
        <f>Consumption!B340</f>
        <v>0</v>
      </c>
      <c r="C340" s="41">
        <f ca="1">Consumption!C340</f>
        <v>0</v>
      </c>
      <c r="D340" s="41">
        <f t="shared" si="100"/>
        <v>0.219</v>
      </c>
      <c r="E340" s="41">
        <f t="shared" ca="1" si="111"/>
        <v>3.6089999999999804</v>
      </c>
      <c r="F340" s="306">
        <f ca="1">'Pump Main'!$M$3*1000</f>
        <v>124614.17111887744</v>
      </c>
      <c r="G340" s="41">
        <f t="shared" ca="1" si="101"/>
        <v>0</v>
      </c>
      <c r="H340" s="6">
        <f t="shared" ca="1" si="102"/>
        <v>0</v>
      </c>
      <c r="I340" s="6">
        <f t="shared" ca="1" si="112"/>
        <v>0</v>
      </c>
      <c r="J340" s="6">
        <f t="shared" ca="1" si="103"/>
        <v>0</v>
      </c>
      <c r="K340" s="6">
        <f t="shared" ca="1" si="104"/>
        <v>0</v>
      </c>
      <c r="L340" s="6">
        <f t="shared" ca="1" si="105"/>
        <v>0</v>
      </c>
      <c r="M340">
        <f t="shared" ca="1" si="113"/>
        <v>0</v>
      </c>
      <c r="N340" s="6">
        <f t="shared" si="114"/>
        <v>1200</v>
      </c>
      <c r="O340" s="6">
        <f t="shared" ca="1" si="115"/>
        <v>1200</v>
      </c>
      <c r="P340">
        <f t="shared" si="116"/>
        <v>0</v>
      </c>
      <c r="Q340" s="6">
        <f t="shared" si="106"/>
        <v>0</v>
      </c>
      <c r="R340" s="296">
        <v>9</v>
      </c>
      <c r="S340">
        <f t="shared" si="107"/>
        <v>3427.2000000000003</v>
      </c>
      <c r="T340">
        <f t="shared" si="108"/>
        <v>3153.0240000000003</v>
      </c>
      <c r="U340">
        <f t="shared" ca="1" si="109"/>
        <v>0</v>
      </c>
      <c r="V340">
        <f t="shared" si="117"/>
        <v>3153.0240000000003</v>
      </c>
      <c r="W340">
        <f t="shared" ca="1" si="119"/>
        <v>1200</v>
      </c>
      <c r="X340">
        <f t="shared" ca="1" si="118"/>
        <v>2000</v>
      </c>
      <c r="Y340" s="297" t="str">
        <f t="shared" ca="1" si="110"/>
        <v>Yes</v>
      </c>
    </row>
    <row r="341" spans="1:25" outlineLevel="1" x14ac:dyDescent="0.75">
      <c r="A341" s="304">
        <f>Consumption!A341</f>
        <v>41604</v>
      </c>
      <c r="B341" s="305">
        <f>Consumption!B341</f>
        <v>0.2</v>
      </c>
      <c r="C341" s="41">
        <f ca="1">Consumption!C341</f>
        <v>0.02</v>
      </c>
      <c r="D341" s="41">
        <f t="shared" si="100"/>
        <v>0.219</v>
      </c>
      <c r="E341" s="41">
        <f t="shared" ca="1" si="111"/>
        <v>3.4099999999999806</v>
      </c>
      <c r="F341" s="306">
        <f ca="1">'Pump Main'!$M$3*1000</f>
        <v>124614.17111887744</v>
      </c>
      <c r="G341" s="41">
        <f t="shared" ca="1" si="101"/>
        <v>2492.283422377549</v>
      </c>
      <c r="H341" s="6">
        <f t="shared" ca="1" si="102"/>
        <v>4232.141252977598</v>
      </c>
      <c r="I341" s="6">
        <f t="shared" ca="1" si="112"/>
        <v>1.1755947924937773</v>
      </c>
      <c r="J341" s="6">
        <f t="shared" ca="1" si="103"/>
        <v>100</v>
      </c>
      <c r="K341" s="6">
        <f t="shared" ca="1" si="104"/>
        <v>0.1</v>
      </c>
      <c r="L341" s="6">
        <f t="shared" ca="1" si="105"/>
        <v>0.2</v>
      </c>
      <c r="M341">
        <f t="shared" ca="1" si="113"/>
        <v>55.555555555555557</v>
      </c>
      <c r="N341" s="6">
        <f t="shared" si="114"/>
        <v>1200</v>
      </c>
      <c r="O341" s="6">
        <f t="shared" ca="1" si="115"/>
        <v>1256.7311503480494</v>
      </c>
      <c r="P341">
        <f t="shared" si="116"/>
        <v>0</v>
      </c>
      <c r="Q341" s="6">
        <f t="shared" si="106"/>
        <v>0</v>
      </c>
      <c r="R341" s="296">
        <v>9</v>
      </c>
      <c r="S341">
        <f t="shared" si="107"/>
        <v>3427.2000000000003</v>
      </c>
      <c r="T341">
        <f t="shared" si="108"/>
        <v>3153.0240000000003</v>
      </c>
      <c r="U341">
        <f t="shared" ca="1" si="109"/>
        <v>0</v>
      </c>
      <c r="V341">
        <f t="shared" si="117"/>
        <v>3153.0240000000003</v>
      </c>
      <c r="W341">
        <f t="shared" ca="1" si="119"/>
        <v>1256.7311503480494</v>
      </c>
      <c r="X341">
        <f t="shared" ca="1" si="118"/>
        <v>2000</v>
      </c>
      <c r="Y341" s="297" t="str">
        <f t="shared" ca="1" si="110"/>
        <v>Yes</v>
      </c>
    </row>
    <row r="342" spans="1:25" outlineLevel="1" x14ac:dyDescent="0.75">
      <c r="A342" s="304">
        <f>Consumption!A342</f>
        <v>41605</v>
      </c>
      <c r="B342" s="305">
        <f>Consumption!B342</f>
        <v>3.6</v>
      </c>
      <c r="C342" s="41">
        <f ca="1">Consumption!C342</f>
        <v>0.36</v>
      </c>
      <c r="D342" s="41">
        <f t="shared" si="100"/>
        <v>0.219</v>
      </c>
      <c r="E342" s="41">
        <f t="shared" ca="1" si="111"/>
        <v>3.5509999999999806</v>
      </c>
      <c r="F342" s="306">
        <f ca="1">'Pump Main'!$M$3*1000</f>
        <v>124614.17111887744</v>
      </c>
      <c r="G342" s="41">
        <f t="shared" ca="1" si="101"/>
        <v>44861.101602795876</v>
      </c>
      <c r="H342" s="6">
        <f t="shared" ca="1" si="102"/>
        <v>76178.542553596752</v>
      </c>
      <c r="I342" s="6">
        <f t="shared" ca="1" si="112"/>
        <v>21.160706264887988</v>
      </c>
      <c r="J342" s="6">
        <f t="shared" ca="1" si="103"/>
        <v>1799.9999999999998</v>
      </c>
      <c r="K342" s="6">
        <f t="shared" ca="1" si="104"/>
        <v>1.7999999999999998</v>
      </c>
      <c r="L342" s="6">
        <f t="shared" ca="1" si="105"/>
        <v>3.5999999999999996</v>
      </c>
      <c r="M342">
        <f t="shared" ca="1" si="113"/>
        <v>999.99999999999989</v>
      </c>
      <c r="N342" s="6">
        <f t="shared" si="114"/>
        <v>1200</v>
      </c>
      <c r="O342" s="6">
        <f t="shared" ca="1" si="115"/>
        <v>2221.1607062648877</v>
      </c>
      <c r="P342">
        <f t="shared" si="116"/>
        <v>0</v>
      </c>
      <c r="Q342" s="6">
        <f t="shared" si="106"/>
        <v>0</v>
      </c>
      <c r="R342" s="296">
        <v>9</v>
      </c>
      <c r="S342">
        <f t="shared" si="107"/>
        <v>3427.2000000000003</v>
      </c>
      <c r="T342">
        <f t="shared" si="108"/>
        <v>3153.0240000000003</v>
      </c>
      <c r="U342">
        <f t="shared" ca="1" si="109"/>
        <v>0</v>
      </c>
      <c r="V342">
        <f t="shared" si="117"/>
        <v>3153.0240000000003</v>
      </c>
      <c r="W342">
        <f t="shared" ca="1" si="119"/>
        <v>2221.1607062648877</v>
      </c>
      <c r="X342">
        <f t="shared" ca="1" si="118"/>
        <v>2000</v>
      </c>
      <c r="Y342" s="297" t="str">
        <f t="shared" ca="1" si="110"/>
        <v>Yes</v>
      </c>
    </row>
    <row r="343" spans="1:25" outlineLevel="1" x14ac:dyDescent="0.75">
      <c r="A343" s="304">
        <f>Consumption!A343</f>
        <v>41606</v>
      </c>
      <c r="B343" s="305">
        <f>Consumption!B343</f>
        <v>2.4</v>
      </c>
      <c r="C343" s="41">
        <f ca="1">Consumption!C343</f>
        <v>0.24</v>
      </c>
      <c r="D343" s="41">
        <f t="shared" si="100"/>
        <v>0.219</v>
      </c>
      <c r="E343" s="41">
        <f t="shared" ca="1" si="111"/>
        <v>3.571999999999981</v>
      </c>
      <c r="F343" s="306">
        <f ca="1">'Pump Main'!$M$3*1000</f>
        <v>124614.17111887744</v>
      </c>
      <c r="G343" s="41">
        <f t="shared" ca="1" si="101"/>
        <v>29907.401068530584</v>
      </c>
      <c r="H343" s="6">
        <f t="shared" ca="1" si="102"/>
        <v>50785.695035731173</v>
      </c>
      <c r="I343" s="6">
        <f t="shared" ca="1" si="112"/>
        <v>14.107137509925325</v>
      </c>
      <c r="J343" s="6">
        <f t="shared" ca="1" si="103"/>
        <v>1200</v>
      </c>
      <c r="K343" s="6">
        <f t="shared" ca="1" si="104"/>
        <v>1.2</v>
      </c>
      <c r="L343" s="6">
        <f t="shared" ca="1" si="105"/>
        <v>2.4</v>
      </c>
      <c r="M343">
        <f t="shared" ca="1" si="113"/>
        <v>666.66666666666663</v>
      </c>
      <c r="N343" s="6">
        <f t="shared" si="114"/>
        <v>1200</v>
      </c>
      <c r="O343" s="6">
        <f t="shared" ca="1" si="115"/>
        <v>1880.773804176592</v>
      </c>
      <c r="P343">
        <f t="shared" si="116"/>
        <v>0</v>
      </c>
      <c r="Q343" s="6">
        <f t="shared" si="106"/>
        <v>0</v>
      </c>
      <c r="R343" s="296">
        <v>9</v>
      </c>
      <c r="S343">
        <f t="shared" si="107"/>
        <v>3427.2000000000003</v>
      </c>
      <c r="T343">
        <f t="shared" si="108"/>
        <v>3153.0240000000003</v>
      </c>
      <c r="U343">
        <f t="shared" ca="1" si="109"/>
        <v>0</v>
      </c>
      <c r="V343">
        <f t="shared" si="117"/>
        <v>3153.0240000000003</v>
      </c>
      <c r="W343">
        <f t="shared" ca="1" si="119"/>
        <v>1880.773804176592</v>
      </c>
      <c r="X343">
        <f t="shared" ca="1" si="118"/>
        <v>2000</v>
      </c>
      <c r="Y343" s="297" t="str">
        <f t="shared" ca="1" si="110"/>
        <v>Yes</v>
      </c>
    </row>
    <row r="344" spans="1:25" outlineLevel="1" x14ac:dyDescent="0.75">
      <c r="A344" s="304">
        <f>Consumption!A344</f>
        <v>41607</v>
      </c>
      <c r="B344" s="305">
        <f>Consumption!B344</f>
        <v>10.199999999999999</v>
      </c>
      <c r="C344" s="41">
        <f ca="1">Consumption!C344</f>
        <v>1.0199999999999998</v>
      </c>
      <c r="D344" s="41">
        <f t="shared" si="100"/>
        <v>0.219</v>
      </c>
      <c r="E344" s="41">
        <f t="shared" ca="1" si="111"/>
        <v>4.3729999999999807</v>
      </c>
      <c r="F344" s="306">
        <f ca="1">'Pump Main'!$M$3*1000</f>
        <v>124614.17111887744</v>
      </c>
      <c r="G344" s="41">
        <f t="shared" ca="1" si="101"/>
        <v>127106.45454125496</v>
      </c>
      <c r="H344" s="6">
        <f t="shared" ca="1" si="102"/>
        <v>215839.20390185743</v>
      </c>
      <c r="I344" s="6">
        <f t="shared" ca="1" si="112"/>
        <v>59.95533441718262</v>
      </c>
      <c r="J344" s="6">
        <f t="shared" ca="1" si="103"/>
        <v>5099.9999999999991</v>
      </c>
      <c r="K344" s="6">
        <f t="shared" ca="1" si="104"/>
        <v>5.0999999999999988</v>
      </c>
      <c r="L344" s="6">
        <f t="shared" ca="1" si="105"/>
        <v>10.199999999999998</v>
      </c>
      <c r="M344">
        <f t="shared" ca="1" si="113"/>
        <v>2833.333333333333</v>
      </c>
      <c r="N344" s="6">
        <f t="shared" si="114"/>
        <v>1200</v>
      </c>
      <c r="O344" s="6">
        <f t="shared" ca="1" si="115"/>
        <v>4093.2886677505157</v>
      </c>
      <c r="P344">
        <f t="shared" si="116"/>
        <v>0</v>
      </c>
      <c r="Q344" s="6">
        <f t="shared" si="106"/>
        <v>0</v>
      </c>
      <c r="R344" s="296">
        <v>9</v>
      </c>
      <c r="S344">
        <f t="shared" si="107"/>
        <v>3427.2000000000003</v>
      </c>
      <c r="T344">
        <f t="shared" si="108"/>
        <v>3153.0240000000003</v>
      </c>
      <c r="U344">
        <f t="shared" ca="1" si="109"/>
        <v>0</v>
      </c>
      <c r="V344">
        <f t="shared" si="117"/>
        <v>3153.0240000000003</v>
      </c>
      <c r="W344">
        <f t="shared" ca="1" si="119"/>
        <v>4093.2886677505157</v>
      </c>
      <c r="X344">
        <f t="shared" ca="1" si="118"/>
        <v>763.06067775987958</v>
      </c>
      <c r="Y344" s="297" t="str">
        <f t="shared" ca="1" si="110"/>
        <v>Yes</v>
      </c>
    </row>
    <row r="345" spans="1:25" outlineLevel="1" x14ac:dyDescent="0.75">
      <c r="A345" s="304">
        <f>Consumption!A345</f>
        <v>41608</v>
      </c>
      <c r="B345" s="305">
        <f>Consumption!B345</f>
        <v>26.6</v>
      </c>
      <c r="C345" s="41">
        <f ca="1">Consumption!C345</f>
        <v>2.5</v>
      </c>
      <c r="D345" s="41">
        <f t="shared" si="100"/>
        <v>0.219</v>
      </c>
      <c r="E345" s="41">
        <f t="shared" ca="1" si="111"/>
        <v>6.6539999999999804</v>
      </c>
      <c r="F345" s="306">
        <f ca="1">'Pump Main'!$M$3*1000</f>
        <v>124614.17111887744</v>
      </c>
      <c r="G345" s="41">
        <f t="shared" ca="1" si="101"/>
        <v>311535.42779719358</v>
      </c>
      <c r="H345" s="6">
        <f t="shared" ca="1" si="102"/>
        <v>529017.65662219969</v>
      </c>
      <c r="I345" s="6">
        <f t="shared" ca="1" si="112"/>
        <v>146.94934906172213</v>
      </c>
      <c r="J345" s="6">
        <f t="shared" ca="1" si="103"/>
        <v>12500</v>
      </c>
      <c r="K345" s="6">
        <f t="shared" ca="1" si="104"/>
        <v>12.5</v>
      </c>
      <c r="L345" s="6">
        <f t="shared" ca="1" si="105"/>
        <v>25</v>
      </c>
      <c r="M345">
        <f t="shared" ca="1" si="113"/>
        <v>6944.4444444444443</v>
      </c>
      <c r="N345" s="6">
        <f t="shared" si="114"/>
        <v>1200</v>
      </c>
      <c r="O345" s="6">
        <f t="shared" ca="1" si="115"/>
        <v>8291.3937935061658</v>
      </c>
      <c r="P345">
        <f t="shared" si="116"/>
        <v>0</v>
      </c>
      <c r="Q345" s="6">
        <f t="shared" si="106"/>
        <v>0</v>
      </c>
      <c r="R345" s="296">
        <v>9</v>
      </c>
      <c r="S345">
        <f t="shared" si="107"/>
        <v>3427.2000000000003</v>
      </c>
      <c r="T345">
        <f t="shared" si="108"/>
        <v>3153.0240000000003</v>
      </c>
      <c r="U345">
        <f t="shared" ca="1" si="109"/>
        <v>0</v>
      </c>
      <c r="V345">
        <f t="shared" si="117"/>
        <v>3153.0240000000003</v>
      </c>
      <c r="W345">
        <f t="shared" ca="1" si="119"/>
        <v>3638.3651690494844</v>
      </c>
      <c r="X345">
        <f t="shared" ca="1" si="118"/>
        <v>0</v>
      </c>
      <c r="Y345" s="297" t="str">
        <f t="shared" ca="1" si="110"/>
        <v>No</v>
      </c>
    </row>
    <row r="346" spans="1:25" outlineLevel="1" x14ac:dyDescent="0.75">
      <c r="A346" s="304">
        <f>Consumption!A346</f>
        <v>41609</v>
      </c>
      <c r="B346" s="305">
        <f>Consumption!B346</f>
        <v>5.4</v>
      </c>
      <c r="C346" s="41">
        <f ca="1">Consumption!C346</f>
        <v>0.54</v>
      </c>
      <c r="D346" s="41">
        <f t="shared" si="100"/>
        <v>0.219</v>
      </c>
      <c r="E346" s="41">
        <f t="shared" ca="1" si="111"/>
        <v>6.9749999999999801</v>
      </c>
      <c r="F346" s="306">
        <f ca="1">'Pump Main'!$M$3*1000</f>
        <v>124614.17111887744</v>
      </c>
      <c r="G346" s="41">
        <f t="shared" ca="1" si="101"/>
        <v>67291.652404193825</v>
      </c>
      <c r="H346" s="6">
        <f t="shared" ca="1" si="102"/>
        <v>114267.81383039514</v>
      </c>
      <c r="I346" s="6">
        <f t="shared" ca="1" si="112"/>
        <v>31.741059397331984</v>
      </c>
      <c r="J346" s="6">
        <f t="shared" ca="1" si="103"/>
        <v>2700</v>
      </c>
      <c r="K346" s="6">
        <f t="shared" ca="1" si="104"/>
        <v>2.7</v>
      </c>
      <c r="L346" s="6">
        <f t="shared" ca="1" si="105"/>
        <v>5.4</v>
      </c>
      <c r="M346">
        <f t="shared" ca="1" si="113"/>
        <v>1500</v>
      </c>
      <c r="N346" s="6">
        <f t="shared" si="114"/>
        <v>1200</v>
      </c>
      <c r="O346" s="6">
        <f t="shared" ca="1" si="115"/>
        <v>2731.7410593973318</v>
      </c>
      <c r="P346">
        <f t="shared" si="116"/>
        <v>0</v>
      </c>
      <c r="Q346" s="6">
        <f t="shared" si="106"/>
        <v>0</v>
      </c>
      <c r="R346" s="296">
        <v>8.25</v>
      </c>
      <c r="S346">
        <f t="shared" si="107"/>
        <v>3141.6000000000004</v>
      </c>
      <c r="T346">
        <f t="shared" si="108"/>
        <v>2890.2720000000004</v>
      </c>
      <c r="U346">
        <f t="shared" ca="1" si="109"/>
        <v>0</v>
      </c>
      <c r="V346">
        <f t="shared" si="117"/>
        <v>2890.2720000000004</v>
      </c>
      <c r="W346">
        <f t="shared" ca="1" si="119"/>
        <v>2663.6746751999999</v>
      </c>
      <c r="X346">
        <f t="shared" ca="1" si="118"/>
        <v>0</v>
      </c>
      <c r="Y346" s="297" t="str">
        <f t="shared" ca="1" si="110"/>
        <v>No</v>
      </c>
    </row>
    <row r="347" spans="1:25" outlineLevel="1" x14ac:dyDescent="0.75">
      <c r="A347" s="304">
        <f>Consumption!A347</f>
        <v>41610</v>
      </c>
      <c r="B347" s="305">
        <f>Consumption!B347</f>
        <v>0</v>
      </c>
      <c r="C347" s="41">
        <f ca="1">Consumption!C347</f>
        <v>0</v>
      </c>
      <c r="D347" s="41">
        <f t="shared" si="100"/>
        <v>0.219</v>
      </c>
      <c r="E347" s="41">
        <f t="shared" ca="1" si="111"/>
        <v>6.7559999999999798</v>
      </c>
      <c r="F347" s="306">
        <f ca="1">'Pump Main'!$M$3*1000</f>
        <v>124614.17111887744</v>
      </c>
      <c r="G347" s="41">
        <f t="shared" ca="1" si="101"/>
        <v>0</v>
      </c>
      <c r="H347" s="6">
        <f t="shared" ca="1" si="102"/>
        <v>0</v>
      </c>
      <c r="I347" s="6">
        <f t="shared" ca="1" si="112"/>
        <v>0</v>
      </c>
      <c r="J347" s="6">
        <f t="shared" ca="1" si="103"/>
        <v>0</v>
      </c>
      <c r="K347" s="6">
        <f t="shared" ca="1" si="104"/>
        <v>0</v>
      </c>
      <c r="L347" s="6">
        <f t="shared" ca="1" si="105"/>
        <v>0</v>
      </c>
      <c r="M347">
        <f t="shared" ca="1" si="113"/>
        <v>0</v>
      </c>
      <c r="N347" s="6">
        <f t="shared" si="114"/>
        <v>1200</v>
      </c>
      <c r="O347" s="6">
        <f t="shared" ca="1" si="115"/>
        <v>1200</v>
      </c>
      <c r="P347">
        <f t="shared" si="116"/>
        <v>0</v>
      </c>
      <c r="Q347" s="6">
        <f t="shared" si="106"/>
        <v>0</v>
      </c>
      <c r="R347" s="296">
        <v>8.25</v>
      </c>
      <c r="S347">
        <f t="shared" si="107"/>
        <v>3141.6000000000004</v>
      </c>
      <c r="T347">
        <f t="shared" si="108"/>
        <v>2890.2720000000004</v>
      </c>
      <c r="U347">
        <f t="shared" ca="1" si="109"/>
        <v>0</v>
      </c>
      <c r="V347">
        <f t="shared" si="117"/>
        <v>2890.2720000000004</v>
      </c>
      <c r="W347">
        <f t="shared" ca="1" si="119"/>
        <v>1200</v>
      </c>
      <c r="X347">
        <f t="shared" ca="1" si="118"/>
        <v>1524.6611200000002</v>
      </c>
      <c r="Y347" s="297" t="str">
        <f t="shared" ca="1" si="110"/>
        <v>Yes</v>
      </c>
    </row>
    <row r="348" spans="1:25" outlineLevel="1" x14ac:dyDescent="0.75">
      <c r="A348" s="304">
        <f>Consumption!A348</f>
        <v>41611</v>
      </c>
      <c r="B348" s="305">
        <f>Consumption!B348</f>
        <v>0</v>
      </c>
      <c r="C348" s="41">
        <f ca="1">Consumption!C348</f>
        <v>0</v>
      </c>
      <c r="D348" s="41">
        <f t="shared" si="100"/>
        <v>0.219</v>
      </c>
      <c r="E348" s="41">
        <f t="shared" ca="1" si="111"/>
        <v>6.5369999999999795</v>
      </c>
      <c r="F348" s="306">
        <f ca="1">'Pump Main'!$M$3*1000</f>
        <v>124614.17111887744</v>
      </c>
      <c r="G348" s="41">
        <f t="shared" ca="1" si="101"/>
        <v>0</v>
      </c>
      <c r="H348" s="6">
        <f t="shared" ca="1" si="102"/>
        <v>0</v>
      </c>
      <c r="I348" s="6">
        <f t="shared" ca="1" si="112"/>
        <v>0</v>
      </c>
      <c r="J348" s="6">
        <f t="shared" ca="1" si="103"/>
        <v>0</v>
      </c>
      <c r="K348" s="6">
        <f t="shared" ca="1" si="104"/>
        <v>0</v>
      </c>
      <c r="L348" s="6">
        <f t="shared" ca="1" si="105"/>
        <v>0</v>
      </c>
      <c r="M348">
        <f t="shared" ca="1" si="113"/>
        <v>0</v>
      </c>
      <c r="N348" s="6">
        <f t="shared" si="114"/>
        <v>1200</v>
      </c>
      <c r="O348" s="6">
        <f t="shared" ca="1" si="115"/>
        <v>1200</v>
      </c>
      <c r="P348">
        <f t="shared" si="116"/>
        <v>0</v>
      </c>
      <c r="Q348" s="6">
        <f t="shared" si="106"/>
        <v>0</v>
      </c>
      <c r="R348" s="296">
        <v>8.25</v>
      </c>
      <c r="S348">
        <f t="shared" si="107"/>
        <v>3141.6000000000004</v>
      </c>
      <c r="T348">
        <f t="shared" si="108"/>
        <v>2890.2720000000004</v>
      </c>
      <c r="U348">
        <f t="shared" ca="1" si="109"/>
        <v>0</v>
      </c>
      <c r="V348">
        <f t="shared" si="117"/>
        <v>2890.2720000000004</v>
      </c>
      <c r="W348">
        <f t="shared" ca="1" si="119"/>
        <v>1200</v>
      </c>
      <c r="X348">
        <f t="shared" ca="1" si="118"/>
        <v>2000</v>
      </c>
      <c r="Y348" s="297" t="str">
        <f t="shared" ca="1" si="110"/>
        <v>Yes</v>
      </c>
    </row>
    <row r="349" spans="1:25" outlineLevel="1" x14ac:dyDescent="0.75">
      <c r="A349" s="304">
        <f>Consumption!A349</f>
        <v>41612</v>
      </c>
      <c r="B349" s="305">
        <f>Consumption!B349</f>
        <v>0</v>
      </c>
      <c r="C349" s="41">
        <f ca="1">Consumption!C349</f>
        <v>0</v>
      </c>
      <c r="D349" s="41">
        <f t="shared" si="100"/>
        <v>0.219</v>
      </c>
      <c r="E349" s="41">
        <f t="shared" ca="1" si="111"/>
        <v>6.3179999999999792</v>
      </c>
      <c r="F349" s="306">
        <f ca="1">'Pump Main'!$M$3*1000</f>
        <v>124614.17111887744</v>
      </c>
      <c r="G349" s="41">
        <f t="shared" ca="1" si="101"/>
        <v>0</v>
      </c>
      <c r="H349" s="6">
        <f t="shared" ca="1" si="102"/>
        <v>0</v>
      </c>
      <c r="I349" s="6">
        <f t="shared" ca="1" si="112"/>
        <v>0</v>
      </c>
      <c r="J349" s="6">
        <f t="shared" ca="1" si="103"/>
        <v>0</v>
      </c>
      <c r="K349" s="6">
        <f t="shared" ca="1" si="104"/>
        <v>0</v>
      </c>
      <c r="L349" s="6">
        <f t="shared" ca="1" si="105"/>
        <v>0</v>
      </c>
      <c r="M349">
        <f t="shared" ca="1" si="113"/>
        <v>0</v>
      </c>
      <c r="N349" s="6">
        <f t="shared" si="114"/>
        <v>1200</v>
      </c>
      <c r="O349" s="6">
        <f t="shared" ca="1" si="115"/>
        <v>1200</v>
      </c>
      <c r="P349">
        <f t="shared" si="116"/>
        <v>0</v>
      </c>
      <c r="Q349" s="6">
        <f t="shared" si="106"/>
        <v>0</v>
      </c>
      <c r="R349" s="296">
        <v>8.25</v>
      </c>
      <c r="S349">
        <f t="shared" si="107"/>
        <v>3141.6000000000004</v>
      </c>
      <c r="T349">
        <f t="shared" si="108"/>
        <v>2890.2720000000004</v>
      </c>
      <c r="U349">
        <f t="shared" ca="1" si="109"/>
        <v>0</v>
      </c>
      <c r="V349">
        <f t="shared" si="117"/>
        <v>2890.2720000000004</v>
      </c>
      <c r="W349">
        <f t="shared" ca="1" si="119"/>
        <v>1200</v>
      </c>
      <c r="X349">
        <f t="shared" ca="1" si="118"/>
        <v>2000</v>
      </c>
      <c r="Y349" s="297" t="str">
        <f t="shared" ca="1" si="110"/>
        <v>Yes</v>
      </c>
    </row>
    <row r="350" spans="1:25" outlineLevel="1" x14ac:dyDescent="0.75">
      <c r="A350" s="304">
        <f>Consumption!A350</f>
        <v>41613</v>
      </c>
      <c r="B350" s="305">
        <f>Consumption!B350</f>
        <v>0</v>
      </c>
      <c r="C350" s="41">
        <f ca="1">Consumption!C350</f>
        <v>0</v>
      </c>
      <c r="D350" s="41">
        <f t="shared" si="100"/>
        <v>0.219</v>
      </c>
      <c r="E350" s="41">
        <f t="shared" ca="1" si="111"/>
        <v>6.0989999999999789</v>
      </c>
      <c r="F350" s="306">
        <f ca="1">'Pump Main'!$M$3*1000</f>
        <v>124614.17111887744</v>
      </c>
      <c r="G350" s="41">
        <f t="shared" ca="1" si="101"/>
        <v>0</v>
      </c>
      <c r="H350" s="6">
        <f t="shared" ca="1" si="102"/>
        <v>0</v>
      </c>
      <c r="I350" s="6">
        <f t="shared" ca="1" si="112"/>
        <v>0</v>
      </c>
      <c r="J350" s="6">
        <f t="shared" ca="1" si="103"/>
        <v>0</v>
      </c>
      <c r="K350" s="6">
        <f t="shared" ca="1" si="104"/>
        <v>0</v>
      </c>
      <c r="L350" s="6">
        <f t="shared" ca="1" si="105"/>
        <v>0</v>
      </c>
      <c r="M350">
        <f t="shared" ca="1" si="113"/>
        <v>0</v>
      </c>
      <c r="N350" s="6">
        <f t="shared" si="114"/>
        <v>1200</v>
      </c>
      <c r="O350" s="6">
        <f t="shared" ca="1" si="115"/>
        <v>1200</v>
      </c>
      <c r="P350">
        <f t="shared" si="116"/>
        <v>0</v>
      </c>
      <c r="Q350" s="6">
        <f t="shared" si="106"/>
        <v>0</v>
      </c>
      <c r="R350" s="296">
        <v>8.25</v>
      </c>
      <c r="S350">
        <f t="shared" si="107"/>
        <v>3141.6000000000004</v>
      </c>
      <c r="T350">
        <f t="shared" si="108"/>
        <v>2890.2720000000004</v>
      </c>
      <c r="U350">
        <f t="shared" ca="1" si="109"/>
        <v>0</v>
      </c>
      <c r="V350">
        <f t="shared" si="117"/>
        <v>2890.2720000000004</v>
      </c>
      <c r="W350">
        <f t="shared" ca="1" si="119"/>
        <v>1200</v>
      </c>
      <c r="X350">
        <f t="shared" ca="1" si="118"/>
        <v>2000</v>
      </c>
      <c r="Y350" s="297" t="str">
        <f t="shared" ca="1" si="110"/>
        <v>Yes</v>
      </c>
    </row>
    <row r="351" spans="1:25" outlineLevel="1" x14ac:dyDescent="0.75">
      <c r="A351" s="304">
        <f>Consumption!A351</f>
        <v>41614</v>
      </c>
      <c r="B351" s="305">
        <f>Consumption!B351</f>
        <v>0</v>
      </c>
      <c r="C351" s="41">
        <f ca="1">Consumption!C351</f>
        <v>0</v>
      </c>
      <c r="D351" s="41">
        <f t="shared" si="100"/>
        <v>0.219</v>
      </c>
      <c r="E351" s="41">
        <f t="shared" ca="1" si="111"/>
        <v>5.8799999999999786</v>
      </c>
      <c r="F351" s="306">
        <f ca="1">'Pump Main'!$M$3*1000</f>
        <v>124614.17111887744</v>
      </c>
      <c r="G351" s="41">
        <f t="shared" ca="1" si="101"/>
        <v>0</v>
      </c>
      <c r="H351" s="6">
        <f t="shared" ca="1" si="102"/>
        <v>0</v>
      </c>
      <c r="I351" s="6">
        <f t="shared" ca="1" si="112"/>
        <v>0</v>
      </c>
      <c r="J351" s="6">
        <f t="shared" ca="1" si="103"/>
        <v>0</v>
      </c>
      <c r="K351" s="6">
        <f t="shared" ca="1" si="104"/>
        <v>0</v>
      </c>
      <c r="L351" s="6">
        <f t="shared" ca="1" si="105"/>
        <v>0</v>
      </c>
      <c r="M351">
        <f t="shared" ca="1" si="113"/>
        <v>0</v>
      </c>
      <c r="N351" s="6">
        <f t="shared" si="114"/>
        <v>1200</v>
      </c>
      <c r="O351" s="6">
        <f t="shared" ca="1" si="115"/>
        <v>1200</v>
      </c>
      <c r="P351">
        <f t="shared" si="116"/>
        <v>0</v>
      </c>
      <c r="Q351" s="6">
        <f t="shared" si="106"/>
        <v>0</v>
      </c>
      <c r="R351" s="296">
        <v>8.25</v>
      </c>
      <c r="S351">
        <f t="shared" si="107"/>
        <v>3141.6000000000004</v>
      </c>
      <c r="T351">
        <f t="shared" si="108"/>
        <v>2890.2720000000004</v>
      </c>
      <c r="U351">
        <f t="shared" ca="1" si="109"/>
        <v>0</v>
      </c>
      <c r="V351">
        <f t="shared" si="117"/>
        <v>2890.2720000000004</v>
      </c>
      <c r="W351">
        <f t="shared" ca="1" si="119"/>
        <v>1200</v>
      </c>
      <c r="X351">
        <f t="shared" ca="1" si="118"/>
        <v>2000</v>
      </c>
      <c r="Y351" s="297" t="str">
        <f t="shared" ca="1" si="110"/>
        <v>Yes</v>
      </c>
    </row>
    <row r="352" spans="1:25" outlineLevel="1" x14ac:dyDescent="0.75">
      <c r="A352" s="304">
        <f>Consumption!A352</f>
        <v>41615</v>
      </c>
      <c r="B352" s="305">
        <f>Consumption!B352</f>
        <v>0</v>
      </c>
      <c r="C352" s="41">
        <f ca="1">Consumption!C352</f>
        <v>0</v>
      </c>
      <c r="D352" s="41">
        <f t="shared" si="100"/>
        <v>0.219</v>
      </c>
      <c r="E352" s="41">
        <f t="shared" ca="1" si="111"/>
        <v>5.6609999999999783</v>
      </c>
      <c r="F352" s="306">
        <f ca="1">'Pump Main'!$M$3*1000</f>
        <v>124614.17111887744</v>
      </c>
      <c r="G352" s="41">
        <f t="shared" ca="1" si="101"/>
        <v>0</v>
      </c>
      <c r="H352" s="6">
        <f t="shared" ca="1" si="102"/>
        <v>0</v>
      </c>
      <c r="I352" s="6">
        <f t="shared" ca="1" si="112"/>
        <v>0</v>
      </c>
      <c r="J352" s="6">
        <f t="shared" ca="1" si="103"/>
        <v>0</v>
      </c>
      <c r="K352" s="6">
        <f t="shared" ca="1" si="104"/>
        <v>0</v>
      </c>
      <c r="L352" s="6">
        <f t="shared" ca="1" si="105"/>
        <v>0</v>
      </c>
      <c r="M352">
        <f t="shared" ca="1" si="113"/>
        <v>0</v>
      </c>
      <c r="N352" s="6">
        <f t="shared" si="114"/>
        <v>1200</v>
      </c>
      <c r="O352" s="6">
        <f t="shared" ca="1" si="115"/>
        <v>1200</v>
      </c>
      <c r="P352">
        <f t="shared" si="116"/>
        <v>0</v>
      </c>
      <c r="Q352" s="6">
        <f t="shared" si="106"/>
        <v>0</v>
      </c>
      <c r="R352" s="296">
        <v>8.25</v>
      </c>
      <c r="S352">
        <f t="shared" si="107"/>
        <v>3141.6000000000004</v>
      </c>
      <c r="T352">
        <f t="shared" si="108"/>
        <v>2890.2720000000004</v>
      </c>
      <c r="U352">
        <f t="shared" ca="1" si="109"/>
        <v>0</v>
      </c>
      <c r="V352">
        <f t="shared" si="117"/>
        <v>2890.2720000000004</v>
      </c>
      <c r="W352">
        <f t="shared" ca="1" si="119"/>
        <v>1200</v>
      </c>
      <c r="X352">
        <f t="shared" ca="1" si="118"/>
        <v>2000</v>
      </c>
      <c r="Y352" s="297" t="str">
        <f t="shared" ca="1" si="110"/>
        <v>Yes</v>
      </c>
    </row>
    <row r="353" spans="1:25" outlineLevel="1" x14ac:dyDescent="0.75">
      <c r="A353" s="304">
        <f>Consumption!A353</f>
        <v>41616</v>
      </c>
      <c r="B353" s="305">
        <f>Consumption!B353</f>
        <v>0</v>
      </c>
      <c r="C353" s="41">
        <f ca="1">Consumption!C353</f>
        <v>0</v>
      </c>
      <c r="D353" s="41">
        <f t="shared" si="100"/>
        <v>0.219</v>
      </c>
      <c r="E353" s="41">
        <f t="shared" ca="1" si="111"/>
        <v>5.441999999999978</v>
      </c>
      <c r="F353" s="306">
        <f ca="1">'Pump Main'!$M$3*1000</f>
        <v>124614.17111887744</v>
      </c>
      <c r="G353" s="41">
        <f t="shared" ca="1" si="101"/>
        <v>0</v>
      </c>
      <c r="H353" s="6">
        <f t="shared" ca="1" si="102"/>
        <v>0</v>
      </c>
      <c r="I353" s="6">
        <f t="shared" ca="1" si="112"/>
        <v>0</v>
      </c>
      <c r="J353" s="6">
        <f t="shared" ca="1" si="103"/>
        <v>0</v>
      </c>
      <c r="K353" s="6">
        <f t="shared" ca="1" si="104"/>
        <v>0</v>
      </c>
      <c r="L353" s="6">
        <f t="shared" ca="1" si="105"/>
        <v>0</v>
      </c>
      <c r="M353">
        <f t="shared" ca="1" si="113"/>
        <v>0</v>
      </c>
      <c r="N353" s="6">
        <f t="shared" si="114"/>
        <v>1200</v>
      </c>
      <c r="O353" s="6">
        <f t="shared" ca="1" si="115"/>
        <v>1200</v>
      </c>
      <c r="P353">
        <f t="shared" si="116"/>
        <v>0</v>
      </c>
      <c r="Q353" s="6">
        <f t="shared" si="106"/>
        <v>0</v>
      </c>
      <c r="R353" s="296">
        <v>8.25</v>
      </c>
      <c r="S353">
        <f t="shared" si="107"/>
        <v>3141.6000000000004</v>
      </c>
      <c r="T353">
        <f t="shared" si="108"/>
        <v>2890.2720000000004</v>
      </c>
      <c r="U353">
        <f t="shared" ca="1" si="109"/>
        <v>0</v>
      </c>
      <c r="V353">
        <f t="shared" si="117"/>
        <v>2890.2720000000004</v>
      </c>
      <c r="W353">
        <f t="shared" ca="1" si="119"/>
        <v>1200</v>
      </c>
      <c r="X353">
        <f t="shared" ca="1" si="118"/>
        <v>2000</v>
      </c>
      <c r="Y353" s="297" t="str">
        <f t="shared" ca="1" si="110"/>
        <v>Yes</v>
      </c>
    </row>
    <row r="354" spans="1:25" outlineLevel="1" x14ac:dyDescent="0.75">
      <c r="A354" s="304">
        <f>Consumption!A354</f>
        <v>41617</v>
      </c>
      <c r="B354" s="305">
        <f>Consumption!B354</f>
        <v>0</v>
      </c>
      <c r="C354" s="41">
        <f ca="1">Consumption!C354</f>
        <v>0</v>
      </c>
      <c r="D354" s="41">
        <f t="shared" si="100"/>
        <v>0.219</v>
      </c>
      <c r="E354" s="41">
        <f t="shared" ca="1" si="111"/>
        <v>5.2229999999999777</v>
      </c>
      <c r="F354" s="306">
        <f ca="1">'Pump Main'!$M$3*1000</f>
        <v>124614.17111887744</v>
      </c>
      <c r="G354" s="41">
        <f t="shared" ca="1" si="101"/>
        <v>0</v>
      </c>
      <c r="H354" s="6">
        <f t="shared" ca="1" si="102"/>
        <v>0</v>
      </c>
      <c r="I354" s="6">
        <f t="shared" ca="1" si="112"/>
        <v>0</v>
      </c>
      <c r="J354" s="6">
        <f t="shared" ca="1" si="103"/>
        <v>0</v>
      </c>
      <c r="K354" s="6">
        <f t="shared" ca="1" si="104"/>
        <v>0</v>
      </c>
      <c r="L354" s="6">
        <f t="shared" ca="1" si="105"/>
        <v>0</v>
      </c>
      <c r="M354">
        <f t="shared" ca="1" si="113"/>
        <v>0</v>
      </c>
      <c r="N354" s="6">
        <f t="shared" si="114"/>
        <v>1200</v>
      </c>
      <c r="O354" s="6">
        <f t="shared" ca="1" si="115"/>
        <v>1200</v>
      </c>
      <c r="P354">
        <f t="shared" si="116"/>
        <v>0</v>
      </c>
      <c r="Q354" s="6">
        <f t="shared" si="106"/>
        <v>0</v>
      </c>
      <c r="R354" s="296">
        <v>8.25</v>
      </c>
      <c r="S354">
        <f t="shared" si="107"/>
        <v>3141.6000000000004</v>
      </c>
      <c r="T354">
        <f t="shared" si="108"/>
        <v>2890.2720000000004</v>
      </c>
      <c r="U354">
        <f t="shared" ca="1" si="109"/>
        <v>0</v>
      </c>
      <c r="V354">
        <f t="shared" si="117"/>
        <v>2890.2720000000004</v>
      </c>
      <c r="W354">
        <f t="shared" ca="1" si="119"/>
        <v>1200</v>
      </c>
      <c r="X354">
        <f t="shared" ca="1" si="118"/>
        <v>2000</v>
      </c>
      <c r="Y354" s="297" t="str">
        <f t="shared" ca="1" si="110"/>
        <v>Yes</v>
      </c>
    </row>
    <row r="355" spans="1:25" outlineLevel="1" x14ac:dyDescent="0.75">
      <c r="A355" s="304">
        <f>Consumption!A355</f>
        <v>41618</v>
      </c>
      <c r="B355" s="305">
        <f>Consumption!B355</f>
        <v>0</v>
      </c>
      <c r="C355" s="41">
        <f ca="1">Consumption!C355</f>
        <v>0</v>
      </c>
      <c r="D355" s="41">
        <f t="shared" si="100"/>
        <v>0.219</v>
      </c>
      <c r="E355" s="41">
        <f t="shared" ca="1" si="111"/>
        <v>5.0039999999999774</v>
      </c>
      <c r="F355" s="306">
        <f ca="1">'Pump Main'!$M$3*1000</f>
        <v>124614.17111887744</v>
      </c>
      <c r="G355" s="41">
        <f t="shared" ca="1" si="101"/>
        <v>0</v>
      </c>
      <c r="H355" s="6">
        <f t="shared" ca="1" si="102"/>
        <v>0</v>
      </c>
      <c r="I355" s="6">
        <f t="shared" ca="1" si="112"/>
        <v>0</v>
      </c>
      <c r="J355" s="6">
        <f t="shared" ca="1" si="103"/>
        <v>0</v>
      </c>
      <c r="K355" s="6">
        <f t="shared" ca="1" si="104"/>
        <v>0</v>
      </c>
      <c r="L355" s="6">
        <f t="shared" ca="1" si="105"/>
        <v>0</v>
      </c>
      <c r="M355">
        <f t="shared" ca="1" si="113"/>
        <v>0</v>
      </c>
      <c r="N355" s="6">
        <f t="shared" si="114"/>
        <v>1200</v>
      </c>
      <c r="O355" s="6">
        <f t="shared" ca="1" si="115"/>
        <v>1200</v>
      </c>
      <c r="P355">
        <f t="shared" si="116"/>
        <v>0</v>
      </c>
      <c r="Q355" s="6">
        <f t="shared" si="106"/>
        <v>0</v>
      </c>
      <c r="R355" s="296">
        <v>8.25</v>
      </c>
      <c r="S355">
        <f t="shared" si="107"/>
        <v>3141.6000000000004</v>
      </c>
      <c r="T355">
        <f t="shared" si="108"/>
        <v>2890.2720000000004</v>
      </c>
      <c r="U355">
        <f t="shared" ca="1" si="109"/>
        <v>0</v>
      </c>
      <c r="V355">
        <f t="shared" si="117"/>
        <v>2890.2720000000004</v>
      </c>
      <c r="W355">
        <f t="shared" ca="1" si="119"/>
        <v>1200</v>
      </c>
      <c r="X355">
        <f t="shared" ca="1" si="118"/>
        <v>2000</v>
      </c>
      <c r="Y355" s="297" t="str">
        <f t="shared" ca="1" si="110"/>
        <v>Yes</v>
      </c>
    </row>
    <row r="356" spans="1:25" outlineLevel="1" x14ac:dyDescent="0.75">
      <c r="A356" s="304">
        <f>Consumption!A356</f>
        <v>41619</v>
      </c>
      <c r="B356" s="305">
        <f>Consumption!B356</f>
        <v>3.2</v>
      </c>
      <c r="C356" s="41">
        <f ca="1">Consumption!C356</f>
        <v>0.32</v>
      </c>
      <c r="D356" s="41">
        <f t="shared" si="100"/>
        <v>0.219</v>
      </c>
      <c r="E356" s="41">
        <f t="shared" ca="1" si="111"/>
        <v>5.1049999999999773</v>
      </c>
      <c r="F356" s="306">
        <f ca="1">'Pump Main'!$M$3*1000</f>
        <v>124614.17111887744</v>
      </c>
      <c r="G356" s="41">
        <f t="shared" ca="1" si="101"/>
        <v>39876.534758040783</v>
      </c>
      <c r="H356" s="6">
        <f t="shared" ca="1" si="102"/>
        <v>67714.260047641568</v>
      </c>
      <c r="I356" s="6">
        <f t="shared" ca="1" si="112"/>
        <v>18.809516679900437</v>
      </c>
      <c r="J356" s="6">
        <f t="shared" ca="1" si="103"/>
        <v>1600</v>
      </c>
      <c r="K356" s="6">
        <f t="shared" ca="1" si="104"/>
        <v>1.6</v>
      </c>
      <c r="L356" s="6">
        <f t="shared" ca="1" si="105"/>
        <v>3.2</v>
      </c>
      <c r="M356">
        <f t="shared" ca="1" si="113"/>
        <v>888.88888888888891</v>
      </c>
      <c r="N356" s="6">
        <f t="shared" si="114"/>
        <v>1200</v>
      </c>
      <c r="O356" s="6">
        <f t="shared" ca="1" si="115"/>
        <v>2107.6984055687894</v>
      </c>
      <c r="P356">
        <f t="shared" si="116"/>
        <v>0</v>
      </c>
      <c r="Q356" s="6">
        <f t="shared" si="106"/>
        <v>0</v>
      </c>
      <c r="R356" s="296">
        <v>8.25</v>
      </c>
      <c r="S356">
        <f t="shared" si="107"/>
        <v>3141.6000000000004</v>
      </c>
      <c r="T356">
        <f t="shared" si="108"/>
        <v>2890.2720000000004</v>
      </c>
      <c r="U356">
        <f t="shared" ca="1" si="109"/>
        <v>0</v>
      </c>
      <c r="V356">
        <f t="shared" si="117"/>
        <v>2890.2720000000004</v>
      </c>
      <c r="W356">
        <f t="shared" ca="1" si="119"/>
        <v>2107.6984055687894</v>
      </c>
      <c r="X356">
        <f t="shared" ca="1" si="118"/>
        <v>2000</v>
      </c>
      <c r="Y356" s="297" t="str">
        <f t="shared" ca="1" si="110"/>
        <v>Yes</v>
      </c>
    </row>
    <row r="357" spans="1:25" outlineLevel="1" x14ac:dyDescent="0.75">
      <c r="A357" s="304">
        <f>Consumption!A357</f>
        <v>41620</v>
      </c>
      <c r="B357" s="305">
        <f>Consumption!B357</f>
        <v>1.8</v>
      </c>
      <c r="C357" s="41">
        <f ca="1">Consumption!C357</f>
        <v>0.18</v>
      </c>
      <c r="D357" s="41">
        <f t="shared" si="100"/>
        <v>0.219</v>
      </c>
      <c r="E357" s="41">
        <f t="shared" ca="1" si="111"/>
        <v>5.0659999999999767</v>
      </c>
      <c r="F357" s="306">
        <f ca="1">'Pump Main'!$M$3*1000</f>
        <v>124614.17111887744</v>
      </c>
      <c r="G357" s="41">
        <f t="shared" ca="1" si="101"/>
        <v>22430.550801397938</v>
      </c>
      <c r="H357" s="6">
        <f t="shared" ca="1" si="102"/>
        <v>38089.271276798376</v>
      </c>
      <c r="I357" s="6">
        <f t="shared" ca="1" si="112"/>
        <v>10.580353132443994</v>
      </c>
      <c r="J357" s="6">
        <f t="shared" ca="1" si="103"/>
        <v>899.99999999999989</v>
      </c>
      <c r="K357" s="6">
        <f t="shared" ca="1" si="104"/>
        <v>0.89999999999999991</v>
      </c>
      <c r="L357" s="6">
        <f t="shared" ca="1" si="105"/>
        <v>1.7999999999999998</v>
      </c>
      <c r="M357">
        <f t="shared" ca="1" si="113"/>
        <v>499.99999999999994</v>
      </c>
      <c r="N357" s="6">
        <f t="shared" si="114"/>
        <v>1200</v>
      </c>
      <c r="O357" s="6">
        <f t="shared" ca="1" si="115"/>
        <v>1710.5803531324439</v>
      </c>
      <c r="P357">
        <f t="shared" si="116"/>
        <v>0</v>
      </c>
      <c r="Q357" s="6">
        <f t="shared" si="106"/>
        <v>0</v>
      </c>
      <c r="R357" s="296">
        <v>8.25</v>
      </c>
      <c r="S357">
        <f t="shared" si="107"/>
        <v>3141.6000000000004</v>
      </c>
      <c r="T357">
        <f t="shared" si="108"/>
        <v>2890.2720000000004</v>
      </c>
      <c r="U357">
        <f t="shared" ca="1" si="109"/>
        <v>0</v>
      </c>
      <c r="V357">
        <f t="shared" si="117"/>
        <v>2890.2720000000004</v>
      </c>
      <c r="W357">
        <f t="shared" ca="1" si="119"/>
        <v>1710.5803531324439</v>
      </c>
      <c r="X357">
        <f t="shared" ca="1" si="118"/>
        <v>2000</v>
      </c>
      <c r="Y357" s="297" t="str">
        <f t="shared" ca="1" si="110"/>
        <v>Yes</v>
      </c>
    </row>
    <row r="358" spans="1:25" outlineLevel="1" x14ac:dyDescent="0.75">
      <c r="A358" s="304">
        <f>Consumption!A358</f>
        <v>41621</v>
      </c>
      <c r="B358" s="305">
        <f>Consumption!B358</f>
        <v>10.4</v>
      </c>
      <c r="C358" s="41">
        <f ca="1">Consumption!C358</f>
        <v>1.04</v>
      </c>
      <c r="D358" s="41">
        <f t="shared" si="100"/>
        <v>0.219</v>
      </c>
      <c r="E358" s="41">
        <f t="shared" ca="1" si="111"/>
        <v>5.8869999999999765</v>
      </c>
      <c r="F358" s="306">
        <f ca="1">'Pump Main'!$M$3*1000</f>
        <v>124614.17111887744</v>
      </c>
      <c r="G358" s="41">
        <f t="shared" ca="1" si="101"/>
        <v>129598.73796363253</v>
      </c>
      <c r="H358" s="6">
        <f t="shared" ca="1" si="102"/>
        <v>220071.34515483509</v>
      </c>
      <c r="I358" s="6">
        <f t="shared" ca="1" si="112"/>
        <v>61.13092920967641</v>
      </c>
      <c r="J358" s="6">
        <f t="shared" ca="1" si="103"/>
        <v>5200</v>
      </c>
      <c r="K358" s="6">
        <f t="shared" ca="1" si="104"/>
        <v>5.2</v>
      </c>
      <c r="L358" s="6">
        <f t="shared" ca="1" si="105"/>
        <v>10.4</v>
      </c>
      <c r="M358">
        <f t="shared" ca="1" si="113"/>
        <v>2888.8888888888887</v>
      </c>
      <c r="N358" s="6">
        <f t="shared" si="114"/>
        <v>1200</v>
      </c>
      <c r="O358" s="6">
        <f t="shared" ca="1" si="115"/>
        <v>4150.0198180985644</v>
      </c>
      <c r="P358">
        <f t="shared" si="116"/>
        <v>0</v>
      </c>
      <c r="Q358" s="6">
        <f t="shared" si="106"/>
        <v>0</v>
      </c>
      <c r="R358" s="296">
        <v>8.25</v>
      </c>
      <c r="S358">
        <f t="shared" si="107"/>
        <v>3141.6000000000004</v>
      </c>
      <c r="T358">
        <f t="shared" si="108"/>
        <v>2890.2720000000004</v>
      </c>
      <c r="U358">
        <f t="shared" ca="1" si="109"/>
        <v>0</v>
      </c>
      <c r="V358">
        <f t="shared" si="117"/>
        <v>2890.2720000000004</v>
      </c>
      <c r="W358">
        <f t="shared" ca="1" si="119"/>
        <v>4150.0198180985644</v>
      </c>
      <c r="X358">
        <f t="shared" ca="1" si="118"/>
        <v>451.72380948066257</v>
      </c>
      <c r="Y358" s="297" t="str">
        <f t="shared" ca="1" si="110"/>
        <v>Yes</v>
      </c>
    </row>
    <row r="359" spans="1:25" outlineLevel="1" x14ac:dyDescent="0.75">
      <c r="A359" s="304">
        <f>Consumption!A359</f>
        <v>41622</v>
      </c>
      <c r="B359" s="305">
        <f>Consumption!B359</f>
        <v>26</v>
      </c>
      <c r="C359" s="41">
        <f ca="1">Consumption!C359</f>
        <v>2.5</v>
      </c>
      <c r="D359" s="41">
        <f t="shared" si="100"/>
        <v>0.219</v>
      </c>
      <c r="E359" s="41">
        <f t="shared" ca="1" si="111"/>
        <v>8.1679999999999762</v>
      </c>
      <c r="F359" s="306">
        <f ca="1">'Pump Main'!$M$3*1000</f>
        <v>124614.17111887744</v>
      </c>
      <c r="G359" s="41">
        <f t="shared" ca="1" si="101"/>
        <v>311535.42779719358</v>
      </c>
      <c r="H359" s="6">
        <f t="shared" ca="1" si="102"/>
        <v>529017.65662219969</v>
      </c>
      <c r="I359" s="6">
        <f t="shared" ca="1" si="112"/>
        <v>146.94934906172213</v>
      </c>
      <c r="J359" s="6">
        <f t="shared" ca="1" si="103"/>
        <v>12500</v>
      </c>
      <c r="K359" s="6">
        <f t="shared" ca="1" si="104"/>
        <v>12.5</v>
      </c>
      <c r="L359" s="6">
        <f t="shared" ca="1" si="105"/>
        <v>25</v>
      </c>
      <c r="M359">
        <f t="shared" ca="1" si="113"/>
        <v>6944.4444444444443</v>
      </c>
      <c r="N359" s="6">
        <f t="shared" si="114"/>
        <v>1200</v>
      </c>
      <c r="O359" s="6">
        <f t="shared" ca="1" si="115"/>
        <v>8291.3937935061658</v>
      </c>
      <c r="P359">
        <f t="shared" si="116"/>
        <v>0</v>
      </c>
      <c r="Q359" s="6">
        <f t="shared" si="106"/>
        <v>0</v>
      </c>
      <c r="R359" s="296">
        <v>8.25</v>
      </c>
      <c r="S359">
        <f t="shared" si="107"/>
        <v>3141.6000000000004</v>
      </c>
      <c r="T359">
        <f t="shared" si="108"/>
        <v>2890.2720000000004</v>
      </c>
      <c r="U359">
        <f t="shared" ca="1" si="109"/>
        <v>0</v>
      </c>
      <c r="V359">
        <f t="shared" si="117"/>
        <v>2890.2720000000004</v>
      </c>
      <c r="W359">
        <f t="shared" ca="1" si="119"/>
        <v>3097.3295323014363</v>
      </c>
      <c r="X359">
        <f t="shared" ca="1" si="118"/>
        <v>0</v>
      </c>
      <c r="Y359" s="297" t="str">
        <f t="shared" ca="1" si="110"/>
        <v>No</v>
      </c>
    </row>
    <row r="360" spans="1:25" outlineLevel="1" x14ac:dyDescent="0.75">
      <c r="A360" s="304">
        <f>Consumption!A360</f>
        <v>41623</v>
      </c>
      <c r="B360" s="305">
        <f>Consumption!B360</f>
        <v>0.8</v>
      </c>
      <c r="C360" s="41">
        <f ca="1">Consumption!C360</f>
        <v>0.08</v>
      </c>
      <c r="D360" s="41">
        <f t="shared" si="100"/>
        <v>0.219</v>
      </c>
      <c r="E360" s="41">
        <f t="shared" ca="1" si="111"/>
        <v>8.0289999999999768</v>
      </c>
      <c r="F360" s="306">
        <f ca="1">'Pump Main'!$M$3*1000</f>
        <v>124614.17111887744</v>
      </c>
      <c r="G360" s="41">
        <f t="shared" ca="1" si="101"/>
        <v>9969.1336895101958</v>
      </c>
      <c r="H360" s="6">
        <f t="shared" ca="1" si="102"/>
        <v>16928.565011910392</v>
      </c>
      <c r="I360" s="6">
        <f t="shared" ca="1" si="112"/>
        <v>4.7023791699751092</v>
      </c>
      <c r="J360" s="6">
        <f t="shared" ca="1" si="103"/>
        <v>400</v>
      </c>
      <c r="K360" s="6">
        <f t="shared" ca="1" si="104"/>
        <v>0.4</v>
      </c>
      <c r="L360" s="6">
        <f t="shared" ca="1" si="105"/>
        <v>0.8</v>
      </c>
      <c r="M360">
        <f t="shared" ca="1" si="113"/>
        <v>222.22222222222223</v>
      </c>
      <c r="N360" s="6">
        <f t="shared" si="114"/>
        <v>1200</v>
      </c>
      <c r="O360" s="6">
        <f t="shared" ca="1" si="115"/>
        <v>1426.9246013921972</v>
      </c>
      <c r="P360">
        <f t="shared" si="116"/>
        <v>0</v>
      </c>
      <c r="Q360" s="6">
        <f t="shared" si="106"/>
        <v>0</v>
      </c>
      <c r="R360" s="296">
        <v>8.25</v>
      </c>
      <c r="S360">
        <f t="shared" si="107"/>
        <v>3141.6000000000004</v>
      </c>
      <c r="T360">
        <f t="shared" si="108"/>
        <v>2890.2720000000004</v>
      </c>
      <c r="U360">
        <f t="shared" ca="1" si="109"/>
        <v>0</v>
      </c>
      <c r="V360">
        <f t="shared" si="117"/>
        <v>2890.2720000000004</v>
      </c>
      <c r="W360">
        <f t="shared" ca="1" si="119"/>
        <v>1426.9246013921972</v>
      </c>
      <c r="X360">
        <f t="shared" ca="1" si="118"/>
        <v>1288.281326883128</v>
      </c>
      <c r="Y360" s="297" t="str">
        <f t="shared" ca="1" si="110"/>
        <v>Yes</v>
      </c>
    </row>
    <row r="361" spans="1:25" outlineLevel="1" x14ac:dyDescent="0.75">
      <c r="A361" s="304">
        <f>Consumption!A361</f>
        <v>41624</v>
      </c>
      <c r="B361" s="305">
        <f>Consumption!B361</f>
        <v>11.8</v>
      </c>
      <c r="C361" s="41">
        <f ca="1">Consumption!C361</f>
        <v>1.18</v>
      </c>
      <c r="D361" s="41">
        <f t="shared" si="100"/>
        <v>0.219</v>
      </c>
      <c r="E361" s="41">
        <f t="shared" ca="1" si="111"/>
        <v>8.9899999999999771</v>
      </c>
      <c r="F361" s="306">
        <f ca="1">'Pump Main'!$M$3*1000</f>
        <v>124614.17111887744</v>
      </c>
      <c r="G361" s="41">
        <f t="shared" ca="1" si="101"/>
        <v>147044.72192027536</v>
      </c>
      <c r="H361" s="6">
        <f t="shared" ca="1" si="102"/>
        <v>249696.33392567822</v>
      </c>
      <c r="I361" s="6">
        <f t="shared" ca="1" si="112"/>
        <v>69.360092757132833</v>
      </c>
      <c r="J361" s="6">
        <f t="shared" ca="1" si="103"/>
        <v>5899.9999999999991</v>
      </c>
      <c r="K361" s="6">
        <f t="shared" ca="1" si="104"/>
        <v>5.8999999999999995</v>
      </c>
      <c r="L361" s="6">
        <f t="shared" ca="1" si="105"/>
        <v>11.799999999999999</v>
      </c>
      <c r="M361">
        <f t="shared" ca="1" si="113"/>
        <v>3277.7777777777774</v>
      </c>
      <c r="N361" s="6">
        <f t="shared" si="114"/>
        <v>1200</v>
      </c>
      <c r="O361" s="6">
        <f t="shared" ca="1" si="115"/>
        <v>4547.1378705349107</v>
      </c>
      <c r="P361">
        <f t="shared" si="116"/>
        <v>0</v>
      </c>
      <c r="Q361" s="6">
        <f t="shared" si="106"/>
        <v>0</v>
      </c>
      <c r="R361" s="296">
        <v>8.25</v>
      </c>
      <c r="S361">
        <f t="shared" si="107"/>
        <v>3141.6000000000004</v>
      </c>
      <c r="T361">
        <f t="shared" si="108"/>
        <v>2890.2720000000004</v>
      </c>
      <c r="U361">
        <f t="shared" ca="1" si="109"/>
        <v>0</v>
      </c>
      <c r="V361">
        <f t="shared" si="117"/>
        <v>2890.2720000000004</v>
      </c>
      <c r="W361">
        <f t="shared" ca="1" si="119"/>
        <v>3900.4247490078033</v>
      </c>
      <c r="X361">
        <f t="shared" ca="1" si="118"/>
        <v>0</v>
      </c>
      <c r="Y361" s="297" t="str">
        <f t="shared" ca="1" si="110"/>
        <v>No</v>
      </c>
    </row>
    <row r="362" spans="1:25" outlineLevel="1" x14ac:dyDescent="0.75">
      <c r="A362" s="304">
        <f>Consumption!A362</f>
        <v>41625</v>
      </c>
      <c r="B362" s="305">
        <f>Consumption!B362</f>
        <v>4.5999999999999996</v>
      </c>
      <c r="C362" s="41">
        <f ca="1">Consumption!C362</f>
        <v>0.45999999999999996</v>
      </c>
      <c r="D362" s="41">
        <f t="shared" si="100"/>
        <v>0.219</v>
      </c>
      <c r="E362" s="41">
        <f t="shared" ca="1" si="111"/>
        <v>9.2309999999999786</v>
      </c>
      <c r="F362" s="306">
        <f ca="1">'Pump Main'!$M$3*1000</f>
        <v>124614.17111887744</v>
      </c>
      <c r="G362" s="41">
        <f t="shared" ca="1" si="101"/>
        <v>57322.518714683618</v>
      </c>
      <c r="H362" s="6">
        <f t="shared" ca="1" si="102"/>
        <v>97339.248818484732</v>
      </c>
      <c r="I362" s="6">
        <f t="shared" ca="1" si="112"/>
        <v>27.03868022735687</v>
      </c>
      <c r="J362" s="6">
        <f t="shared" ca="1" si="103"/>
        <v>2300</v>
      </c>
      <c r="K362" s="6">
        <f t="shared" ca="1" si="104"/>
        <v>2.2999999999999998</v>
      </c>
      <c r="L362" s="6">
        <f t="shared" ca="1" si="105"/>
        <v>4.5999999999999996</v>
      </c>
      <c r="M362">
        <f t="shared" ca="1" si="113"/>
        <v>1277.7777777777778</v>
      </c>
      <c r="N362" s="6">
        <f t="shared" si="114"/>
        <v>1200</v>
      </c>
      <c r="O362" s="6">
        <f t="shared" ca="1" si="115"/>
        <v>2504.8164580051348</v>
      </c>
      <c r="P362">
        <f t="shared" si="116"/>
        <v>0</v>
      </c>
      <c r="Q362" s="6">
        <f t="shared" si="106"/>
        <v>0</v>
      </c>
      <c r="R362" s="296">
        <v>8.25</v>
      </c>
      <c r="S362">
        <f t="shared" si="107"/>
        <v>3141.6000000000004</v>
      </c>
      <c r="T362">
        <f t="shared" si="108"/>
        <v>2890.2720000000004</v>
      </c>
      <c r="U362">
        <f t="shared" ca="1" si="109"/>
        <v>0</v>
      </c>
      <c r="V362">
        <f t="shared" si="117"/>
        <v>2890.2720000000004</v>
      </c>
      <c r="W362">
        <f t="shared" ca="1" si="119"/>
        <v>2504.8164580051348</v>
      </c>
      <c r="X362">
        <f t="shared" ca="1" si="118"/>
        <v>165.47730957798467</v>
      </c>
      <c r="Y362" s="297" t="str">
        <f t="shared" ca="1" si="110"/>
        <v>Yes</v>
      </c>
    </row>
    <row r="363" spans="1:25" outlineLevel="1" x14ac:dyDescent="0.75">
      <c r="A363" s="304">
        <f>Consumption!A363</f>
        <v>41626</v>
      </c>
      <c r="B363" s="305">
        <f>Consumption!B363</f>
        <v>0</v>
      </c>
      <c r="C363" s="41">
        <f ca="1">Consumption!C363</f>
        <v>0</v>
      </c>
      <c r="D363" s="41">
        <f t="shared" si="100"/>
        <v>0.219</v>
      </c>
      <c r="E363" s="41">
        <f t="shared" ca="1" si="111"/>
        <v>9.0119999999999791</v>
      </c>
      <c r="F363" s="306">
        <f ca="1">'Pump Main'!$M$3*1000</f>
        <v>124614.17111887744</v>
      </c>
      <c r="G363" s="41">
        <f t="shared" ca="1" si="101"/>
        <v>0</v>
      </c>
      <c r="H363" s="6">
        <f t="shared" ca="1" si="102"/>
        <v>0</v>
      </c>
      <c r="I363" s="6">
        <f t="shared" ca="1" si="112"/>
        <v>0</v>
      </c>
      <c r="J363" s="6">
        <f t="shared" ca="1" si="103"/>
        <v>0</v>
      </c>
      <c r="K363" s="6">
        <f t="shared" ca="1" si="104"/>
        <v>0</v>
      </c>
      <c r="L363" s="6">
        <f t="shared" ca="1" si="105"/>
        <v>0</v>
      </c>
      <c r="M363">
        <f t="shared" ca="1" si="113"/>
        <v>0</v>
      </c>
      <c r="N363" s="6">
        <f t="shared" si="114"/>
        <v>1200</v>
      </c>
      <c r="O363" s="6">
        <f t="shared" ca="1" si="115"/>
        <v>1200</v>
      </c>
      <c r="P363">
        <f t="shared" si="116"/>
        <v>0</v>
      </c>
      <c r="Q363" s="6">
        <f t="shared" si="106"/>
        <v>0</v>
      </c>
      <c r="R363" s="296">
        <v>8.25</v>
      </c>
      <c r="S363">
        <f t="shared" si="107"/>
        <v>3141.6000000000004</v>
      </c>
      <c r="T363">
        <f t="shared" si="108"/>
        <v>2890.2720000000004</v>
      </c>
      <c r="U363">
        <f t="shared" ca="1" si="109"/>
        <v>0</v>
      </c>
      <c r="V363">
        <f t="shared" si="117"/>
        <v>2890.2720000000004</v>
      </c>
      <c r="W363">
        <f t="shared" ca="1" si="119"/>
        <v>1200</v>
      </c>
      <c r="X363">
        <f t="shared" ca="1" si="118"/>
        <v>1690.1384295779849</v>
      </c>
      <c r="Y363" s="297" t="str">
        <f t="shared" ca="1" si="110"/>
        <v>Yes</v>
      </c>
    </row>
    <row r="364" spans="1:25" outlineLevel="1" x14ac:dyDescent="0.75">
      <c r="A364" s="304">
        <f>Consumption!A364</f>
        <v>41627</v>
      </c>
      <c r="B364" s="305">
        <f>Consumption!B364</f>
        <v>0</v>
      </c>
      <c r="C364" s="41">
        <f ca="1">Consumption!C364</f>
        <v>0</v>
      </c>
      <c r="D364" s="41">
        <f t="shared" si="100"/>
        <v>0.219</v>
      </c>
      <c r="E364" s="41">
        <f t="shared" ca="1" si="111"/>
        <v>8.7929999999999797</v>
      </c>
      <c r="F364" s="306">
        <f ca="1">'Pump Main'!$M$3*1000</f>
        <v>124614.17111887744</v>
      </c>
      <c r="G364" s="41">
        <f t="shared" ca="1" si="101"/>
        <v>0</v>
      </c>
      <c r="H364" s="6">
        <f t="shared" ca="1" si="102"/>
        <v>0</v>
      </c>
      <c r="I364" s="6">
        <f t="shared" ca="1" si="112"/>
        <v>0</v>
      </c>
      <c r="J364" s="6">
        <f t="shared" ca="1" si="103"/>
        <v>0</v>
      </c>
      <c r="K364" s="6">
        <f t="shared" ca="1" si="104"/>
        <v>0</v>
      </c>
      <c r="L364" s="6">
        <f t="shared" ca="1" si="105"/>
        <v>0</v>
      </c>
      <c r="M364">
        <f t="shared" ca="1" si="113"/>
        <v>0</v>
      </c>
      <c r="N364" s="6">
        <f t="shared" si="114"/>
        <v>1200</v>
      </c>
      <c r="O364" s="6">
        <f t="shared" ca="1" si="115"/>
        <v>1200</v>
      </c>
      <c r="P364">
        <f t="shared" si="116"/>
        <v>0</v>
      </c>
      <c r="Q364" s="6">
        <f t="shared" si="106"/>
        <v>0</v>
      </c>
      <c r="R364" s="296">
        <v>8.25</v>
      </c>
      <c r="S364">
        <f t="shared" si="107"/>
        <v>3141.6000000000004</v>
      </c>
      <c r="T364">
        <f t="shared" si="108"/>
        <v>2890.2720000000004</v>
      </c>
      <c r="U364">
        <f t="shared" ca="1" si="109"/>
        <v>0</v>
      </c>
      <c r="V364">
        <f t="shared" si="117"/>
        <v>2890.2720000000004</v>
      </c>
      <c r="W364">
        <f t="shared" ca="1" si="119"/>
        <v>1200</v>
      </c>
      <c r="X364">
        <f t="shared" ca="1" si="118"/>
        <v>2000</v>
      </c>
      <c r="Y364" s="297" t="str">
        <f t="shared" ca="1" si="110"/>
        <v>Yes</v>
      </c>
    </row>
    <row r="365" spans="1:25" outlineLevel="1" x14ac:dyDescent="0.75">
      <c r="A365" s="304">
        <f>Consumption!A365</f>
        <v>41628</v>
      </c>
      <c r="B365" s="305">
        <f>Consumption!B365</f>
        <v>3.8</v>
      </c>
      <c r="C365" s="41">
        <f ca="1">Consumption!C365</f>
        <v>0.38</v>
      </c>
      <c r="D365" s="41">
        <f t="shared" si="100"/>
        <v>0.219</v>
      </c>
      <c r="E365" s="41">
        <f t="shared" ca="1" si="111"/>
        <v>8.9539999999999811</v>
      </c>
      <c r="F365" s="306">
        <f ca="1">'Pump Main'!$M$3*1000</f>
        <v>124614.17111887744</v>
      </c>
      <c r="G365" s="41">
        <f t="shared" ca="1" si="101"/>
        <v>47353.385025173426</v>
      </c>
      <c r="H365" s="6">
        <f t="shared" ca="1" si="102"/>
        <v>80410.68380657435</v>
      </c>
      <c r="I365" s="6">
        <f t="shared" ca="1" si="112"/>
        <v>22.336301057381764</v>
      </c>
      <c r="J365" s="6">
        <f t="shared" ca="1" si="103"/>
        <v>1900</v>
      </c>
      <c r="K365" s="6">
        <f t="shared" ca="1" si="104"/>
        <v>1.9</v>
      </c>
      <c r="L365" s="6">
        <f t="shared" ca="1" si="105"/>
        <v>3.8</v>
      </c>
      <c r="M365">
        <f t="shared" ca="1" si="113"/>
        <v>1055.5555555555557</v>
      </c>
      <c r="N365" s="6">
        <f t="shared" si="114"/>
        <v>1200</v>
      </c>
      <c r="O365" s="6">
        <f t="shared" ca="1" si="115"/>
        <v>2277.8918566129373</v>
      </c>
      <c r="P365">
        <f t="shared" si="116"/>
        <v>0</v>
      </c>
      <c r="Q365" s="6">
        <f t="shared" si="106"/>
        <v>0</v>
      </c>
      <c r="R365" s="296">
        <v>8.25</v>
      </c>
      <c r="S365">
        <f t="shared" si="107"/>
        <v>3141.6000000000004</v>
      </c>
      <c r="T365">
        <f t="shared" si="108"/>
        <v>2890.2720000000004</v>
      </c>
      <c r="U365">
        <f t="shared" ca="1" si="109"/>
        <v>0</v>
      </c>
      <c r="V365">
        <f t="shared" si="117"/>
        <v>2890.2720000000004</v>
      </c>
      <c r="W365">
        <f t="shared" ca="1" si="119"/>
        <v>2277.8918566129373</v>
      </c>
      <c r="X365">
        <f t="shared" ca="1" si="118"/>
        <v>2000</v>
      </c>
      <c r="Y365" s="297" t="str">
        <f t="shared" ca="1" si="110"/>
        <v>Yes</v>
      </c>
    </row>
    <row r="366" spans="1:25" outlineLevel="1" x14ac:dyDescent="0.75">
      <c r="A366" s="304">
        <f>Consumption!A366</f>
        <v>41629</v>
      </c>
      <c r="B366" s="305">
        <f>Consumption!B366</f>
        <v>7.6</v>
      </c>
      <c r="C366" s="41">
        <f ca="1">Consumption!C366</f>
        <v>0.76</v>
      </c>
      <c r="D366" s="41">
        <f t="shared" si="100"/>
        <v>0.219</v>
      </c>
      <c r="E366" s="41">
        <f t="shared" ca="1" si="111"/>
        <v>9.4949999999999815</v>
      </c>
      <c r="F366" s="306">
        <f ca="1">'Pump Main'!$M$3*1000</f>
        <v>124614.17111887744</v>
      </c>
      <c r="G366" s="41">
        <f t="shared" ca="1" si="101"/>
        <v>94706.770050346851</v>
      </c>
      <c r="H366" s="6">
        <f t="shared" ca="1" si="102"/>
        <v>160821.3676131487</v>
      </c>
      <c r="I366" s="6">
        <f t="shared" ca="1" si="112"/>
        <v>44.672602114763528</v>
      </c>
      <c r="J366" s="6">
        <f t="shared" ca="1" si="103"/>
        <v>3800</v>
      </c>
      <c r="K366" s="6">
        <f t="shared" ca="1" si="104"/>
        <v>3.8</v>
      </c>
      <c r="L366" s="6">
        <f t="shared" ca="1" si="105"/>
        <v>7.6</v>
      </c>
      <c r="M366">
        <f t="shared" ca="1" si="113"/>
        <v>2111.1111111111113</v>
      </c>
      <c r="N366" s="6">
        <f t="shared" si="114"/>
        <v>1200</v>
      </c>
      <c r="O366" s="6">
        <f t="shared" ca="1" si="115"/>
        <v>3355.7837132258746</v>
      </c>
      <c r="P366">
        <f t="shared" si="116"/>
        <v>0</v>
      </c>
      <c r="Q366" s="6">
        <f t="shared" si="106"/>
        <v>0</v>
      </c>
      <c r="R366" s="296">
        <v>8.25</v>
      </c>
      <c r="S366">
        <f t="shared" si="107"/>
        <v>3141.6000000000004</v>
      </c>
      <c r="T366">
        <f t="shared" si="108"/>
        <v>2890.2720000000004</v>
      </c>
      <c r="U366">
        <f t="shared" ca="1" si="109"/>
        <v>0</v>
      </c>
      <c r="V366">
        <f t="shared" si="117"/>
        <v>2890.2720000000004</v>
      </c>
      <c r="W366">
        <f t="shared" ca="1" si="119"/>
        <v>3355.7837132258746</v>
      </c>
      <c r="X366">
        <f t="shared" ca="1" si="118"/>
        <v>1279.0530853897144</v>
      </c>
      <c r="Y366" s="297" t="str">
        <f t="shared" ca="1" si="110"/>
        <v>Yes</v>
      </c>
    </row>
    <row r="367" spans="1:25" outlineLevel="1" x14ac:dyDescent="0.75">
      <c r="A367" s="304">
        <f>Consumption!A367</f>
        <v>41630</v>
      </c>
      <c r="B367" s="305">
        <f>Consumption!B367</f>
        <v>20.6</v>
      </c>
      <c r="C367" s="41">
        <f ca="1">Consumption!C367</f>
        <v>2.06</v>
      </c>
      <c r="D367" s="41">
        <f t="shared" si="100"/>
        <v>0.219</v>
      </c>
      <c r="E367" s="41">
        <f t="shared" ca="1" si="111"/>
        <v>11.335999999999983</v>
      </c>
      <c r="F367" s="306">
        <f ca="1">'Pump Main'!$M$3*1000</f>
        <v>124614.17111887744</v>
      </c>
      <c r="G367" s="41">
        <f t="shared" ca="1" si="101"/>
        <v>256705.19250488753</v>
      </c>
      <c r="H367" s="6">
        <f t="shared" ca="1" si="102"/>
        <v>435910.54905669257</v>
      </c>
      <c r="I367" s="6">
        <f t="shared" ca="1" si="112"/>
        <v>121.08626362685905</v>
      </c>
      <c r="J367" s="6">
        <f t="shared" ca="1" si="103"/>
        <v>10300</v>
      </c>
      <c r="K367" s="6">
        <f t="shared" ca="1" si="104"/>
        <v>10.3</v>
      </c>
      <c r="L367" s="6">
        <f t="shared" ca="1" si="105"/>
        <v>20.6</v>
      </c>
      <c r="M367">
        <f t="shared" ca="1" si="113"/>
        <v>5722.2222222222226</v>
      </c>
      <c r="N367" s="6">
        <f t="shared" si="114"/>
        <v>1200</v>
      </c>
      <c r="O367" s="6">
        <f t="shared" ca="1" si="115"/>
        <v>7043.308485849082</v>
      </c>
      <c r="P367">
        <f t="shared" si="116"/>
        <v>0</v>
      </c>
      <c r="Q367" s="6">
        <f t="shared" si="106"/>
        <v>0</v>
      </c>
      <c r="R367" s="296">
        <v>8.25</v>
      </c>
      <c r="S367">
        <f t="shared" si="107"/>
        <v>3141.6000000000004</v>
      </c>
      <c r="T367">
        <f t="shared" si="108"/>
        <v>2890.2720000000004</v>
      </c>
      <c r="U367">
        <f t="shared" ca="1" si="109"/>
        <v>0</v>
      </c>
      <c r="V367">
        <f t="shared" si="117"/>
        <v>2890.2720000000004</v>
      </c>
      <c r="W367">
        <f t="shared" ca="1" si="119"/>
        <v>3891.5656371741261</v>
      </c>
      <c r="X367">
        <f t="shared" ca="1" si="118"/>
        <v>0</v>
      </c>
      <c r="Y367" s="297" t="str">
        <f t="shared" ca="1" si="110"/>
        <v>No</v>
      </c>
    </row>
    <row r="368" spans="1:25" outlineLevel="1" x14ac:dyDescent="0.75">
      <c r="A368" s="304">
        <f>Consumption!A368</f>
        <v>41631</v>
      </c>
      <c r="B368" s="305">
        <f>Consumption!B368</f>
        <v>1.4</v>
      </c>
      <c r="C368" s="41">
        <f ca="1">Consumption!C368</f>
        <v>0.14000000000000001</v>
      </c>
      <c r="D368" s="41">
        <f t="shared" si="100"/>
        <v>0.219</v>
      </c>
      <c r="E368" s="41">
        <f t="shared" ca="1" si="111"/>
        <v>11.256999999999984</v>
      </c>
      <c r="F368" s="306">
        <f ca="1">'Pump Main'!$M$3*1000</f>
        <v>124614.17111887744</v>
      </c>
      <c r="G368" s="41">
        <f t="shared" ca="1" si="101"/>
        <v>17445.983956642842</v>
      </c>
      <c r="H368" s="6">
        <f t="shared" ca="1" si="102"/>
        <v>29624.988770843185</v>
      </c>
      <c r="I368" s="6">
        <f t="shared" ca="1" si="112"/>
        <v>8.2291635474564409</v>
      </c>
      <c r="J368" s="6">
        <f t="shared" ca="1" si="103"/>
        <v>700.00000000000011</v>
      </c>
      <c r="K368" s="6">
        <f t="shared" ca="1" si="104"/>
        <v>0.70000000000000007</v>
      </c>
      <c r="L368" s="6">
        <f t="shared" ca="1" si="105"/>
        <v>1.4000000000000001</v>
      </c>
      <c r="M368">
        <f t="shared" ca="1" si="113"/>
        <v>388.88888888888897</v>
      </c>
      <c r="N368" s="6">
        <f t="shared" si="114"/>
        <v>1200</v>
      </c>
      <c r="O368" s="6">
        <f t="shared" ca="1" si="115"/>
        <v>1597.1180524363454</v>
      </c>
      <c r="P368">
        <f t="shared" si="116"/>
        <v>0</v>
      </c>
      <c r="Q368" s="6">
        <f t="shared" si="106"/>
        <v>0</v>
      </c>
      <c r="R368" s="296">
        <v>8.25</v>
      </c>
      <c r="S368">
        <f t="shared" si="107"/>
        <v>3141.6000000000004</v>
      </c>
      <c r="T368">
        <f t="shared" si="108"/>
        <v>2890.2720000000004</v>
      </c>
      <c r="U368">
        <f t="shared" ca="1" si="109"/>
        <v>0</v>
      </c>
      <c r="V368">
        <f t="shared" si="117"/>
        <v>2890.2720000000004</v>
      </c>
      <c r="W368">
        <f t="shared" ca="1" si="119"/>
        <v>1597.1180524363454</v>
      </c>
      <c r="X368">
        <f t="shared" ca="1" si="118"/>
        <v>1110.9964820454738</v>
      </c>
      <c r="Y368" s="297" t="str">
        <f t="shared" ca="1" si="110"/>
        <v>Yes</v>
      </c>
    </row>
    <row r="369" spans="1:25" outlineLevel="1" x14ac:dyDescent="0.75">
      <c r="A369" s="304">
        <f>Consumption!A369</f>
        <v>41632</v>
      </c>
      <c r="B369" s="305">
        <f>Consumption!B369</f>
        <v>3.8</v>
      </c>
      <c r="C369" s="41">
        <f ca="1">Consumption!C369</f>
        <v>0.38</v>
      </c>
      <c r="D369" s="41">
        <f t="shared" si="100"/>
        <v>0.219</v>
      </c>
      <c r="E369" s="41">
        <f t="shared" ca="1" si="111"/>
        <v>11.417999999999985</v>
      </c>
      <c r="F369" s="306">
        <f ca="1">'Pump Main'!$M$3*1000</f>
        <v>124614.17111887744</v>
      </c>
      <c r="G369" s="41">
        <f t="shared" ca="1" si="101"/>
        <v>47353.385025173426</v>
      </c>
      <c r="H369" s="6">
        <f t="shared" ca="1" si="102"/>
        <v>80410.68380657435</v>
      </c>
      <c r="I369" s="6">
        <f t="shared" ca="1" si="112"/>
        <v>22.336301057381764</v>
      </c>
      <c r="J369" s="6">
        <f t="shared" ca="1" si="103"/>
        <v>1900</v>
      </c>
      <c r="K369" s="6">
        <f t="shared" ca="1" si="104"/>
        <v>1.9</v>
      </c>
      <c r="L369" s="6">
        <f t="shared" ca="1" si="105"/>
        <v>3.8</v>
      </c>
      <c r="M369">
        <f t="shared" ca="1" si="113"/>
        <v>1055.5555555555557</v>
      </c>
      <c r="N369" s="6">
        <f t="shared" si="114"/>
        <v>1200</v>
      </c>
      <c r="O369" s="6">
        <f t="shared" ca="1" si="115"/>
        <v>2277.8918566129373</v>
      </c>
      <c r="P369">
        <f t="shared" si="116"/>
        <v>0</v>
      </c>
      <c r="Q369" s="6">
        <f t="shared" si="106"/>
        <v>0</v>
      </c>
      <c r="R369" s="296">
        <v>8.25</v>
      </c>
      <c r="S369">
        <f t="shared" si="107"/>
        <v>3141.6000000000004</v>
      </c>
      <c r="T369">
        <f t="shared" si="108"/>
        <v>2890.2720000000004</v>
      </c>
      <c r="U369">
        <f t="shared" ca="1" si="109"/>
        <v>0</v>
      </c>
      <c r="V369">
        <f t="shared" si="117"/>
        <v>2890.2720000000004</v>
      </c>
      <c r="W369">
        <f t="shared" ca="1" si="119"/>
        <v>2277.8918566129373</v>
      </c>
      <c r="X369">
        <f t="shared" ca="1" si="118"/>
        <v>1512.8535847403309</v>
      </c>
      <c r="Y369" s="297" t="str">
        <f t="shared" ca="1" si="110"/>
        <v>Yes</v>
      </c>
    </row>
    <row r="370" spans="1:25" outlineLevel="1" x14ac:dyDescent="0.75">
      <c r="A370" s="304">
        <f>Consumption!A370</f>
        <v>41633</v>
      </c>
      <c r="B370" s="305">
        <f>Consumption!B370</f>
        <v>25.6</v>
      </c>
      <c r="C370" s="41">
        <f ca="1">Consumption!C370</f>
        <v>2.5</v>
      </c>
      <c r="D370" s="41">
        <f t="shared" si="100"/>
        <v>0.219</v>
      </c>
      <c r="E370" s="41">
        <f t="shared" ca="1" si="111"/>
        <v>13.698999999999986</v>
      </c>
      <c r="F370" s="306">
        <f ca="1">'Pump Main'!$M$3*1000</f>
        <v>124614.17111887744</v>
      </c>
      <c r="G370" s="41">
        <f t="shared" ca="1" si="101"/>
        <v>311535.42779719358</v>
      </c>
      <c r="H370" s="6">
        <f t="shared" ca="1" si="102"/>
        <v>529017.65662219969</v>
      </c>
      <c r="I370" s="6">
        <f t="shared" ca="1" si="112"/>
        <v>146.94934906172213</v>
      </c>
      <c r="J370" s="6">
        <f t="shared" ca="1" si="103"/>
        <v>12500</v>
      </c>
      <c r="K370" s="6">
        <f t="shared" ca="1" si="104"/>
        <v>12.5</v>
      </c>
      <c r="L370" s="6">
        <f t="shared" ca="1" si="105"/>
        <v>25</v>
      </c>
      <c r="M370">
        <f t="shared" ca="1" si="113"/>
        <v>6944.4444444444443</v>
      </c>
      <c r="N370" s="6">
        <f t="shared" si="114"/>
        <v>1200</v>
      </c>
      <c r="O370" s="6">
        <f t="shared" ca="1" si="115"/>
        <v>8291.3937935061658</v>
      </c>
      <c r="P370">
        <f t="shared" si="116"/>
        <v>0</v>
      </c>
      <c r="Q370" s="6">
        <f t="shared" si="106"/>
        <v>0</v>
      </c>
      <c r="R370" s="296">
        <v>8.25</v>
      </c>
      <c r="S370">
        <f t="shared" si="107"/>
        <v>3141.6000000000004</v>
      </c>
      <c r="T370">
        <f t="shared" si="108"/>
        <v>2890.2720000000004</v>
      </c>
      <c r="U370">
        <f t="shared" ca="1" si="109"/>
        <v>0</v>
      </c>
      <c r="V370">
        <f t="shared" si="117"/>
        <v>2890.2720000000004</v>
      </c>
      <c r="W370">
        <f t="shared" ca="1" si="119"/>
        <v>4116.0141165507184</v>
      </c>
      <c r="X370">
        <f t="shared" ca="1" si="118"/>
        <v>0</v>
      </c>
      <c r="Y370" s="297" t="str">
        <f t="shared" ca="1" si="110"/>
        <v>No</v>
      </c>
    </row>
    <row r="371" spans="1:25" outlineLevel="1" x14ac:dyDescent="0.75">
      <c r="A371" s="304">
        <f>Consumption!A371</f>
        <v>41634</v>
      </c>
      <c r="B371" s="305">
        <f>Consumption!B371</f>
        <v>24.8</v>
      </c>
      <c r="C371" s="41">
        <f ca="1">Consumption!C371</f>
        <v>2.48</v>
      </c>
      <c r="D371" s="41">
        <f t="shared" si="100"/>
        <v>0.219</v>
      </c>
      <c r="E371" s="41">
        <f t="shared" ca="1" si="111"/>
        <v>15.959999999999985</v>
      </c>
      <c r="F371" s="306">
        <f ca="1">'Pump Main'!$M$3*1000</f>
        <v>124614.17111887744</v>
      </c>
      <c r="G371" s="41">
        <f t="shared" ca="1" si="101"/>
        <v>309043.14437481604</v>
      </c>
      <c r="H371" s="6">
        <f t="shared" ca="1" si="102"/>
        <v>524785.51536922203</v>
      </c>
      <c r="I371" s="6">
        <f t="shared" ca="1" si="112"/>
        <v>145.77375426922833</v>
      </c>
      <c r="J371" s="6">
        <f t="shared" ca="1" si="103"/>
        <v>12400</v>
      </c>
      <c r="K371" s="6">
        <f t="shared" ca="1" si="104"/>
        <v>12.4</v>
      </c>
      <c r="L371" s="6">
        <f t="shared" ca="1" si="105"/>
        <v>24.8</v>
      </c>
      <c r="M371">
        <f t="shared" ca="1" si="113"/>
        <v>6888.8888888888887</v>
      </c>
      <c r="N371" s="6">
        <f t="shared" si="114"/>
        <v>1200</v>
      </c>
      <c r="O371" s="6">
        <f t="shared" ca="1" si="115"/>
        <v>8234.6626431581171</v>
      </c>
      <c r="P371">
        <f t="shared" si="116"/>
        <v>0</v>
      </c>
      <c r="Q371" s="6">
        <f t="shared" si="106"/>
        <v>0</v>
      </c>
      <c r="R371" s="296">
        <v>8.25</v>
      </c>
      <c r="S371">
        <f t="shared" si="107"/>
        <v>3141.6000000000004</v>
      </c>
      <c r="T371">
        <f t="shared" si="108"/>
        <v>2890.2720000000004</v>
      </c>
      <c r="U371">
        <f t="shared" ca="1" si="109"/>
        <v>0</v>
      </c>
      <c r="V371">
        <f t="shared" si="117"/>
        <v>2890.2720000000004</v>
      </c>
      <c r="W371">
        <f t="shared" ca="1" si="119"/>
        <v>2663.6746751999999</v>
      </c>
      <c r="X371">
        <f t="shared" ca="1" si="118"/>
        <v>0</v>
      </c>
      <c r="Y371" s="297" t="str">
        <f t="shared" ca="1" si="110"/>
        <v>No</v>
      </c>
    </row>
    <row r="372" spans="1:25" outlineLevel="1" x14ac:dyDescent="0.75">
      <c r="A372" s="304">
        <f>Consumption!A372</f>
        <v>41635</v>
      </c>
      <c r="B372" s="305">
        <f>Consumption!B372</f>
        <v>2.2000000000000002</v>
      </c>
      <c r="C372" s="41">
        <f ca="1">Consumption!C372</f>
        <v>0.22000000000000003</v>
      </c>
      <c r="D372" s="41">
        <f t="shared" si="100"/>
        <v>0.219</v>
      </c>
      <c r="E372" s="41">
        <f t="shared" ca="1" si="111"/>
        <v>15.960999999999986</v>
      </c>
      <c r="F372" s="306">
        <f ca="1">'Pump Main'!$M$3*1000</f>
        <v>124614.17111887744</v>
      </c>
      <c r="G372" s="41">
        <f t="shared" ca="1" si="101"/>
        <v>27415.117646153038</v>
      </c>
      <c r="H372" s="6">
        <f t="shared" ca="1" si="102"/>
        <v>46553.553782753574</v>
      </c>
      <c r="I372" s="6">
        <f t="shared" ca="1" si="112"/>
        <v>12.931542717431547</v>
      </c>
      <c r="J372" s="6">
        <f t="shared" ca="1" si="103"/>
        <v>1100</v>
      </c>
      <c r="K372" s="6">
        <f t="shared" ca="1" si="104"/>
        <v>1.1000000000000001</v>
      </c>
      <c r="L372" s="6">
        <f t="shared" ca="1" si="105"/>
        <v>2.2000000000000002</v>
      </c>
      <c r="M372">
        <f t="shared" ca="1" si="113"/>
        <v>611.11111111111109</v>
      </c>
      <c r="N372" s="6">
        <f t="shared" si="114"/>
        <v>1200</v>
      </c>
      <c r="O372" s="6">
        <f t="shared" ca="1" si="115"/>
        <v>1824.0426538285426</v>
      </c>
      <c r="P372">
        <f t="shared" si="116"/>
        <v>0</v>
      </c>
      <c r="Q372" s="6">
        <f t="shared" si="106"/>
        <v>0</v>
      </c>
      <c r="R372" s="296">
        <v>8.25</v>
      </c>
      <c r="S372">
        <f t="shared" si="107"/>
        <v>3141.6000000000004</v>
      </c>
      <c r="T372">
        <f t="shared" si="108"/>
        <v>2890.2720000000004</v>
      </c>
      <c r="U372">
        <f t="shared" ca="1" si="109"/>
        <v>0</v>
      </c>
      <c r="V372">
        <f t="shared" si="117"/>
        <v>2890.2720000000004</v>
      </c>
      <c r="W372">
        <f t="shared" ca="1" si="119"/>
        <v>1824.0426538285426</v>
      </c>
      <c r="X372">
        <f t="shared" ca="1" si="118"/>
        <v>874.61668892860166</v>
      </c>
      <c r="Y372" s="297" t="str">
        <f t="shared" ca="1" si="110"/>
        <v>Yes</v>
      </c>
    </row>
    <row r="373" spans="1:25" outlineLevel="1" x14ac:dyDescent="0.75">
      <c r="A373" s="304">
        <f>Consumption!A373</f>
        <v>41636</v>
      </c>
      <c r="B373" s="305">
        <f>Consumption!B373</f>
        <v>21.8</v>
      </c>
      <c r="C373" s="41">
        <f ca="1">Consumption!C373</f>
        <v>2.1800000000000002</v>
      </c>
      <c r="D373" s="41">
        <f t="shared" si="100"/>
        <v>0.219</v>
      </c>
      <c r="E373" s="41">
        <f t="shared" ca="1" si="111"/>
        <v>17.921999999999986</v>
      </c>
      <c r="F373" s="306">
        <f ca="1">'Pump Main'!$M$3*1000</f>
        <v>124614.17111887744</v>
      </c>
      <c r="G373" s="41">
        <f t="shared" ca="1" si="101"/>
        <v>271658.89303915284</v>
      </c>
      <c r="H373" s="6">
        <f t="shared" ca="1" si="102"/>
        <v>461303.39657455817</v>
      </c>
      <c r="I373" s="6">
        <f t="shared" ca="1" si="112"/>
        <v>128.13983238182172</v>
      </c>
      <c r="J373" s="6">
        <f t="shared" ca="1" si="103"/>
        <v>10900</v>
      </c>
      <c r="K373" s="6">
        <f t="shared" ca="1" si="104"/>
        <v>10.9</v>
      </c>
      <c r="L373" s="6">
        <f t="shared" ca="1" si="105"/>
        <v>21.8</v>
      </c>
      <c r="M373">
        <f t="shared" ca="1" si="113"/>
        <v>6055.5555555555557</v>
      </c>
      <c r="N373" s="6">
        <f t="shared" si="114"/>
        <v>1200</v>
      </c>
      <c r="O373" s="6">
        <f t="shared" ca="1" si="115"/>
        <v>7383.6953879373777</v>
      </c>
      <c r="P373">
        <f t="shared" si="116"/>
        <v>0</v>
      </c>
      <c r="Q373" s="6">
        <f t="shared" si="106"/>
        <v>0</v>
      </c>
      <c r="R373" s="296">
        <v>8.25</v>
      </c>
      <c r="S373">
        <f t="shared" si="107"/>
        <v>3141.6000000000004</v>
      </c>
      <c r="T373">
        <f t="shared" si="108"/>
        <v>2890.2720000000004</v>
      </c>
      <c r="U373">
        <f t="shared" ca="1" si="109"/>
        <v>0</v>
      </c>
      <c r="V373">
        <f t="shared" si="117"/>
        <v>2890.2720000000004</v>
      </c>
      <c r="W373">
        <f t="shared" ca="1" si="119"/>
        <v>3503.3066965714579</v>
      </c>
      <c r="X373">
        <f t="shared" ca="1" si="118"/>
        <v>0</v>
      </c>
      <c r="Y373" s="297" t="str">
        <f t="shared" ca="1" si="110"/>
        <v>No</v>
      </c>
    </row>
    <row r="374" spans="1:25" outlineLevel="1" x14ac:dyDescent="0.75">
      <c r="A374" s="304">
        <f>Consumption!A374</f>
        <v>41637</v>
      </c>
      <c r="B374" s="305">
        <f>Consumption!B374</f>
        <v>2.4</v>
      </c>
      <c r="C374" s="41">
        <f ca="1">Consumption!C374</f>
        <v>0.24</v>
      </c>
      <c r="D374" s="41">
        <f t="shared" si="100"/>
        <v>0.219</v>
      </c>
      <c r="E374" s="41">
        <f t="shared" ca="1" si="111"/>
        <v>17.942999999999984</v>
      </c>
      <c r="F374" s="306">
        <f ca="1">'Pump Main'!$M$3*1000</f>
        <v>124614.17111887744</v>
      </c>
      <c r="G374" s="41">
        <f t="shared" ca="1" si="101"/>
        <v>29907.401068530584</v>
      </c>
      <c r="H374" s="6">
        <f t="shared" ca="1" si="102"/>
        <v>50785.695035731173</v>
      </c>
      <c r="I374" s="6">
        <f t="shared" ca="1" si="112"/>
        <v>14.107137509925325</v>
      </c>
      <c r="J374" s="6">
        <f t="shared" ca="1" si="103"/>
        <v>1200</v>
      </c>
      <c r="K374" s="6">
        <f t="shared" ca="1" si="104"/>
        <v>1.2</v>
      </c>
      <c r="L374" s="6">
        <f t="shared" ca="1" si="105"/>
        <v>2.4</v>
      </c>
      <c r="M374">
        <f t="shared" ca="1" si="113"/>
        <v>666.66666666666663</v>
      </c>
      <c r="N374" s="6">
        <f t="shared" si="114"/>
        <v>1200</v>
      </c>
      <c r="O374" s="6">
        <f t="shared" ca="1" si="115"/>
        <v>1880.773804176592</v>
      </c>
      <c r="P374">
        <f t="shared" si="116"/>
        <v>0</v>
      </c>
      <c r="Q374" s="6">
        <f t="shared" si="106"/>
        <v>0</v>
      </c>
      <c r="R374" s="296">
        <v>8.25</v>
      </c>
      <c r="S374">
        <f t="shared" si="107"/>
        <v>3141.6000000000004</v>
      </c>
      <c r="T374">
        <f t="shared" si="108"/>
        <v>2890.2720000000004</v>
      </c>
      <c r="U374">
        <f t="shared" ca="1" si="109"/>
        <v>0</v>
      </c>
      <c r="V374">
        <f t="shared" si="117"/>
        <v>2890.2720000000004</v>
      </c>
      <c r="W374">
        <f t="shared" ca="1" si="119"/>
        <v>1880.773804176592</v>
      </c>
      <c r="X374">
        <f t="shared" ca="1" si="118"/>
        <v>815.52174064938345</v>
      </c>
      <c r="Y374" s="297" t="str">
        <f t="shared" ca="1" si="110"/>
        <v>Yes</v>
      </c>
    </row>
    <row r="375" spans="1:25" outlineLevel="1" x14ac:dyDescent="0.75">
      <c r="A375" s="304">
        <f>Consumption!A375</f>
        <v>41638</v>
      </c>
      <c r="B375" s="305">
        <f>Consumption!B375</f>
        <v>2.8</v>
      </c>
      <c r="C375" s="41">
        <f ca="1">Consumption!C375</f>
        <v>0.28000000000000003</v>
      </c>
      <c r="D375" s="41">
        <f t="shared" si="100"/>
        <v>0.219</v>
      </c>
      <c r="E375" s="41">
        <f t="shared" ca="1" si="111"/>
        <v>18.003999999999984</v>
      </c>
      <c r="F375" s="306">
        <f ca="1">'Pump Main'!$M$3*1000</f>
        <v>124614.17111887744</v>
      </c>
      <c r="G375" s="41">
        <f t="shared" ca="1" si="101"/>
        <v>34891.967913285684</v>
      </c>
      <c r="H375" s="6">
        <f t="shared" ca="1" si="102"/>
        <v>59249.97754168637</v>
      </c>
      <c r="I375" s="6">
        <f t="shared" ca="1" si="112"/>
        <v>16.458327094912882</v>
      </c>
      <c r="J375" s="6">
        <f t="shared" ca="1" si="103"/>
        <v>1400.0000000000002</v>
      </c>
      <c r="K375" s="6">
        <f t="shared" ca="1" si="104"/>
        <v>1.4000000000000001</v>
      </c>
      <c r="L375" s="6">
        <f t="shared" ca="1" si="105"/>
        <v>2.8000000000000003</v>
      </c>
      <c r="M375">
        <f t="shared" ca="1" si="113"/>
        <v>777.77777777777794</v>
      </c>
      <c r="N375" s="6">
        <f t="shared" si="114"/>
        <v>1200</v>
      </c>
      <c r="O375" s="6">
        <f t="shared" ca="1" si="115"/>
        <v>1994.2361048726907</v>
      </c>
      <c r="P375">
        <f t="shared" si="116"/>
        <v>0</v>
      </c>
      <c r="Q375" s="6">
        <f t="shared" si="106"/>
        <v>0</v>
      </c>
      <c r="R375" s="296">
        <v>8.25</v>
      </c>
      <c r="S375">
        <f t="shared" si="107"/>
        <v>3141.6000000000004</v>
      </c>
      <c r="T375">
        <f t="shared" si="108"/>
        <v>2890.2720000000004</v>
      </c>
      <c r="U375">
        <f t="shared" ca="1" si="109"/>
        <v>0</v>
      </c>
      <c r="V375">
        <f t="shared" si="117"/>
        <v>2890.2720000000004</v>
      </c>
      <c r="W375">
        <f t="shared" ca="1" si="119"/>
        <v>1994.2361048726907</v>
      </c>
      <c r="X375">
        <f t="shared" ca="1" si="118"/>
        <v>1512.8535847403309</v>
      </c>
      <c r="Y375" s="297" t="str">
        <f t="shared" ca="1" si="110"/>
        <v>Yes</v>
      </c>
    </row>
    <row r="376" spans="1:25" outlineLevel="1" x14ac:dyDescent="0.75">
      <c r="A376" s="304">
        <f>Consumption!A376</f>
        <v>41639</v>
      </c>
      <c r="B376" s="305">
        <f>Consumption!B376</f>
        <v>0.2</v>
      </c>
      <c r="C376" s="41">
        <f ca="1">Consumption!C376</f>
        <v>0.02</v>
      </c>
      <c r="D376" s="41">
        <f t="shared" si="100"/>
        <v>0.219</v>
      </c>
      <c r="E376" s="41">
        <f t="shared" ca="1" si="111"/>
        <v>17.804999999999982</v>
      </c>
      <c r="F376" s="306">
        <f ca="1">'Pump Main'!$M$3*1000</f>
        <v>124614.17111887744</v>
      </c>
      <c r="G376" s="41">
        <f t="shared" ca="1" si="101"/>
        <v>2492.283422377549</v>
      </c>
      <c r="H376" s="6">
        <f t="shared" ca="1" si="102"/>
        <v>4232.141252977598</v>
      </c>
      <c r="I376" s="6">
        <f t="shared" ca="1" si="112"/>
        <v>1.1755947924937773</v>
      </c>
      <c r="J376" s="6">
        <f t="shared" ca="1" si="103"/>
        <v>100</v>
      </c>
      <c r="K376" s="6">
        <f t="shared" ca="1" si="104"/>
        <v>0.1</v>
      </c>
      <c r="L376" s="6">
        <f t="shared" ca="1" si="105"/>
        <v>0.2</v>
      </c>
      <c r="M376">
        <f t="shared" ca="1" si="113"/>
        <v>55.555555555555557</v>
      </c>
      <c r="N376" s="6">
        <f t="shared" si="114"/>
        <v>1200</v>
      </c>
      <c r="O376" s="6">
        <f t="shared" ca="1" si="115"/>
        <v>1256.7311503480494</v>
      </c>
      <c r="P376">
        <f t="shared" si="116"/>
        <v>0</v>
      </c>
      <c r="Q376" s="6">
        <f t="shared" si="106"/>
        <v>0</v>
      </c>
      <c r="R376" s="296">
        <v>8.25</v>
      </c>
      <c r="S376">
        <f t="shared" si="107"/>
        <v>3141.6000000000004</v>
      </c>
      <c r="T376">
        <f t="shared" si="108"/>
        <v>2890.2720000000004</v>
      </c>
      <c r="U376">
        <f t="shared" ca="1" si="109"/>
        <v>0</v>
      </c>
      <c r="V376">
        <f t="shared" si="117"/>
        <v>2890.2720000000004</v>
      </c>
      <c r="W376">
        <f t="shared" ca="1" si="119"/>
        <v>1256.7311503480494</v>
      </c>
      <c r="X376">
        <f t="shared" ca="1" si="118"/>
        <v>2000</v>
      </c>
      <c r="Y376" s="297" t="str">
        <f t="shared" ca="1" si="110"/>
        <v>Yes</v>
      </c>
    </row>
    <row r="377" spans="1:25" ht="31.4" customHeight="1" x14ac:dyDescent="0.75">
      <c r="A377" s="319" t="s">
        <v>223</v>
      </c>
      <c r="B377" s="320">
        <f>SUM(B12:B376)</f>
        <v>985.1999999999997</v>
      </c>
      <c r="C377" s="320"/>
      <c r="D377" s="308">
        <f>SUM(D12:D376)</f>
        <v>79.934999999999818</v>
      </c>
      <c r="E377" s="308">
        <f ca="1">SUM(E12:E376)</f>
        <v>1455.3649999999955</v>
      </c>
      <c r="F377" s="318"/>
      <c r="G377" s="318"/>
      <c r="H377" s="318"/>
      <c r="I377" s="318">
        <f ca="1">SUM(I12:I376)</f>
        <v>5745.1317509170913</v>
      </c>
      <c r="J377" s="316"/>
      <c r="K377" s="316">
        <f ca="1">SUM(K12:K376)</f>
        <v>488.69999999999987</v>
      </c>
      <c r="L377" s="316"/>
      <c r="M377" s="317">
        <f t="shared" ref="M377:R377" ca="1" si="120">SUM(M12:M376)</f>
        <v>271500</v>
      </c>
      <c r="N377" s="315">
        <f t="shared" si="120"/>
        <v>438000</v>
      </c>
      <c r="O377" s="314">
        <f t="shared" ca="1" si="120"/>
        <v>715245.13175091811</v>
      </c>
      <c r="P377" s="313">
        <f t="shared" si="120"/>
        <v>0</v>
      </c>
      <c r="Q377" s="313">
        <f t="shared" si="120"/>
        <v>0</v>
      </c>
      <c r="R377" s="311">
        <f t="shared" si="120"/>
        <v>4434.74999999999</v>
      </c>
      <c r="S377" s="312"/>
      <c r="T377" s="312">
        <f>SUM(T12:T376)</f>
        <v>1553652.5760000029</v>
      </c>
      <c r="U377" s="275">
        <f ca="1">SUM(U12:U376)</f>
        <v>0</v>
      </c>
      <c r="V377" s="309">
        <f t="shared" ref="V377:W377" si="121">SUM(V12:V376)</f>
        <v>1553652.5760000029</v>
      </c>
      <c r="W377" s="309">
        <f t="shared" ca="1" si="121"/>
        <v>665597.50599756546</v>
      </c>
      <c r="X377" s="309"/>
      <c r="Y377" s="310">
        <f ca="1">COUNTIF(Y12:Y376, "Yes")</f>
        <v>344</v>
      </c>
    </row>
  </sheetData>
  <mergeCells count="1">
    <mergeCell ref="A1:C1"/>
  </mergeCells>
  <phoneticPr fontId="25" type="noConversion"/>
  <conditionalFormatting sqref="Y12:Y376">
    <cfRule type="cellIs" dxfId="5" priority="1" operator="equal">
      <formula>"No"</formula>
    </cfRule>
    <cfRule type="cellIs" dxfId="4" priority="2" operator="equal">
      <formula>"Yes"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5BDB0-C0F2-4B0B-9BBD-BDE780B6F3D7}">
  <dimension ref="A1:U376"/>
  <sheetViews>
    <sheetView topLeftCell="B382" zoomScale="87" zoomScaleNormal="100" workbookViewId="0">
      <selection activeCell="G4" sqref="G4"/>
    </sheetView>
  </sheetViews>
  <sheetFormatPr defaultRowHeight="14.75" x14ac:dyDescent="0.75"/>
  <cols>
    <col min="1" max="1" width="22.453125" style="19" customWidth="1"/>
    <col min="2" max="2" width="19.54296875" style="19" customWidth="1"/>
    <col min="3" max="3" width="14.54296875" style="41" customWidth="1"/>
    <col min="4" max="4" width="24.1796875" style="41" bestFit="1" customWidth="1"/>
    <col min="5" max="5" width="31.453125" style="41" customWidth="1"/>
    <col min="6" max="6" width="20.26953125" style="32" bestFit="1" customWidth="1"/>
    <col min="7" max="7" width="17.453125" style="6" customWidth="1"/>
    <col min="8" max="8" width="22.453125" style="6" bestFit="1" customWidth="1"/>
    <col min="9" max="9" width="22.453125" bestFit="1" customWidth="1"/>
    <col min="10" max="10" width="17.453125" bestFit="1" customWidth="1"/>
    <col min="11" max="11" width="23.7265625" bestFit="1" customWidth="1"/>
    <col min="12" max="12" width="22" bestFit="1" customWidth="1"/>
    <col min="14" max="14" width="18.81640625" customWidth="1"/>
    <col min="16" max="16" width="16.7265625" customWidth="1"/>
    <col min="18" max="18" width="9.81640625" bestFit="1" customWidth="1"/>
    <col min="20" max="20" width="9.81640625" bestFit="1" customWidth="1"/>
  </cols>
  <sheetData>
    <row r="1" spans="1:21" x14ac:dyDescent="0.75">
      <c r="A1" s="162" t="s">
        <v>70</v>
      </c>
      <c r="B1" s="163"/>
      <c r="C1" s="164"/>
    </row>
    <row r="2" spans="1:21" x14ac:dyDescent="0.75">
      <c r="A2" s="165" t="s">
        <v>71</v>
      </c>
      <c r="B2" s="166">
        <f>IF(Main!$C$4 = "N", 0, IF(Main!$C$4 = "H", 0.5, 1)) * Main!C3+Main!C5</f>
        <v>100</v>
      </c>
      <c r="C2" s="164" t="s">
        <v>72</v>
      </c>
      <c r="F2" s="19"/>
    </row>
    <row r="3" spans="1:21" x14ac:dyDescent="0.75">
      <c r="A3" s="165" t="s">
        <v>22</v>
      </c>
      <c r="B3" s="166">
        <f>Main!C7</f>
        <v>17</v>
      </c>
      <c r="C3" s="164" t="s">
        <v>74</v>
      </c>
      <c r="E3" s="171" t="s">
        <v>73</v>
      </c>
      <c r="F3" s="172">
        <f ca="1">COUNTIF(I12:I376, "No")</f>
        <v>0</v>
      </c>
    </row>
    <row r="4" spans="1:21" x14ac:dyDescent="0.75">
      <c r="A4" s="165" t="s">
        <v>19</v>
      </c>
      <c r="B4" s="166">
        <f>Main!C6</f>
        <v>2.5</v>
      </c>
      <c r="C4" s="164" t="s">
        <v>74</v>
      </c>
      <c r="E4" s="326" t="s">
        <v>75</v>
      </c>
      <c r="F4" s="327">
        <f ca="1">1000* SUM(D12:D376)</f>
        <v>80237.225792616126</v>
      </c>
    </row>
    <row r="5" spans="1:21" x14ac:dyDescent="0.75">
      <c r="A5" s="165" t="s">
        <v>76</v>
      </c>
      <c r="B5" s="167">
        <v>0</v>
      </c>
      <c r="C5" s="164" t="s">
        <v>74</v>
      </c>
      <c r="E5" s="326" t="s">
        <v>77</v>
      </c>
      <c r="F5" s="327">
        <f ca="1">1000* SUM(G12:G376)</f>
        <v>73146</v>
      </c>
    </row>
    <row r="6" spans="1:21" x14ac:dyDescent="0.75">
      <c r="A6" s="165" t="s">
        <v>78</v>
      </c>
      <c r="B6" s="168">
        <f>Main!C2</f>
        <v>219</v>
      </c>
      <c r="C6" s="164" t="s">
        <v>79</v>
      </c>
      <c r="E6" s="328" t="s">
        <v>275</v>
      </c>
      <c r="F6" s="329">
        <f ca="1">SUM(F12:F376)</f>
        <v>44.586025588219236</v>
      </c>
    </row>
    <row r="7" spans="1:21" x14ac:dyDescent="0.75">
      <c r="A7" s="165" t="s">
        <v>80</v>
      </c>
      <c r="B7" s="169">
        <f>IF($B$10="Station 1 2014", N43, IF($B$10="Station 1 2015", P43, IF($B$10="Station 2 2015", R43, T43)))</f>
        <v>41306</v>
      </c>
      <c r="C7" s="164"/>
    </row>
    <row r="8" spans="1:21" x14ac:dyDescent="0.75">
      <c r="A8" s="163" t="s">
        <v>81</v>
      </c>
      <c r="B8" s="170">
        <f ca="1">'Pump Main'!N3/1000/60</f>
        <v>4.9989022303920788E-4</v>
      </c>
      <c r="C8" s="164" t="s">
        <v>82</v>
      </c>
    </row>
    <row r="9" spans="1:21" x14ac:dyDescent="0.75">
      <c r="A9" s="163" t="s">
        <v>83</v>
      </c>
      <c r="B9" s="170">
        <f ca="1">'Storage System Flow'!N3/1000/60</f>
        <v>6.3133445966540469E-4</v>
      </c>
      <c r="C9" s="164" t="s">
        <v>82</v>
      </c>
    </row>
    <row r="10" spans="1:21" x14ac:dyDescent="0.75">
      <c r="A10" s="163" t="s">
        <v>68</v>
      </c>
      <c r="B10" s="163" t="str">
        <f>Main!C33</f>
        <v>Station 3 2013</v>
      </c>
      <c r="C10" s="164"/>
      <c r="E10"/>
      <c r="G10" s="32"/>
      <c r="J10" s="1"/>
      <c r="K10" s="1"/>
    </row>
    <row r="11" spans="1:21" x14ac:dyDescent="0.75">
      <c r="A11" s="60" t="s">
        <v>84</v>
      </c>
      <c r="B11" s="29" t="s">
        <v>85</v>
      </c>
      <c r="C11" s="58" t="s">
        <v>86</v>
      </c>
      <c r="D11" s="58" t="s">
        <v>278</v>
      </c>
      <c r="E11" s="335" t="s">
        <v>284</v>
      </c>
      <c r="F11" s="58" t="s">
        <v>87</v>
      </c>
      <c r="G11" s="58" t="s">
        <v>276</v>
      </c>
      <c r="H11" s="58" t="s">
        <v>277</v>
      </c>
      <c r="I11" s="58" t="s">
        <v>88</v>
      </c>
      <c r="N11" s="1" t="s">
        <v>69</v>
      </c>
      <c r="P11" s="29" t="s">
        <v>89</v>
      </c>
      <c r="Q11" s="58"/>
      <c r="R11" s="1" t="s">
        <v>90</v>
      </c>
      <c r="T11" s="1" t="s">
        <v>91</v>
      </c>
    </row>
    <row r="12" spans="1:21" x14ac:dyDescent="0.75">
      <c r="A12" s="59">
        <f t="shared" ref="A12:A75" si="0">IF($B$10="Station 1 2014", N12, IF($B$10="Station 1 2015", P12, IF($B$10="Station 2 2015", R12, T12)))</f>
        <v>41275</v>
      </c>
      <c r="B12" s="19">
        <f t="shared" ref="B12:B75" si="1">IF($B$10="Station 1 2014", O12, IF($B$10="Station 1 2015", Q12, IF($B$10="Station 2 2015", S12, U12)))</f>
        <v>0</v>
      </c>
      <c r="C12" s="41">
        <f ca="1">IF(IF(B12*$B$2/1000&gt;$B$4, $B$4, B12*$B$2/1000)&gt;$B$8*24*60*60, $B$8*24*60*60, (IF(B12*$B$2/1000&gt;$B$4, $B$4, B12*$B$2/1000)))</f>
        <v>0</v>
      </c>
      <c r="D12" s="41">
        <f ca="1">IF(Energy!$N$3, C12, IF(C12 &gt; 0, MAX(Energy!W12- Energy!N12, 0) / (Energy!I12 + Energy!M12) *C12, 0))</f>
        <v>0</v>
      </c>
      <c r="E12" s="41" t="b">
        <f ca="1">IF(Main!$C$25="Solar", IF(Energy!W12-Energy!N12&gt;=0, TRUE, FALSE), TRUE)</f>
        <v>1</v>
      </c>
      <c r="F12" s="41">
        <f t="shared" ref="F12:F75" ca="1" si="2">D12/($B$8*60*60)</f>
        <v>0</v>
      </c>
      <c r="G12" s="6">
        <f>IF(A12&gt;=$B$7,IF(E12, IF($B$6/1000&gt;$B$9*24*60*60,$B$9*24*60*60,$B$6/1000), ($B$6/1000)*Energy!W12/Energy!O12), 0)</f>
        <v>0</v>
      </c>
      <c r="H12" s="6">
        <f ca="1">IF($B$5+D12-G12&gt;B3, B3, IF($B$5+D12-G12&lt;0, 0, $B$5+D12-G12))</f>
        <v>0</v>
      </c>
      <c r="I12" t="str">
        <f t="shared" ref="I12:I75" si="3">IF(A12&gt;=$B$7,IF(G12&gt;=$B$6/1000, IF(E12=TRUE,"Yes","No"),"No"), "Yes")</f>
        <v>Yes</v>
      </c>
      <c r="N12" s="57">
        <v>41640</v>
      </c>
      <c r="O12" s="56">
        <v>18.8</v>
      </c>
      <c r="P12" s="59">
        <v>42005</v>
      </c>
      <c r="Q12" s="32">
        <v>7.8</v>
      </c>
      <c r="R12" s="59">
        <v>42005</v>
      </c>
      <c r="S12" s="19">
        <v>0</v>
      </c>
      <c r="T12" s="59">
        <v>41275</v>
      </c>
      <c r="U12" s="19">
        <v>0</v>
      </c>
    </row>
    <row r="13" spans="1:21" x14ac:dyDescent="0.75">
      <c r="A13" s="59">
        <f t="shared" si="0"/>
        <v>41276</v>
      </c>
      <c r="B13" s="19">
        <f t="shared" si="1"/>
        <v>0</v>
      </c>
      <c r="C13" s="41">
        <f t="shared" ref="C13:C76" ca="1" si="4">IF(IF(B13*$B$2/1000&gt;$B$4, $B$4, B13*$B$2/1000)&gt;$B$8*24*60*60, $B$8*24*60*60, (IF(B13*$B$2/1000&gt;$B$4, $B$4, B13*$B$2/1000)))</f>
        <v>0</v>
      </c>
      <c r="D13" s="41">
        <f ca="1">IF(Energy!$N$3, C13, IF(C13 &gt; 0, MAX(Energy!W13- Energy!N13, 0) / (Energy!I13 + Energy!M13) *C13, 0))</f>
        <v>0</v>
      </c>
      <c r="E13" s="41" t="b">
        <f ca="1">IF(Main!$C$25="Solar", IF(Energy!W13-Energy!N13&gt;=0, TRUE, FALSE), TRUE)</f>
        <v>1</v>
      </c>
      <c r="F13" s="41">
        <f t="shared" ca="1" si="2"/>
        <v>0</v>
      </c>
      <c r="G13" s="6">
        <f>IF(A13&gt;=$B$7,IF(E13,IF(H12-$B$6/1000&gt;0,IF($B$6/1000&gt;$B$9*24*60*60,$B$9*24*60*60,$B$6/1000),H12),($B$6/1000)*(-Energy!W13+Energy!N13)/Energy!N13),0)</f>
        <v>0</v>
      </c>
      <c r="H13" s="6">
        <f t="shared" ref="H13:H76" ca="1" si="5">IF(H12+D13-G13&gt;$B$3, $B$3, IF(H12+D13-G13&lt;0, 0, H12+D13-G13))</f>
        <v>0</v>
      </c>
      <c r="I13" t="str">
        <f t="shared" si="3"/>
        <v>Yes</v>
      </c>
      <c r="N13" s="57">
        <v>41641</v>
      </c>
      <c r="O13" s="56">
        <v>19.8</v>
      </c>
      <c r="P13" s="59">
        <v>42006</v>
      </c>
      <c r="Q13" s="32">
        <v>1</v>
      </c>
      <c r="R13" s="59">
        <v>42006</v>
      </c>
      <c r="S13" s="19">
        <v>1.4</v>
      </c>
      <c r="T13" s="59">
        <v>41276</v>
      </c>
      <c r="U13" s="19">
        <v>0</v>
      </c>
    </row>
    <row r="14" spans="1:21" x14ac:dyDescent="0.75">
      <c r="A14" s="59">
        <f t="shared" si="0"/>
        <v>41277</v>
      </c>
      <c r="B14" s="19">
        <f t="shared" si="1"/>
        <v>0</v>
      </c>
      <c r="C14" s="41">
        <f t="shared" ca="1" si="4"/>
        <v>0</v>
      </c>
      <c r="D14" s="41">
        <f ca="1">IF(Energy!$N$3, C14, IF(C14 &gt; 0, MAX(Energy!W14- Energy!N14, 0) / (Energy!I14 + Energy!M14) *C14, 0))</f>
        <v>0</v>
      </c>
      <c r="E14" s="41" t="b">
        <f ca="1">IF(Main!$C$25="Solar", IF(Energy!W14-Energy!N14&gt;=0, TRUE, FALSE), TRUE)</f>
        <v>1</v>
      </c>
      <c r="F14" s="41">
        <f t="shared" ca="1" si="2"/>
        <v>0</v>
      </c>
      <c r="G14" s="6">
        <f>IF(A14&gt;=$B$7,IF(E14,IF(H13-$B$6/1000&gt;0,IF($B$6/1000&gt;$B$9*24*60*60,$B$9*24*60*60,$B$6/1000),H13),($B$6/1000)*(-Energy!W14+Energy!N14)/Energy!N14),0)</f>
        <v>0</v>
      </c>
      <c r="H14" s="6">
        <f t="shared" ca="1" si="5"/>
        <v>0</v>
      </c>
      <c r="I14" t="str">
        <f t="shared" si="3"/>
        <v>Yes</v>
      </c>
      <c r="N14" s="57">
        <v>41642</v>
      </c>
      <c r="O14" s="56">
        <v>0</v>
      </c>
      <c r="P14" s="59">
        <v>42007</v>
      </c>
      <c r="Q14" s="32">
        <v>13.4</v>
      </c>
      <c r="R14" s="59">
        <v>42007</v>
      </c>
      <c r="S14" s="19">
        <v>7.8</v>
      </c>
      <c r="T14" s="59">
        <v>41277</v>
      </c>
      <c r="U14" s="19">
        <v>0</v>
      </c>
    </row>
    <row r="15" spans="1:21" x14ac:dyDescent="0.75">
      <c r="A15" s="59">
        <f t="shared" si="0"/>
        <v>41278</v>
      </c>
      <c r="B15" s="19">
        <f t="shared" si="1"/>
        <v>0</v>
      </c>
      <c r="C15" s="41">
        <f t="shared" ca="1" si="4"/>
        <v>0</v>
      </c>
      <c r="D15" s="41">
        <f ca="1">IF(Energy!$N$3, C15, IF(C15 &gt; 0, MAX(Energy!W15- Energy!N15, 0) / (Energy!I15 + Energy!M15) *C15, 0))</f>
        <v>0</v>
      </c>
      <c r="E15" s="41" t="b">
        <f ca="1">IF(Main!$C$25="Solar", IF(Energy!W15-Energy!N15&gt;=0, TRUE, FALSE), TRUE)</f>
        <v>1</v>
      </c>
      <c r="F15" s="41">
        <f t="shared" ca="1" si="2"/>
        <v>0</v>
      </c>
      <c r="G15" s="6">
        <f>IF(A15&gt;=$B$7,IF(E15,IF(H14-$B$6/1000&gt;0,IF($B$6/1000&gt;$B$9*24*60*60,$B$9*24*60*60,$B$6/1000),H14),($B$6/1000)*(-Energy!W15+Energy!N15)/Energy!N15),0)</f>
        <v>0</v>
      </c>
      <c r="H15" s="6">
        <f t="shared" ca="1" si="5"/>
        <v>0</v>
      </c>
      <c r="I15" t="str">
        <f t="shared" si="3"/>
        <v>Yes</v>
      </c>
      <c r="N15" s="57">
        <v>41643</v>
      </c>
      <c r="O15" s="56">
        <v>0</v>
      </c>
      <c r="P15" s="59">
        <v>42008</v>
      </c>
      <c r="Q15" s="32">
        <v>64.2</v>
      </c>
      <c r="R15" s="59">
        <v>42008</v>
      </c>
      <c r="S15" s="19">
        <v>29.6</v>
      </c>
      <c r="T15" s="59">
        <v>41278</v>
      </c>
      <c r="U15" s="19">
        <v>0</v>
      </c>
    </row>
    <row r="16" spans="1:21" x14ac:dyDescent="0.75">
      <c r="A16" s="59">
        <f t="shared" si="0"/>
        <v>41279</v>
      </c>
      <c r="B16" s="19">
        <f t="shared" si="1"/>
        <v>4.4000000000000004</v>
      </c>
      <c r="C16" s="41">
        <f t="shared" ca="1" si="4"/>
        <v>0.44000000000000006</v>
      </c>
      <c r="D16" s="41">
        <f ca="1">IF(Energy!$N$3, C16, IF(C16 &gt; 0, MAX(Energy!W16- Energy!N16, 0) / (Energy!I16 + Energy!M16) *C16, 0))</f>
        <v>0.44000000000000006</v>
      </c>
      <c r="E16" s="41" t="b">
        <f ca="1">IF(Main!$C$25="Solar", IF(Energy!W16-Energy!N16&gt;=0, TRUE, FALSE), TRUE)</f>
        <v>1</v>
      </c>
      <c r="F16" s="41">
        <f t="shared" ca="1" si="2"/>
        <v>0.24449812496660087</v>
      </c>
      <c r="G16" s="6">
        <f>IF(A16&gt;=$B$7,IF(E16,IF(H15-$B$6/1000&gt;0,IF($B$6/1000&gt;$B$9*24*60*60,$B$9*24*60*60,$B$6/1000),H15),($B$6/1000)*(-Energy!W16+Energy!N16)/Energy!N16),0)</f>
        <v>0</v>
      </c>
      <c r="H16" s="6">
        <f t="shared" ca="1" si="5"/>
        <v>0.44000000000000006</v>
      </c>
      <c r="I16" t="str">
        <f t="shared" si="3"/>
        <v>Yes</v>
      </c>
      <c r="N16" s="57">
        <v>41644</v>
      </c>
      <c r="O16" s="56">
        <v>0</v>
      </c>
      <c r="P16" s="59">
        <v>42009</v>
      </c>
      <c r="Q16" s="32">
        <v>32.200000000000003</v>
      </c>
      <c r="R16" s="59">
        <v>42009</v>
      </c>
      <c r="S16" s="19">
        <v>6</v>
      </c>
      <c r="T16" s="59">
        <v>41279</v>
      </c>
      <c r="U16" s="19">
        <v>4.4000000000000004</v>
      </c>
    </row>
    <row r="17" spans="1:21" x14ac:dyDescent="0.75">
      <c r="A17" s="59">
        <f t="shared" si="0"/>
        <v>41280</v>
      </c>
      <c r="B17" s="19">
        <f t="shared" si="1"/>
        <v>5.6</v>
      </c>
      <c r="C17" s="41">
        <f t="shared" ca="1" si="4"/>
        <v>0.56000000000000005</v>
      </c>
      <c r="D17" s="41">
        <f ca="1">IF(Energy!$N$3, C17, IF(C17 &gt; 0, MAX(Energy!W17- Energy!N17, 0) / (Energy!I17 + Energy!M17) *C17, 0))</f>
        <v>0.55999999999999994</v>
      </c>
      <c r="E17" s="41" t="b">
        <f ca="1">IF(Main!$C$25="Solar", IF(Energy!W17-Energy!N17&gt;=0, TRUE, FALSE), TRUE)</f>
        <v>1</v>
      </c>
      <c r="F17" s="41">
        <f t="shared" ca="1" si="2"/>
        <v>0.31117943177567375</v>
      </c>
      <c r="G17" s="6">
        <f>IF(A17&gt;=$B$7,IF(E17,IF(H16-$B$6/1000&gt;0,IF($B$6/1000&gt;$B$9*24*60*60,$B$9*24*60*60,$B$6/1000),H16),($B$6/1000)*(-Energy!W17+Energy!N17)/Energy!N17),0)</f>
        <v>0</v>
      </c>
      <c r="H17" s="6">
        <f t="shared" ca="1" si="5"/>
        <v>1</v>
      </c>
      <c r="I17" t="str">
        <f t="shared" si="3"/>
        <v>Yes</v>
      </c>
      <c r="N17" s="57">
        <v>41645</v>
      </c>
      <c r="O17" s="56">
        <v>5</v>
      </c>
      <c r="P17" s="59">
        <v>42010</v>
      </c>
      <c r="Q17" s="32">
        <v>2.8</v>
      </c>
      <c r="R17" s="59">
        <v>42010</v>
      </c>
      <c r="S17" s="19">
        <v>0</v>
      </c>
      <c r="T17" s="59">
        <v>41280</v>
      </c>
      <c r="U17" s="19">
        <v>5.6</v>
      </c>
    </row>
    <row r="18" spans="1:21" x14ac:dyDescent="0.75">
      <c r="A18" s="59">
        <f t="shared" si="0"/>
        <v>41281</v>
      </c>
      <c r="B18" s="19">
        <f t="shared" si="1"/>
        <v>5</v>
      </c>
      <c r="C18" s="41">
        <f t="shared" ca="1" si="4"/>
        <v>0.5</v>
      </c>
      <c r="D18" s="41">
        <f ca="1">IF(Energy!$N$3, C18, IF(C18 &gt; 0, MAX(Energy!W18- Energy!N18, 0) / (Energy!I18 + Energy!M18) *C18, 0))</f>
        <v>0.50000000000000011</v>
      </c>
      <c r="E18" s="41" t="b">
        <f ca="1">IF(Main!$C$25="Solar", IF(Energy!W18-Energy!N18&gt;=0, TRUE, FALSE), TRUE)</f>
        <v>1</v>
      </c>
      <c r="F18" s="41">
        <f t="shared" ca="1" si="2"/>
        <v>0.27783877837113741</v>
      </c>
      <c r="G18" s="6">
        <f>IF(A18&gt;=$B$7,IF(E18,IF(H17-$B$6/1000&gt;0,IF($B$6/1000&gt;$B$9*24*60*60,$B$9*24*60*60,$B$6/1000),H17),($B$6/1000)*(-Energy!W18+Energy!N18)/Energy!N18),0)</f>
        <v>0</v>
      </c>
      <c r="H18" s="6">
        <f t="shared" ca="1" si="5"/>
        <v>1.5</v>
      </c>
      <c r="I18" t="str">
        <f t="shared" si="3"/>
        <v>Yes</v>
      </c>
      <c r="N18" s="57">
        <v>41646</v>
      </c>
      <c r="O18" s="56">
        <v>20.399999999999999</v>
      </c>
      <c r="P18" s="59">
        <v>42011</v>
      </c>
      <c r="Q18" s="32">
        <v>0</v>
      </c>
      <c r="R18" s="59">
        <v>42011</v>
      </c>
      <c r="S18" s="19">
        <v>0</v>
      </c>
      <c r="T18" s="59">
        <v>41281</v>
      </c>
      <c r="U18" s="19">
        <v>5</v>
      </c>
    </row>
    <row r="19" spans="1:21" x14ac:dyDescent="0.75">
      <c r="A19" s="59">
        <f t="shared" si="0"/>
        <v>41282</v>
      </c>
      <c r="B19" s="19">
        <f t="shared" si="1"/>
        <v>2.6</v>
      </c>
      <c r="C19" s="41">
        <f t="shared" ca="1" si="4"/>
        <v>0.26</v>
      </c>
      <c r="D19" s="41">
        <f ca="1">IF(Energy!$N$3, C19, IF(C19 &gt; 0, MAX(Energy!W19- Energy!N19, 0) / (Energy!I19 + Energy!M19) *C19, 0))</f>
        <v>0.25999999999999995</v>
      </c>
      <c r="E19" s="41" t="b">
        <f ca="1">IF(Main!$C$25="Solar", IF(Energy!W19-Energy!N19&gt;=0, TRUE, FALSE), TRUE)</f>
        <v>1</v>
      </c>
      <c r="F19" s="41">
        <f t="shared" ca="1" si="2"/>
        <v>0.14447616475299138</v>
      </c>
      <c r="G19" s="6">
        <f>IF(A19&gt;=$B$7,IF(E19,IF(H18-$B$6/1000&gt;0,IF($B$6/1000&gt;$B$9*24*60*60,$B$9*24*60*60,$B$6/1000),H18),($B$6/1000)*(-Energy!W19+Energy!N19)/Energy!N19),0)</f>
        <v>0</v>
      </c>
      <c r="H19" s="6">
        <f t="shared" ca="1" si="5"/>
        <v>1.76</v>
      </c>
      <c r="I19" t="str">
        <f t="shared" si="3"/>
        <v>Yes</v>
      </c>
      <c r="N19" s="57">
        <v>41647</v>
      </c>
      <c r="O19" s="56">
        <v>24.8</v>
      </c>
      <c r="P19" s="59">
        <v>42012</v>
      </c>
      <c r="Q19" s="32">
        <v>0</v>
      </c>
      <c r="R19" s="59">
        <v>42012</v>
      </c>
      <c r="S19" s="19">
        <v>0</v>
      </c>
      <c r="T19" s="59">
        <v>41282</v>
      </c>
      <c r="U19" s="19">
        <v>2.6</v>
      </c>
    </row>
    <row r="20" spans="1:21" x14ac:dyDescent="0.75">
      <c r="A20" s="59">
        <f t="shared" si="0"/>
        <v>41283</v>
      </c>
      <c r="B20" s="19">
        <f t="shared" si="1"/>
        <v>0.2</v>
      </c>
      <c r="C20" s="41">
        <f t="shared" ca="1" si="4"/>
        <v>0.02</v>
      </c>
      <c r="D20" s="41">
        <f ca="1">IF(Energy!$N$3, C20, IF(C20 &gt; 0, MAX(Energy!W20- Energy!N20, 0) / (Energy!I20 + Energy!M20) *C20, 0))</f>
        <v>2.0000000000000014E-2</v>
      </c>
      <c r="E20" s="41" t="b">
        <f ca="1">IF(Main!$C$25="Solar", IF(Energy!W20-Energy!N20&gt;=0, TRUE, FALSE), TRUE)</f>
        <v>1</v>
      </c>
      <c r="F20" s="41">
        <f t="shared" ca="1" si="2"/>
        <v>1.11135511348455E-2</v>
      </c>
      <c r="G20" s="6">
        <f>IF(A20&gt;=$B$7,IF(E20,IF(H19-$B$6/1000&gt;0,IF($B$6/1000&gt;$B$9*24*60*60,$B$9*24*60*60,$B$6/1000),H19),($B$6/1000)*(-Energy!W20+Energy!N20)/Energy!N20),0)</f>
        <v>0</v>
      </c>
      <c r="H20" s="6">
        <f t="shared" ca="1" si="5"/>
        <v>1.78</v>
      </c>
      <c r="I20" t="str">
        <f t="shared" si="3"/>
        <v>Yes</v>
      </c>
      <c r="N20" s="57">
        <v>41648</v>
      </c>
      <c r="O20" s="56">
        <v>34</v>
      </c>
      <c r="P20" s="59">
        <v>42013</v>
      </c>
      <c r="Q20" s="32">
        <v>0.8</v>
      </c>
      <c r="R20" s="59">
        <v>42013</v>
      </c>
      <c r="S20" s="19">
        <v>1</v>
      </c>
      <c r="T20" s="59">
        <v>41283</v>
      </c>
      <c r="U20" s="19">
        <v>0.2</v>
      </c>
    </row>
    <row r="21" spans="1:21" x14ac:dyDescent="0.75">
      <c r="A21" s="59">
        <f t="shared" si="0"/>
        <v>41284</v>
      </c>
      <c r="B21" s="19">
        <f t="shared" si="1"/>
        <v>0</v>
      </c>
      <c r="C21" s="41">
        <f t="shared" ca="1" si="4"/>
        <v>0</v>
      </c>
      <c r="D21" s="41">
        <f ca="1">IF(Energy!$N$3, C21, IF(C21 &gt; 0, MAX(Energy!W21- Energy!N21, 0) / (Energy!I21 + Energy!M21) *C21, 0))</f>
        <v>0</v>
      </c>
      <c r="E21" s="41" t="b">
        <f ca="1">IF(Main!$C$25="Solar", IF(Energy!W21-Energy!N21&gt;=0, TRUE, FALSE), TRUE)</f>
        <v>1</v>
      </c>
      <c r="F21" s="41">
        <f t="shared" ca="1" si="2"/>
        <v>0</v>
      </c>
      <c r="G21" s="6">
        <f>IF(A21&gt;=$B$7,IF(E21,IF(H20-$B$6/1000&gt;0,IF($B$6/1000&gt;$B$9*24*60*60,$B$9*24*60*60,$B$6/1000),H20),($B$6/1000)*(-Energy!W21+Energy!N21)/Energy!N21),0)</f>
        <v>0</v>
      </c>
      <c r="H21" s="6">
        <f t="shared" ca="1" si="5"/>
        <v>1.78</v>
      </c>
      <c r="I21" t="str">
        <f t="shared" si="3"/>
        <v>Yes</v>
      </c>
      <c r="N21" s="57">
        <v>41649</v>
      </c>
      <c r="O21" s="56">
        <v>44.6</v>
      </c>
      <c r="P21" s="59">
        <v>42014</v>
      </c>
      <c r="Q21" s="32">
        <v>0</v>
      </c>
      <c r="R21" s="59">
        <v>42014</v>
      </c>
      <c r="S21" s="19">
        <v>0.6</v>
      </c>
      <c r="T21" s="59">
        <v>41284</v>
      </c>
      <c r="U21" s="19">
        <v>0</v>
      </c>
    </row>
    <row r="22" spans="1:21" x14ac:dyDescent="0.75">
      <c r="A22" s="59">
        <f t="shared" si="0"/>
        <v>41285</v>
      </c>
      <c r="B22" s="19">
        <f t="shared" si="1"/>
        <v>0</v>
      </c>
      <c r="C22" s="41">
        <f t="shared" ca="1" si="4"/>
        <v>0</v>
      </c>
      <c r="D22" s="41">
        <f ca="1">IF(Energy!$N$3, C22, IF(C22 &gt; 0, MAX(Energy!W22- Energy!N22, 0) / (Energy!I22 + Energy!M22) *C22, 0))</f>
        <v>0</v>
      </c>
      <c r="E22" s="41" t="b">
        <f ca="1">IF(Main!$C$25="Solar", IF(Energy!W22-Energy!N22&gt;=0, TRUE, FALSE), TRUE)</f>
        <v>1</v>
      </c>
      <c r="F22" s="41">
        <f t="shared" ca="1" si="2"/>
        <v>0</v>
      </c>
      <c r="G22" s="6">
        <f>IF(A22&gt;=$B$7,IF(E22,IF(H21-$B$6/1000&gt;0,IF($B$6/1000&gt;$B$9*24*60*60,$B$9*24*60*60,$B$6/1000),H21),($B$6/1000)*(-Energy!W22+Energy!N22)/Energy!N22),0)</f>
        <v>0</v>
      </c>
      <c r="H22" s="6">
        <f t="shared" ca="1" si="5"/>
        <v>1.78</v>
      </c>
      <c r="I22" t="str">
        <f t="shared" si="3"/>
        <v>Yes</v>
      </c>
      <c r="N22" s="57">
        <v>41650</v>
      </c>
      <c r="O22" s="56">
        <v>14.4</v>
      </c>
      <c r="P22" s="59">
        <v>42015</v>
      </c>
      <c r="Q22" s="32">
        <v>0</v>
      </c>
      <c r="R22" s="59">
        <v>42015</v>
      </c>
      <c r="S22" s="19">
        <v>1.6</v>
      </c>
      <c r="T22" s="59">
        <v>41285</v>
      </c>
      <c r="U22" s="19">
        <v>0</v>
      </c>
    </row>
    <row r="23" spans="1:21" x14ac:dyDescent="0.75">
      <c r="A23" s="59">
        <f t="shared" si="0"/>
        <v>41286</v>
      </c>
      <c r="B23" s="19">
        <f t="shared" si="1"/>
        <v>0</v>
      </c>
      <c r="C23" s="41">
        <f t="shared" ca="1" si="4"/>
        <v>0</v>
      </c>
      <c r="D23" s="41">
        <f ca="1">IF(Energy!$N$3, C23, IF(C23 &gt; 0, MAX(Energy!W23- Energy!N23, 0) / (Energy!I23 + Energy!M23) *C23, 0))</f>
        <v>0</v>
      </c>
      <c r="E23" s="41" t="b">
        <f ca="1">IF(Main!$C$25="Solar", IF(Energy!W23-Energy!N23&gt;=0, TRUE, FALSE), TRUE)</f>
        <v>1</v>
      </c>
      <c r="F23" s="41">
        <f t="shared" ca="1" si="2"/>
        <v>0</v>
      </c>
      <c r="G23" s="6">
        <f>IF(A23&gt;=$B$7,IF(E23,IF(H22-$B$6/1000&gt;0,IF($B$6/1000&gt;$B$9*24*60*60,$B$9*24*60*60,$B$6/1000),H22),($B$6/1000)*(-Energy!W23+Energy!N23)/Energy!N23),0)</f>
        <v>0</v>
      </c>
      <c r="H23" s="6">
        <f t="shared" ca="1" si="5"/>
        <v>1.78</v>
      </c>
      <c r="I23" t="str">
        <f t="shared" si="3"/>
        <v>Yes</v>
      </c>
      <c r="N23" s="57">
        <v>41651</v>
      </c>
      <c r="O23" s="56">
        <v>50.2</v>
      </c>
      <c r="P23" s="59">
        <v>42016</v>
      </c>
      <c r="Q23" s="32">
        <v>0</v>
      </c>
      <c r="R23" s="59">
        <v>42016</v>
      </c>
      <c r="S23" s="19">
        <v>0</v>
      </c>
      <c r="T23" s="59">
        <v>41286</v>
      </c>
      <c r="U23" s="19">
        <v>0</v>
      </c>
    </row>
    <row r="24" spans="1:21" x14ac:dyDescent="0.75">
      <c r="A24" s="59">
        <f t="shared" si="0"/>
        <v>41287</v>
      </c>
      <c r="B24" s="19">
        <f t="shared" si="1"/>
        <v>0</v>
      </c>
      <c r="C24" s="41">
        <f t="shared" ca="1" si="4"/>
        <v>0</v>
      </c>
      <c r="D24" s="41">
        <f ca="1">IF(Energy!$N$3, C24, IF(C24 &gt; 0, MAX(Energy!W24- Energy!N24, 0) / (Energy!I24 + Energy!M24) *C24, 0))</f>
        <v>0</v>
      </c>
      <c r="E24" s="41" t="b">
        <f ca="1">IF(Main!$C$25="Solar", IF(Energy!W24-Energy!N24&gt;=0, TRUE, FALSE), TRUE)</f>
        <v>1</v>
      </c>
      <c r="F24" s="41">
        <f t="shared" ca="1" si="2"/>
        <v>0</v>
      </c>
      <c r="G24" s="6">
        <f>IF(A24&gt;=$B$7,IF(E24,IF(H23-$B$6/1000&gt;0,IF($B$6/1000&gt;$B$9*24*60*60,$B$9*24*60*60,$B$6/1000),H23),($B$6/1000)*(-Energy!W24+Energy!N24)/Energy!N24),0)</f>
        <v>0</v>
      </c>
      <c r="H24" s="6">
        <f t="shared" ca="1" si="5"/>
        <v>1.78</v>
      </c>
      <c r="I24" t="str">
        <f t="shared" si="3"/>
        <v>Yes</v>
      </c>
      <c r="N24" s="57">
        <v>41652</v>
      </c>
      <c r="O24" s="56">
        <v>9.6</v>
      </c>
      <c r="P24" s="59">
        <v>42017</v>
      </c>
      <c r="Q24" s="32">
        <v>0</v>
      </c>
      <c r="R24" s="59">
        <v>42017</v>
      </c>
      <c r="S24" s="19">
        <v>0</v>
      </c>
      <c r="T24" s="59">
        <v>41287</v>
      </c>
      <c r="U24" s="19">
        <v>0</v>
      </c>
    </row>
    <row r="25" spans="1:21" x14ac:dyDescent="0.75">
      <c r="A25" s="59">
        <f t="shared" si="0"/>
        <v>41288</v>
      </c>
      <c r="B25" s="19">
        <f t="shared" si="1"/>
        <v>0</v>
      </c>
      <c r="C25" s="41">
        <f t="shared" ca="1" si="4"/>
        <v>0</v>
      </c>
      <c r="D25" s="41">
        <f ca="1">IF(Energy!$N$3, C25, IF(C25 &gt; 0, MAX(Energy!W25- Energy!N25, 0) / (Energy!I25 + Energy!M25) *C25, 0))</f>
        <v>0</v>
      </c>
      <c r="E25" s="41" t="b">
        <f ca="1">IF(Main!$C$25="Solar", IF(Energy!W25-Energy!N25&gt;=0, TRUE, FALSE), TRUE)</f>
        <v>1</v>
      </c>
      <c r="F25" s="41">
        <f t="shared" ca="1" si="2"/>
        <v>0</v>
      </c>
      <c r="G25" s="6">
        <f>IF(A25&gt;=$B$7,IF(E25,IF(H24-$B$6/1000&gt;0,IF($B$6/1000&gt;$B$9*24*60*60,$B$9*24*60*60,$B$6/1000),H24),($B$6/1000)*(-Energy!W25+Energy!N25)/Energy!N25),0)</f>
        <v>0</v>
      </c>
      <c r="H25" s="6">
        <f t="shared" ca="1" si="5"/>
        <v>1.78</v>
      </c>
      <c r="I25" t="str">
        <f t="shared" si="3"/>
        <v>Yes</v>
      </c>
      <c r="N25" s="57">
        <v>41653</v>
      </c>
      <c r="O25" s="56">
        <v>5.8</v>
      </c>
      <c r="P25" s="59">
        <v>42018</v>
      </c>
      <c r="Q25" s="32">
        <v>0.4</v>
      </c>
      <c r="R25" s="59">
        <v>42018</v>
      </c>
      <c r="S25" s="19">
        <v>0</v>
      </c>
      <c r="T25" s="59">
        <v>41288</v>
      </c>
      <c r="U25" s="19">
        <v>0</v>
      </c>
    </row>
    <row r="26" spans="1:21" x14ac:dyDescent="0.75">
      <c r="A26" s="59">
        <f t="shared" si="0"/>
        <v>41289</v>
      </c>
      <c r="B26" s="19">
        <f t="shared" si="1"/>
        <v>1</v>
      </c>
      <c r="C26" s="41">
        <f t="shared" ca="1" si="4"/>
        <v>0.1</v>
      </c>
      <c r="D26" s="41">
        <f ca="1">IF(Energy!$N$3, C26, IF(C26 &gt; 0, MAX(Energy!W26- Energy!N26, 0) / (Energy!I26 + Energy!M26) *C26, 0))</f>
        <v>9.9999999999999978E-2</v>
      </c>
      <c r="E26" s="41" t="b">
        <f ca="1">IF(Main!$C$25="Solar", IF(Energy!W26-Energy!N26&gt;=0, TRUE, FALSE), TRUE)</f>
        <v>1</v>
      </c>
      <c r="F26" s="41">
        <f t="shared" ca="1" si="2"/>
        <v>5.5567755674227455E-2</v>
      </c>
      <c r="G26" s="6">
        <f>IF(A26&gt;=$B$7,IF(E26,IF(H25-$B$6/1000&gt;0,IF($B$6/1000&gt;$B$9*24*60*60,$B$9*24*60*60,$B$6/1000),H25),($B$6/1000)*(-Energy!W26+Energy!N26)/Energy!N26),0)</f>
        <v>0</v>
      </c>
      <c r="H26" s="6">
        <f t="shared" ca="1" si="5"/>
        <v>1.88</v>
      </c>
      <c r="I26" t="str">
        <f t="shared" si="3"/>
        <v>Yes</v>
      </c>
      <c r="N26" s="57">
        <v>41654</v>
      </c>
      <c r="O26" s="56">
        <v>1.6</v>
      </c>
      <c r="P26" s="59">
        <v>42019</v>
      </c>
      <c r="Q26" s="32">
        <v>35.4</v>
      </c>
      <c r="R26" s="59">
        <v>42019</v>
      </c>
      <c r="S26" s="19">
        <v>12.4</v>
      </c>
      <c r="T26" s="59">
        <v>41289</v>
      </c>
      <c r="U26" s="19">
        <v>1</v>
      </c>
    </row>
    <row r="27" spans="1:21" x14ac:dyDescent="0.75">
      <c r="A27" s="59">
        <f t="shared" si="0"/>
        <v>41290</v>
      </c>
      <c r="B27" s="19">
        <f t="shared" si="1"/>
        <v>1.2</v>
      </c>
      <c r="C27" s="41">
        <f t="shared" ca="1" si="4"/>
        <v>0.12</v>
      </c>
      <c r="D27" s="41">
        <f ca="1">IF(Energy!$N$3, C27, IF(C27 &gt; 0, MAX(Energy!W27- Energy!N27, 0) / (Energy!I27 + Energy!M27) *C27, 0))</f>
        <v>0.12</v>
      </c>
      <c r="E27" s="41" t="b">
        <f ca="1">IF(Main!$C$25="Solar", IF(Energy!W27-Energy!N27&gt;=0, TRUE, FALSE), TRUE)</f>
        <v>1</v>
      </c>
      <c r="F27" s="41">
        <f t="shared" ca="1" si="2"/>
        <v>6.6681306809072957E-2</v>
      </c>
      <c r="G27" s="6">
        <f>IF(A27&gt;=$B$7,IF(E27,IF(H26-$B$6/1000&gt;0,IF($B$6/1000&gt;$B$9*24*60*60,$B$9*24*60*60,$B$6/1000),H26),($B$6/1000)*(-Energy!W27+Energy!N27)/Energy!N27),0)</f>
        <v>0</v>
      </c>
      <c r="H27" s="6">
        <f t="shared" ca="1" si="5"/>
        <v>2</v>
      </c>
      <c r="I27" t="str">
        <f t="shared" si="3"/>
        <v>Yes</v>
      </c>
      <c r="N27" s="57">
        <v>41655</v>
      </c>
      <c r="O27" s="56">
        <v>0.8</v>
      </c>
      <c r="P27" s="59">
        <v>42020</v>
      </c>
      <c r="Q27" s="32">
        <v>6</v>
      </c>
      <c r="R27" s="59">
        <v>42020</v>
      </c>
      <c r="S27" s="19">
        <v>1.6</v>
      </c>
      <c r="T27" s="59">
        <v>41290</v>
      </c>
      <c r="U27" s="19">
        <v>1.2</v>
      </c>
    </row>
    <row r="28" spans="1:21" x14ac:dyDescent="0.75">
      <c r="A28" s="59">
        <f t="shared" si="0"/>
        <v>41291</v>
      </c>
      <c r="B28" s="19">
        <f t="shared" si="1"/>
        <v>2.2000000000000002</v>
      </c>
      <c r="C28" s="41">
        <f t="shared" ca="1" si="4"/>
        <v>0.22000000000000003</v>
      </c>
      <c r="D28" s="41">
        <f ca="1">IF(Energy!$N$3, C28, IF(C28 &gt; 0, MAX(Energy!W28- Energy!N28, 0) / (Energy!I28 + Energy!M28) *C28, 0))</f>
        <v>0.22000000000000003</v>
      </c>
      <c r="E28" s="41" t="b">
        <f ca="1">IF(Main!$C$25="Solar", IF(Energy!W28-Energy!N28&gt;=0, TRUE, FALSE), TRUE)</f>
        <v>1</v>
      </c>
      <c r="F28" s="41">
        <f t="shared" ca="1" si="2"/>
        <v>0.12224906248330043</v>
      </c>
      <c r="G28" s="6">
        <f>IF(A28&gt;=$B$7,IF(E28,IF(H27-$B$6/1000&gt;0,IF($B$6/1000&gt;$B$9*24*60*60,$B$9*24*60*60,$B$6/1000),H27),($B$6/1000)*(-Energy!W28+Energy!N28)/Energy!N28),0)</f>
        <v>0</v>
      </c>
      <c r="H28" s="6">
        <f t="shared" ca="1" si="5"/>
        <v>2.2200000000000002</v>
      </c>
      <c r="I28" t="str">
        <f t="shared" si="3"/>
        <v>Yes</v>
      </c>
      <c r="N28" s="57">
        <v>41656</v>
      </c>
      <c r="O28" s="56">
        <v>0</v>
      </c>
      <c r="P28" s="59">
        <v>42021</v>
      </c>
      <c r="Q28" s="32">
        <v>20.399999999999999</v>
      </c>
      <c r="R28" s="59">
        <v>42021</v>
      </c>
      <c r="S28" s="19">
        <v>28.8</v>
      </c>
      <c r="T28" s="59">
        <v>41291</v>
      </c>
      <c r="U28" s="19">
        <v>2.2000000000000002</v>
      </c>
    </row>
    <row r="29" spans="1:21" x14ac:dyDescent="0.75">
      <c r="A29" s="59">
        <f t="shared" si="0"/>
        <v>41292</v>
      </c>
      <c r="B29" s="19">
        <f t="shared" si="1"/>
        <v>0</v>
      </c>
      <c r="C29" s="41">
        <f t="shared" ca="1" si="4"/>
        <v>0</v>
      </c>
      <c r="D29" s="41">
        <f ca="1">IF(Energy!$N$3, C29, IF(C29 &gt; 0, MAX(Energy!W29- Energy!N29, 0) / (Energy!I29 + Energy!M29) *C29, 0))</f>
        <v>0</v>
      </c>
      <c r="E29" s="41" t="b">
        <f ca="1">IF(Main!$C$25="Solar", IF(Energy!W29-Energy!N29&gt;=0, TRUE, FALSE), TRUE)</f>
        <v>1</v>
      </c>
      <c r="F29" s="41">
        <f t="shared" ca="1" si="2"/>
        <v>0</v>
      </c>
      <c r="G29" s="6">
        <f>IF(A29&gt;=$B$7,IF(E29,IF(H28-$B$6/1000&gt;0,IF($B$6/1000&gt;$B$9*24*60*60,$B$9*24*60*60,$B$6/1000),H28),($B$6/1000)*(-Energy!W29+Energy!N29)/Energy!N29),0)</f>
        <v>0</v>
      </c>
      <c r="H29" s="6">
        <f t="shared" ca="1" si="5"/>
        <v>2.2200000000000002</v>
      </c>
      <c r="I29" t="str">
        <f t="shared" si="3"/>
        <v>Yes</v>
      </c>
      <c r="N29" s="57">
        <v>41657</v>
      </c>
      <c r="O29" s="56">
        <v>2.6</v>
      </c>
      <c r="P29" s="59">
        <v>42022</v>
      </c>
      <c r="Q29" s="32">
        <v>16.600000000000001</v>
      </c>
      <c r="R29" s="59">
        <v>42022</v>
      </c>
      <c r="S29" s="19">
        <v>1</v>
      </c>
      <c r="T29" s="59">
        <v>41292</v>
      </c>
      <c r="U29" s="19">
        <v>0</v>
      </c>
    </row>
    <row r="30" spans="1:21" x14ac:dyDescent="0.75">
      <c r="A30" s="59">
        <f t="shared" si="0"/>
        <v>41293</v>
      </c>
      <c r="B30" s="19">
        <f t="shared" si="1"/>
        <v>0</v>
      </c>
      <c r="C30" s="41">
        <f t="shared" ca="1" si="4"/>
        <v>0</v>
      </c>
      <c r="D30" s="41">
        <f ca="1">IF(Energy!$N$3, C30, IF(C30 &gt; 0, MAX(Energy!W30- Energy!N30, 0) / (Energy!I30 + Energy!M30) *C30, 0))</f>
        <v>0</v>
      </c>
      <c r="E30" s="41" t="b">
        <f ca="1">IF(Main!$C$25="Solar", IF(Energy!W30-Energy!N30&gt;=0, TRUE, FALSE), TRUE)</f>
        <v>1</v>
      </c>
      <c r="F30" s="41">
        <f t="shared" ca="1" si="2"/>
        <v>0</v>
      </c>
      <c r="G30" s="6">
        <f>IF(A30&gt;=$B$7,IF(E30,IF(H29-$B$6/1000&gt;0,IF($B$6/1000&gt;$B$9*24*60*60,$B$9*24*60*60,$B$6/1000),H29),($B$6/1000)*(-Energy!W30+Energy!N30)/Energy!N30),0)</f>
        <v>0</v>
      </c>
      <c r="H30" s="6">
        <f t="shared" ca="1" si="5"/>
        <v>2.2200000000000002</v>
      </c>
      <c r="I30" t="str">
        <f t="shared" si="3"/>
        <v>Yes</v>
      </c>
      <c r="N30" s="57">
        <v>41658</v>
      </c>
      <c r="O30" s="56">
        <v>1</v>
      </c>
      <c r="P30" s="59">
        <v>42023</v>
      </c>
      <c r="Q30" s="32">
        <v>2.6</v>
      </c>
      <c r="R30" s="59">
        <v>42023</v>
      </c>
      <c r="S30" s="19">
        <v>0</v>
      </c>
      <c r="T30" s="59">
        <v>41293</v>
      </c>
      <c r="U30" s="19">
        <v>0</v>
      </c>
    </row>
    <row r="31" spans="1:21" x14ac:dyDescent="0.75">
      <c r="A31" s="59">
        <f t="shared" si="0"/>
        <v>41294</v>
      </c>
      <c r="B31" s="19">
        <f t="shared" si="1"/>
        <v>0</v>
      </c>
      <c r="C31" s="41">
        <f t="shared" ca="1" si="4"/>
        <v>0</v>
      </c>
      <c r="D31" s="41">
        <f ca="1">IF(Energy!$N$3, C31, IF(C31 &gt; 0, MAX(Energy!W31- Energy!N31, 0) / (Energy!I31 + Energy!M31) *C31, 0))</f>
        <v>0</v>
      </c>
      <c r="E31" s="41" t="b">
        <f ca="1">IF(Main!$C$25="Solar", IF(Energy!W31-Energy!N31&gt;=0, TRUE, FALSE), TRUE)</f>
        <v>1</v>
      </c>
      <c r="F31" s="41">
        <f t="shared" ca="1" si="2"/>
        <v>0</v>
      </c>
      <c r="G31" s="6">
        <f>IF(A31&gt;=$B$7,IF(E31,IF(H30-$B$6/1000&gt;0,IF($B$6/1000&gt;$B$9*24*60*60,$B$9*24*60*60,$B$6/1000),H30),($B$6/1000)*(-Energy!W31+Energy!N31)/Energy!N31),0)</f>
        <v>0</v>
      </c>
      <c r="H31" s="6">
        <f t="shared" ca="1" si="5"/>
        <v>2.2200000000000002</v>
      </c>
      <c r="I31" t="str">
        <f t="shared" si="3"/>
        <v>Yes</v>
      </c>
      <c r="N31" s="57">
        <v>41659</v>
      </c>
      <c r="O31" s="56">
        <v>0.6</v>
      </c>
      <c r="P31" s="59">
        <v>42024</v>
      </c>
      <c r="Q31" s="32">
        <v>0.4</v>
      </c>
      <c r="R31" s="59">
        <v>42024</v>
      </c>
      <c r="S31" s="19">
        <v>0</v>
      </c>
      <c r="T31" s="59">
        <v>41294</v>
      </c>
      <c r="U31" s="19">
        <v>0</v>
      </c>
    </row>
    <row r="32" spans="1:21" x14ac:dyDescent="0.75">
      <c r="A32" s="59">
        <f t="shared" si="0"/>
        <v>41295</v>
      </c>
      <c r="B32" s="19">
        <f t="shared" si="1"/>
        <v>0</v>
      </c>
      <c r="C32" s="41">
        <f t="shared" ca="1" si="4"/>
        <v>0</v>
      </c>
      <c r="D32" s="41">
        <f ca="1">IF(Energy!$N$3, C32, IF(C32 &gt; 0, MAX(Energy!W32- Energy!N32, 0) / (Energy!I32 + Energy!M32) *C32, 0))</f>
        <v>0</v>
      </c>
      <c r="E32" s="41" t="b">
        <f ca="1">IF(Main!$C$25="Solar", IF(Energy!W32-Energy!N32&gt;=0, TRUE, FALSE), TRUE)</f>
        <v>1</v>
      </c>
      <c r="F32" s="41">
        <f t="shared" ca="1" si="2"/>
        <v>0</v>
      </c>
      <c r="G32" s="6">
        <f>IF(A32&gt;=$B$7,IF(E32,IF(H31-$B$6/1000&gt;0,IF($B$6/1000&gt;$B$9*24*60*60,$B$9*24*60*60,$B$6/1000),H31),($B$6/1000)*(-Energy!W32+Energy!N32)/Energy!N32),0)</f>
        <v>0</v>
      </c>
      <c r="H32" s="6">
        <f t="shared" ca="1" si="5"/>
        <v>2.2200000000000002</v>
      </c>
      <c r="I32" t="str">
        <f t="shared" si="3"/>
        <v>Yes</v>
      </c>
      <c r="N32" s="57">
        <v>41660</v>
      </c>
      <c r="O32" s="56">
        <v>0.8</v>
      </c>
      <c r="P32" s="59">
        <v>42025</v>
      </c>
      <c r="Q32" s="32">
        <v>18.399999999999999</v>
      </c>
      <c r="R32" s="59">
        <v>42025</v>
      </c>
      <c r="S32" s="19">
        <v>7.2</v>
      </c>
      <c r="T32" s="59">
        <v>41295</v>
      </c>
      <c r="U32" s="19">
        <v>0</v>
      </c>
    </row>
    <row r="33" spans="1:21" x14ac:dyDescent="0.75">
      <c r="A33" s="59">
        <f t="shared" si="0"/>
        <v>41296</v>
      </c>
      <c r="B33" s="19">
        <f t="shared" si="1"/>
        <v>0.2</v>
      </c>
      <c r="C33" s="41">
        <f t="shared" ca="1" si="4"/>
        <v>0.02</v>
      </c>
      <c r="D33" s="41">
        <f ca="1">IF(Energy!$N$3, C33, IF(C33 &gt; 0, MAX(Energy!W33- Energy!N33, 0) / (Energy!I33 + Energy!M33) *C33, 0))</f>
        <v>2.0000000000000014E-2</v>
      </c>
      <c r="E33" s="41" t="b">
        <f ca="1">IF(Main!$C$25="Solar", IF(Energy!W33-Energy!N33&gt;=0, TRUE, FALSE), TRUE)</f>
        <v>1</v>
      </c>
      <c r="F33" s="41">
        <f t="shared" ca="1" si="2"/>
        <v>1.11135511348455E-2</v>
      </c>
      <c r="G33" s="6">
        <f>IF(A33&gt;=$B$7,IF(E33,IF(H32-$B$6/1000&gt;0,IF($B$6/1000&gt;$B$9*24*60*60,$B$9*24*60*60,$B$6/1000),H32),($B$6/1000)*(-Energy!W33+Energy!N33)/Energy!N33),0)</f>
        <v>0</v>
      </c>
      <c r="H33" s="6">
        <f t="shared" ca="1" si="5"/>
        <v>2.2400000000000002</v>
      </c>
      <c r="I33" t="str">
        <f t="shared" si="3"/>
        <v>Yes</v>
      </c>
      <c r="N33" s="57">
        <v>41661</v>
      </c>
      <c r="O33" s="56">
        <v>0.6</v>
      </c>
      <c r="P33" s="59">
        <v>42026</v>
      </c>
      <c r="Q33" s="32">
        <v>14</v>
      </c>
      <c r="R33" s="59">
        <v>42026</v>
      </c>
      <c r="S33" s="19">
        <v>5.2</v>
      </c>
      <c r="T33" s="59">
        <v>41296</v>
      </c>
      <c r="U33" s="19">
        <v>0.2</v>
      </c>
    </row>
    <row r="34" spans="1:21" x14ac:dyDescent="0.75">
      <c r="A34" s="59">
        <f t="shared" si="0"/>
        <v>41297</v>
      </c>
      <c r="B34" s="19">
        <f t="shared" si="1"/>
        <v>6.4</v>
      </c>
      <c r="C34" s="41">
        <f t="shared" ca="1" si="4"/>
        <v>0.64</v>
      </c>
      <c r="D34" s="41">
        <f ca="1">IF(Energy!$N$3, C34, IF(C34 &gt; 0, MAX(Energy!W34- Energy!N34, 0) / (Energy!I34 + Energy!M34) *C34, 0))</f>
        <v>0.64000000000000012</v>
      </c>
      <c r="E34" s="41" t="b">
        <f ca="1">IF(Main!$C$25="Solar", IF(Energy!W34-Energy!N34&gt;=0, TRUE, FALSE), TRUE)</f>
        <v>1</v>
      </c>
      <c r="F34" s="41">
        <f t="shared" ca="1" si="2"/>
        <v>0.35563363631505585</v>
      </c>
      <c r="G34" s="6">
        <f>IF(A34&gt;=$B$7,IF(E34,IF(H33-$B$6/1000&gt;0,IF($B$6/1000&gt;$B$9*24*60*60,$B$9*24*60*60,$B$6/1000),H33),($B$6/1000)*(-Energy!W34+Energy!N34)/Energy!N34),0)</f>
        <v>0</v>
      </c>
      <c r="H34" s="6">
        <f t="shared" ca="1" si="5"/>
        <v>2.8800000000000003</v>
      </c>
      <c r="I34" t="str">
        <f t="shared" si="3"/>
        <v>Yes</v>
      </c>
      <c r="N34" s="57">
        <v>41662</v>
      </c>
      <c r="O34" s="56">
        <v>0</v>
      </c>
      <c r="P34" s="59">
        <v>42027</v>
      </c>
      <c r="Q34" s="32">
        <v>90.8</v>
      </c>
      <c r="R34" s="59">
        <v>42027</v>
      </c>
      <c r="S34" s="19">
        <v>5.6</v>
      </c>
      <c r="T34" s="59">
        <v>41297</v>
      </c>
      <c r="U34" s="19">
        <v>6.4</v>
      </c>
    </row>
    <row r="35" spans="1:21" x14ac:dyDescent="0.75">
      <c r="A35" s="59">
        <f t="shared" si="0"/>
        <v>41298</v>
      </c>
      <c r="B35" s="19">
        <f t="shared" si="1"/>
        <v>2.2000000000000002</v>
      </c>
      <c r="C35" s="41">
        <f t="shared" ca="1" si="4"/>
        <v>0.22000000000000003</v>
      </c>
      <c r="D35" s="41">
        <f ca="1">IF(Energy!$N$3, C35, IF(C35 &gt; 0, MAX(Energy!W35- Energy!N35, 0) / (Energy!I35 + Energy!M35) *C35, 0))</f>
        <v>0.22000000000000003</v>
      </c>
      <c r="E35" s="41" t="b">
        <f ca="1">IF(Main!$C$25="Solar", IF(Energy!W35-Energy!N35&gt;=0, TRUE, FALSE), TRUE)</f>
        <v>1</v>
      </c>
      <c r="F35" s="41">
        <f t="shared" ca="1" si="2"/>
        <v>0.12224906248330043</v>
      </c>
      <c r="G35" s="6">
        <f>IF(A35&gt;=$B$7,IF(E35,IF(H34-$B$6/1000&gt;0,IF($B$6/1000&gt;$B$9*24*60*60,$B$9*24*60*60,$B$6/1000),H34),($B$6/1000)*(-Energy!W35+Energy!N35)/Energy!N35),0)</f>
        <v>0</v>
      </c>
      <c r="H35" s="6">
        <f t="shared" ca="1" si="5"/>
        <v>3.1000000000000005</v>
      </c>
      <c r="I35" t="str">
        <f t="shared" si="3"/>
        <v>Yes</v>
      </c>
      <c r="N35" s="57">
        <v>41663</v>
      </c>
      <c r="O35" s="56">
        <v>0</v>
      </c>
      <c r="P35" s="59">
        <v>42028</v>
      </c>
      <c r="Q35" s="32">
        <v>40</v>
      </c>
      <c r="R35" s="59">
        <v>42028</v>
      </c>
      <c r="S35" s="19">
        <v>6.6</v>
      </c>
      <c r="T35" s="59">
        <v>41298</v>
      </c>
      <c r="U35" s="19">
        <v>2.2000000000000002</v>
      </c>
    </row>
    <row r="36" spans="1:21" x14ac:dyDescent="0.75">
      <c r="A36" s="59">
        <f t="shared" si="0"/>
        <v>41299</v>
      </c>
      <c r="B36" s="19">
        <f t="shared" si="1"/>
        <v>0.2</v>
      </c>
      <c r="C36" s="41">
        <f t="shared" ca="1" si="4"/>
        <v>0.02</v>
      </c>
      <c r="D36" s="41">
        <f ca="1">IF(Energy!$N$3, C36, IF(C36 &gt; 0, MAX(Energy!W36- Energy!N36, 0) / (Energy!I36 + Energy!M36) *C36, 0))</f>
        <v>2.0000000000000014E-2</v>
      </c>
      <c r="E36" s="41" t="b">
        <f ca="1">IF(Main!$C$25="Solar", IF(Energy!W36-Energy!N36&gt;=0, TRUE, FALSE), TRUE)</f>
        <v>1</v>
      </c>
      <c r="F36" s="41">
        <f t="shared" ca="1" si="2"/>
        <v>1.11135511348455E-2</v>
      </c>
      <c r="G36" s="6">
        <f>IF(A36&gt;=$B$7,IF(E36,IF(H35-$B$6/1000&gt;0,IF($B$6/1000&gt;$B$9*24*60*60,$B$9*24*60*60,$B$6/1000),H35),($B$6/1000)*(-Energy!W36+Energy!N36)/Energy!N36),0)</f>
        <v>0</v>
      </c>
      <c r="H36" s="6">
        <f t="shared" ca="1" si="5"/>
        <v>3.1200000000000006</v>
      </c>
      <c r="I36" t="str">
        <f t="shared" si="3"/>
        <v>Yes</v>
      </c>
      <c r="N36" s="57">
        <v>41664</v>
      </c>
      <c r="O36" s="56">
        <v>0</v>
      </c>
      <c r="P36" s="59">
        <v>42029</v>
      </c>
      <c r="Q36" s="32">
        <v>1.8</v>
      </c>
      <c r="R36" s="59">
        <v>42029</v>
      </c>
      <c r="S36" s="19">
        <v>0</v>
      </c>
      <c r="T36" s="59">
        <v>41299</v>
      </c>
      <c r="U36" s="19">
        <v>0.2</v>
      </c>
    </row>
    <row r="37" spans="1:21" x14ac:dyDescent="0.75">
      <c r="A37" s="59">
        <f t="shared" si="0"/>
        <v>41300</v>
      </c>
      <c r="B37" s="19">
        <f t="shared" si="1"/>
        <v>1.6</v>
      </c>
      <c r="C37" s="41">
        <f t="shared" ca="1" si="4"/>
        <v>0.16</v>
      </c>
      <c r="D37" s="41">
        <f ca="1">IF(Energy!$N$3, C37, IF(C37 &gt; 0, MAX(Energy!W37- Energy!N37, 0) / (Energy!I37 + Energy!M37) *C37, 0))</f>
        <v>0.16000000000000003</v>
      </c>
      <c r="E37" s="41" t="b">
        <f ca="1">IF(Main!$C$25="Solar", IF(Energy!W37-Energy!N37&gt;=0, TRUE, FALSE), TRUE)</f>
        <v>1</v>
      </c>
      <c r="F37" s="41">
        <f t="shared" ca="1" si="2"/>
        <v>8.8908409078763961E-2</v>
      </c>
      <c r="G37" s="6">
        <f>IF(A37&gt;=$B$7,IF(E37,IF(H36-$B$6/1000&gt;0,IF($B$6/1000&gt;$B$9*24*60*60,$B$9*24*60*60,$B$6/1000),H36),($B$6/1000)*(-Energy!W37+Energy!N37)/Energy!N37),0)</f>
        <v>0</v>
      </c>
      <c r="H37" s="6">
        <f t="shared" ca="1" si="5"/>
        <v>3.2800000000000007</v>
      </c>
      <c r="I37" t="str">
        <f t="shared" si="3"/>
        <v>Yes</v>
      </c>
      <c r="N37" s="57">
        <v>41665</v>
      </c>
      <c r="O37" s="56">
        <v>0</v>
      </c>
      <c r="P37" s="59">
        <v>42030</v>
      </c>
      <c r="Q37" s="32">
        <v>2.8</v>
      </c>
      <c r="R37" s="59">
        <v>42030</v>
      </c>
      <c r="S37" s="19">
        <v>0</v>
      </c>
      <c r="T37" s="59">
        <v>41300</v>
      </c>
      <c r="U37" s="19">
        <v>1.6</v>
      </c>
    </row>
    <row r="38" spans="1:21" x14ac:dyDescent="0.75">
      <c r="A38" s="59">
        <f t="shared" si="0"/>
        <v>41301</v>
      </c>
      <c r="B38" s="19">
        <f t="shared" si="1"/>
        <v>4.5999999999999996</v>
      </c>
      <c r="C38" s="41">
        <f t="shared" ca="1" si="4"/>
        <v>0.45999999999999996</v>
      </c>
      <c r="D38" s="41">
        <f ca="1">IF(Energy!$N$3, C38, IF(C38 &gt; 0, MAX(Energy!W38- Energy!N38, 0) / (Energy!I38 + Energy!M38) *C38, 0))</f>
        <v>0.45999999999999996</v>
      </c>
      <c r="E38" s="41" t="b">
        <f ca="1">IF(Main!$C$25="Solar", IF(Energy!W38-Energy!N38&gt;=0, TRUE, FALSE), TRUE)</f>
        <v>1</v>
      </c>
      <c r="F38" s="41">
        <f t="shared" ca="1" si="2"/>
        <v>0.25561167610144631</v>
      </c>
      <c r="G38" s="6">
        <f>IF(A38&gt;=$B$7,IF(E38,IF(H37-$B$6/1000&gt;0,IF($B$6/1000&gt;$B$9*24*60*60,$B$9*24*60*60,$B$6/1000),H37),($B$6/1000)*(-Energy!W38+Energy!N38)/Energy!N38),0)</f>
        <v>0</v>
      </c>
      <c r="H38" s="6">
        <f t="shared" ca="1" si="5"/>
        <v>3.7400000000000007</v>
      </c>
      <c r="I38" t="str">
        <f t="shared" si="3"/>
        <v>Yes</v>
      </c>
      <c r="N38" s="57">
        <v>41666</v>
      </c>
      <c r="O38" s="56">
        <v>17.600000000000001</v>
      </c>
      <c r="P38" s="59">
        <v>42031</v>
      </c>
      <c r="Q38" s="32">
        <v>2.8</v>
      </c>
      <c r="R38" s="59">
        <v>42031</v>
      </c>
      <c r="S38" s="19">
        <v>0.6</v>
      </c>
      <c r="T38" s="59">
        <v>41301</v>
      </c>
      <c r="U38" s="19">
        <v>4.5999999999999996</v>
      </c>
    </row>
    <row r="39" spans="1:21" x14ac:dyDescent="0.75">
      <c r="A39" s="59">
        <f t="shared" si="0"/>
        <v>41302</v>
      </c>
      <c r="B39" s="19">
        <f t="shared" si="1"/>
        <v>10.4</v>
      </c>
      <c r="C39" s="41">
        <f t="shared" ca="1" si="4"/>
        <v>1.04</v>
      </c>
      <c r="D39" s="41">
        <f ca="1">IF(Energy!$N$3, C39, IF(C39 &gt; 0, MAX(Energy!W39- Energy!N39, 0) / (Energy!I39 + Energy!M39) *C39, 0))</f>
        <v>1.0399999999999998</v>
      </c>
      <c r="E39" s="41" t="b">
        <f ca="1">IF(Main!$C$25="Solar", IF(Energy!W39-Energy!N39&gt;=0, TRUE, FALSE), TRUE)</f>
        <v>1</v>
      </c>
      <c r="F39" s="41">
        <f t="shared" ca="1" si="2"/>
        <v>0.57790465901196553</v>
      </c>
      <c r="G39" s="6">
        <f>IF(A39&gt;=$B$7,IF(E39,IF(H38-$B$6/1000&gt;0,IF($B$6/1000&gt;$B$9*24*60*60,$B$9*24*60*60,$B$6/1000),H38),($B$6/1000)*(-Energy!W39+Energy!N39)/Energy!N39),0)</f>
        <v>0</v>
      </c>
      <c r="H39" s="6">
        <f t="shared" ca="1" si="5"/>
        <v>4.78</v>
      </c>
      <c r="I39" t="str">
        <f t="shared" si="3"/>
        <v>Yes</v>
      </c>
      <c r="N39" s="57">
        <v>41667</v>
      </c>
      <c r="O39" s="56">
        <v>0</v>
      </c>
      <c r="P39" s="59">
        <v>42032</v>
      </c>
      <c r="Q39" s="32">
        <v>0</v>
      </c>
      <c r="R39" s="59">
        <v>42032</v>
      </c>
      <c r="S39" s="19">
        <v>0</v>
      </c>
      <c r="T39" s="59">
        <v>41302</v>
      </c>
      <c r="U39" s="19">
        <v>10.4</v>
      </c>
    </row>
    <row r="40" spans="1:21" x14ac:dyDescent="0.75">
      <c r="A40" s="59">
        <f t="shared" si="0"/>
        <v>41303</v>
      </c>
      <c r="B40" s="19">
        <f t="shared" si="1"/>
        <v>10.8</v>
      </c>
      <c r="C40" s="41">
        <f t="shared" ca="1" si="4"/>
        <v>1.08</v>
      </c>
      <c r="D40" s="41">
        <f ca="1">IF(Energy!$N$3, C40, IF(C40 &gt; 0, MAX(Energy!W40- Energy!N40, 0) / (Energy!I40 + Energy!M40) *C40, 0))</f>
        <v>0.72579679716373824</v>
      </c>
      <c r="E40" s="41" t="b">
        <f ca="1">IF(Main!$C$25="Solar", IF(Energy!W40-Energy!N40&gt;=0, TRUE, FALSE), TRUE)</f>
        <v>1</v>
      </c>
      <c r="F40" s="41">
        <f t="shared" ca="1" si="2"/>
        <v>0.40330899093931438</v>
      </c>
      <c r="G40" s="6">
        <f>IF(A40&gt;=$B$7,IF(E40,IF(H39-$B$6/1000&gt;0,IF($B$6/1000&gt;$B$9*24*60*60,$B$9*24*60*60,$B$6/1000),H39),($B$6/1000)*(-Energy!W40+Energy!N40)/Energy!N40),0)</f>
        <v>0</v>
      </c>
      <c r="H40" s="6">
        <f t="shared" ca="1" si="5"/>
        <v>5.5057967971637387</v>
      </c>
      <c r="I40" t="str">
        <f t="shared" si="3"/>
        <v>Yes</v>
      </c>
      <c r="N40" s="57">
        <v>41668</v>
      </c>
      <c r="O40" s="56">
        <v>0</v>
      </c>
      <c r="P40" s="59">
        <v>42033</v>
      </c>
      <c r="Q40" s="32">
        <v>0</v>
      </c>
      <c r="R40" s="59">
        <v>42033</v>
      </c>
      <c r="S40" s="19">
        <v>0</v>
      </c>
      <c r="T40" s="59">
        <v>41303</v>
      </c>
      <c r="U40" s="19">
        <v>10.8</v>
      </c>
    </row>
    <row r="41" spans="1:21" x14ac:dyDescent="0.75">
      <c r="A41" s="59">
        <f t="shared" si="0"/>
        <v>41304</v>
      </c>
      <c r="B41" s="19">
        <f t="shared" si="1"/>
        <v>6.2</v>
      </c>
      <c r="C41" s="41">
        <f t="shared" ca="1" si="4"/>
        <v>0.62</v>
      </c>
      <c r="D41" s="41">
        <f ca="1">IF(Energy!$N$3, C41, IF(C41 &gt; 0, MAX(Energy!W41- Energy!N41, 0) / (Energy!I41 + Energy!M41) *C41, 0))</f>
        <v>0.54445999424480307</v>
      </c>
      <c r="E41" s="41" t="b">
        <f ca="1">IF(Main!$C$25="Solar", IF(Energy!W41-Energy!N41&gt;=0, TRUE, FALSE), TRUE)</f>
        <v>1</v>
      </c>
      <c r="F41" s="41">
        <f t="shared" ca="1" si="2"/>
        <v>0.30254419934586507</v>
      </c>
      <c r="G41" s="6">
        <f>IF(A41&gt;=$B$7,IF(E41,IF(H40-$B$6/1000&gt;0,IF($B$6/1000&gt;$B$9*24*60*60,$B$9*24*60*60,$B$6/1000),H40),($B$6/1000)*(-Energy!W41+Energy!N41)/Energy!N41),0)</f>
        <v>0</v>
      </c>
      <c r="H41" s="6">
        <f t="shared" ca="1" si="5"/>
        <v>6.0502567914085414</v>
      </c>
      <c r="I41" t="str">
        <f t="shared" si="3"/>
        <v>Yes</v>
      </c>
      <c r="N41" s="57">
        <v>41669</v>
      </c>
      <c r="O41" s="56">
        <v>0</v>
      </c>
      <c r="P41" s="59">
        <v>42034</v>
      </c>
      <c r="Q41" s="32">
        <v>0.6</v>
      </c>
      <c r="R41" s="59">
        <v>42034</v>
      </c>
      <c r="S41" s="19">
        <v>0</v>
      </c>
      <c r="T41" s="59">
        <v>41304</v>
      </c>
      <c r="U41" s="19">
        <v>6.2</v>
      </c>
    </row>
    <row r="42" spans="1:21" x14ac:dyDescent="0.75">
      <c r="A42" s="59">
        <f t="shared" si="0"/>
        <v>41305</v>
      </c>
      <c r="B42" s="19">
        <f t="shared" si="1"/>
        <v>1.4</v>
      </c>
      <c r="C42" s="41">
        <f t="shared" ca="1" si="4"/>
        <v>0.14000000000000001</v>
      </c>
      <c r="D42" s="41">
        <f ca="1">IF(Energy!$N$3, C42, IF(C42 &gt; 0, MAX(Energy!W42- Energy!N42, 0) / (Energy!I42 + Energy!M42) *C42, 0))</f>
        <v>0.13999999999999999</v>
      </c>
      <c r="E42" s="41" t="b">
        <f ca="1">IF(Main!$C$25="Solar", IF(Energy!W42-Energy!N42&gt;=0, TRUE, FALSE), TRUE)</f>
        <v>1</v>
      </c>
      <c r="F42" s="41">
        <f t="shared" ca="1" si="2"/>
        <v>7.7794857943918438E-2</v>
      </c>
      <c r="G42" s="6">
        <f>IF(A42&gt;=$B$7,IF(E42,IF(H41-$B$6/1000&gt;0,IF($B$6/1000&gt;$B$9*24*60*60,$B$9*24*60*60,$B$6/1000),H41),($B$6/1000)*(-Energy!W42+Energy!N42)/Energy!N42),0)</f>
        <v>0</v>
      </c>
      <c r="H42" s="6">
        <f t="shared" ca="1" si="5"/>
        <v>6.1902567914085411</v>
      </c>
      <c r="I42" t="str">
        <f t="shared" si="3"/>
        <v>Yes</v>
      </c>
      <c r="N42" s="57">
        <v>41670</v>
      </c>
      <c r="O42" s="56">
        <v>2.6</v>
      </c>
      <c r="P42" s="59">
        <v>42035</v>
      </c>
      <c r="Q42" s="32">
        <v>5.8</v>
      </c>
      <c r="R42" s="59">
        <v>42035</v>
      </c>
      <c r="S42" s="19">
        <v>1.2</v>
      </c>
      <c r="T42" s="59">
        <v>41305</v>
      </c>
      <c r="U42" s="19">
        <v>1.4</v>
      </c>
    </row>
    <row r="43" spans="1:21" x14ac:dyDescent="0.75">
      <c r="A43" s="59">
        <f t="shared" si="0"/>
        <v>41306</v>
      </c>
      <c r="B43" s="19">
        <f t="shared" si="1"/>
        <v>0</v>
      </c>
      <c r="C43" s="41">
        <f t="shared" ca="1" si="4"/>
        <v>0</v>
      </c>
      <c r="D43" s="41">
        <f ca="1">IF(Energy!$N$3, C43, IF(C43 &gt; 0, MAX(Energy!W43- Energy!N43, 0) / (Energy!I43 + Energy!M43) *C43, 0))</f>
        <v>0</v>
      </c>
      <c r="E43" s="41" t="b">
        <f ca="1">IF(Main!$C$25="Solar", IF(Energy!W43-Energy!N43&gt;=0, TRUE, FALSE), TRUE)</f>
        <v>1</v>
      </c>
      <c r="F43" s="41">
        <f t="shared" ca="1" si="2"/>
        <v>0</v>
      </c>
      <c r="G43" s="6">
        <f ca="1">IF(A43&gt;=$B$7,IF(E43,IF(H42-$B$6/1000&gt;0,IF($B$6/1000&gt;$B$9*24*60*60,$B$9*24*60*60,$B$6/1000),H42),($B$6/1000)*(-Energy!W43+Energy!N43)/Energy!N43),0)</f>
        <v>0.219</v>
      </c>
      <c r="H43" s="6">
        <f t="shared" ca="1" si="5"/>
        <v>5.9712567914085408</v>
      </c>
      <c r="I43" t="str">
        <f t="shared" ca="1" si="3"/>
        <v>Yes</v>
      </c>
      <c r="N43" s="57">
        <v>41671</v>
      </c>
      <c r="O43" s="56">
        <v>2.6</v>
      </c>
      <c r="P43" s="59">
        <v>42036</v>
      </c>
      <c r="Q43" s="32">
        <v>8</v>
      </c>
      <c r="R43" s="59">
        <v>42036</v>
      </c>
      <c r="S43" s="19">
        <v>1.8</v>
      </c>
      <c r="T43" s="59">
        <v>41306</v>
      </c>
      <c r="U43" s="19">
        <v>0</v>
      </c>
    </row>
    <row r="44" spans="1:21" x14ac:dyDescent="0.75">
      <c r="A44" s="59">
        <f t="shared" si="0"/>
        <v>41307</v>
      </c>
      <c r="B44" s="19">
        <f t="shared" si="1"/>
        <v>1</v>
      </c>
      <c r="C44" s="41">
        <f t="shared" ca="1" si="4"/>
        <v>0.1</v>
      </c>
      <c r="D44" s="41">
        <f ca="1">IF(Energy!$N$3, C44, IF(C44 &gt; 0, MAX(Energy!W44- Energy!N44, 0) / (Energy!I44 + Energy!M44) *C44, 0))</f>
        <v>9.9999999999999978E-2</v>
      </c>
      <c r="E44" s="41" t="b">
        <f ca="1">IF(Main!$C$25="Solar", IF(Energy!W44-Energy!N44&gt;=0, TRUE, FALSE), TRUE)</f>
        <v>1</v>
      </c>
      <c r="F44" s="41">
        <f t="shared" ca="1" si="2"/>
        <v>5.5567755674227455E-2</v>
      </c>
      <c r="G44" s="6">
        <f ca="1">IF(A44&gt;=$B$7,IF(E44,IF(H43-$B$6/1000&gt;0,IF($B$6/1000&gt;$B$9*24*60*60,$B$9*24*60*60,$B$6/1000),H43),($B$6/1000)*(-Energy!W44+Energy!N44)/Energy!N44),0)</f>
        <v>0.219</v>
      </c>
      <c r="H44" s="6">
        <f t="shared" ca="1" si="5"/>
        <v>5.8522567914085402</v>
      </c>
      <c r="I44" t="str">
        <f t="shared" ca="1" si="3"/>
        <v>Yes</v>
      </c>
      <c r="N44" s="57">
        <v>41672</v>
      </c>
      <c r="O44" s="56">
        <v>0</v>
      </c>
      <c r="P44" s="59">
        <v>42037</v>
      </c>
      <c r="Q44" s="32">
        <v>27</v>
      </c>
      <c r="R44" s="59">
        <v>42037</v>
      </c>
      <c r="S44" s="19">
        <v>4</v>
      </c>
      <c r="T44" s="59">
        <v>41307</v>
      </c>
      <c r="U44" s="19">
        <v>1</v>
      </c>
    </row>
    <row r="45" spans="1:21" x14ac:dyDescent="0.75">
      <c r="A45" s="59">
        <f t="shared" si="0"/>
        <v>41308</v>
      </c>
      <c r="B45" s="19">
        <f t="shared" si="1"/>
        <v>8</v>
      </c>
      <c r="C45" s="41">
        <f t="shared" ca="1" si="4"/>
        <v>0.8</v>
      </c>
      <c r="D45" s="41">
        <f ca="1">IF(Energy!$N$3, C45, IF(C45 &gt; 0, MAX(Energy!W45- Energy!N45, 0) / (Energy!I45 + Energy!M45) *C45, 0))</f>
        <v>0.8</v>
      </c>
      <c r="E45" s="41" t="b">
        <f ca="1">IF(Main!$C$25="Solar", IF(Energy!W45-Energy!N45&gt;=0, TRUE, FALSE), TRUE)</f>
        <v>1</v>
      </c>
      <c r="F45" s="41">
        <f t="shared" ca="1" si="2"/>
        <v>0.44454204539381975</v>
      </c>
      <c r="G45" s="6">
        <f ca="1">IF(A45&gt;=$B$7,IF(E45,IF(H44-$B$6/1000&gt;0,IF($B$6/1000&gt;$B$9*24*60*60,$B$9*24*60*60,$B$6/1000),H44),($B$6/1000)*(-Energy!W45+Energy!N45)/Energy!N45),0)</f>
        <v>0.219</v>
      </c>
      <c r="H45" s="6">
        <f t="shared" ca="1" si="5"/>
        <v>6.4332567914085397</v>
      </c>
      <c r="I45" t="str">
        <f t="shared" ca="1" si="3"/>
        <v>Yes</v>
      </c>
      <c r="N45" s="57">
        <v>41673</v>
      </c>
      <c r="O45" s="56">
        <v>0</v>
      </c>
      <c r="P45" s="59">
        <v>42038</v>
      </c>
      <c r="Q45" s="32">
        <v>0.6</v>
      </c>
      <c r="R45" s="59">
        <v>42038</v>
      </c>
      <c r="S45" s="19">
        <v>1.4</v>
      </c>
      <c r="T45" s="59">
        <v>41308</v>
      </c>
      <c r="U45" s="19">
        <v>8</v>
      </c>
    </row>
    <row r="46" spans="1:21" x14ac:dyDescent="0.75">
      <c r="A46" s="59">
        <f t="shared" si="0"/>
        <v>41309</v>
      </c>
      <c r="B46" s="19">
        <f t="shared" si="1"/>
        <v>1.6</v>
      </c>
      <c r="C46" s="41">
        <f t="shared" ca="1" si="4"/>
        <v>0.16</v>
      </c>
      <c r="D46" s="41">
        <f ca="1">IF(Energy!$N$3, C46, IF(C46 &gt; 0, MAX(Energy!W46- Energy!N46, 0) / (Energy!I46 + Energy!M46) *C46, 0))</f>
        <v>0.16000000000000003</v>
      </c>
      <c r="E46" s="41" t="b">
        <f ca="1">IF(Main!$C$25="Solar", IF(Energy!W46-Energy!N46&gt;=0, TRUE, FALSE), TRUE)</f>
        <v>1</v>
      </c>
      <c r="F46" s="41">
        <f t="shared" ca="1" si="2"/>
        <v>8.8908409078763961E-2</v>
      </c>
      <c r="G46" s="6">
        <f ca="1">IF(A46&gt;=$B$7,IF(E46,IF(H45-$B$6/1000&gt;0,IF($B$6/1000&gt;$B$9*24*60*60,$B$9*24*60*60,$B$6/1000),H45),($B$6/1000)*(-Energy!W46+Energy!N46)/Energy!N46),0)</f>
        <v>0.219</v>
      </c>
      <c r="H46" s="6">
        <f t="shared" ca="1" si="5"/>
        <v>6.3742567914085395</v>
      </c>
      <c r="I46" t="str">
        <f t="shared" ca="1" si="3"/>
        <v>Yes</v>
      </c>
      <c r="N46" s="57">
        <v>41674</v>
      </c>
      <c r="O46" s="56">
        <v>0</v>
      </c>
      <c r="P46" s="59">
        <v>42039</v>
      </c>
      <c r="Q46" s="32">
        <v>36</v>
      </c>
      <c r="R46" s="59">
        <v>42039</v>
      </c>
      <c r="S46" s="19">
        <v>17</v>
      </c>
      <c r="T46" s="59">
        <v>41309</v>
      </c>
      <c r="U46" s="19">
        <v>1.6</v>
      </c>
    </row>
    <row r="47" spans="1:21" x14ac:dyDescent="0.75">
      <c r="A47" s="59">
        <f t="shared" si="0"/>
        <v>41310</v>
      </c>
      <c r="B47" s="19">
        <f t="shared" si="1"/>
        <v>3.8</v>
      </c>
      <c r="C47" s="41">
        <f t="shared" ca="1" si="4"/>
        <v>0.38</v>
      </c>
      <c r="D47" s="41">
        <f ca="1">IF(Energy!$N$3, C47, IF(C47 &gt; 0, MAX(Energy!W47- Energy!N47, 0) / (Energy!I47 + Energy!M47) *C47, 0))</f>
        <v>0.38</v>
      </c>
      <c r="E47" s="41" t="b">
        <f ca="1">IF(Main!$C$25="Solar", IF(Energy!W47-Energy!N47&gt;=0, TRUE, FALSE), TRUE)</f>
        <v>1</v>
      </c>
      <c r="F47" s="41">
        <f t="shared" ca="1" si="2"/>
        <v>0.21115747156206438</v>
      </c>
      <c r="G47" s="6">
        <f ca="1">IF(A47&gt;=$B$7,IF(E47,IF(H46-$B$6/1000&gt;0,IF($B$6/1000&gt;$B$9*24*60*60,$B$9*24*60*60,$B$6/1000),H46),($B$6/1000)*(-Energy!W47+Energy!N47)/Energy!N47),0)</f>
        <v>0.219</v>
      </c>
      <c r="H47" s="6">
        <f t="shared" ca="1" si="5"/>
        <v>6.5352567914085391</v>
      </c>
      <c r="I47" t="str">
        <f ca="1">IF(A47&gt;=$B$7,IF(G47&gt;=$B$6/1000, IF(E47=TRUE,"Yes","No"),"No"), "Yes")</f>
        <v>Yes</v>
      </c>
      <c r="N47" s="57">
        <v>41675</v>
      </c>
      <c r="O47" s="56">
        <v>0</v>
      </c>
      <c r="P47" s="59">
        <v>42040</v>
      </c>
      <c r="Q47" s="32">
        <v>27.2</v>
      </c>
      <c r="R47" s="59">
        <v>42040</v>
      </c>
      <c r="S47" s="19">
        <v>39.6</v>
      </c>
      <c r="T47" s="59">
        <v>41310</v>
      </c>
      <c r="U47" s="19">
        <v>3.8</v>
      </c>
    </row>
    <row r="48" spans="1:21" x14ac:dyDescent="0.75">
      <c r="A48" s="59">
        <f t="shared" si="0"/>
        <v>41311</v>
      </c>
      <c r="B48" s="19">
        <f t="shared" si="1"/>
        <v>0.2</v>
      </c>
      <c r="C48" s="41">
        <f t="shared" ca="1" si="4"/>
        <v>0.02</v>
      </c>
      <c r="D48" s="41">
        <f ca="1">IF(Energy!$N$3, C48, IF(C48 &gt; 0, MAX(Energy!W48- Energy!N48, 0) / (Energy!I48 + Energy!M48) *C48, 0))</f>
        <v>2.0000000000000014E-2</v>
      </c>
      <c r="E48" s="41" t="b">
        <f ca="1">IF(Main!$C$25="Solar", IF(Energy!W48-Energy!N48&gt;=0, TRUE, FALSE), TRUE)</f>
        <v>1</v>
      </c>
      <c r="F48" s="41">
        <f t="shared" ca="1" si="2"/>
        <v>1.11135511348455E-2</v>
      </c>
      <c r="G48" s="6">
        <f ca="1">IF(A48&gt;=$B$7,IF(E48,IF(H47-$B$6/1000&gt;0,IF($B$6/1000&gt;$B$9*24*60*60,$B$9*24*60*60,$B$6/1000),H47),($B$6/1000)*(-Energy!W48+Energy!N48)/Energy!N48),0)</f>
        <v>0.219</v>
      </c>
      <c r="H48" s="6">
        <f t="shared" ca="1" si="5"/>
        <v>6.3362567914085384</v>
      </c>
      <c r="I48" t="str">
        <f t="shared" ca="1" si="3"/>
        <v>Yes</v>
      </c>
      <c r="N48" s="57">
        <v>41676</v>
      </c>
      <c r="O48" s="56">
        <v>0</v>
      </c>
      <c r="P48" s="59">
        <v>42041</v>
      </c>
      <c r="Q48" s="32">
        <v>28.2</v>
      </c>
      <c r="R48" s="59">
        <v>42041</v>
      </c>
      <c r="S48" s="19">
        <v>9.8000000000000007</v>
      </c>
      <c r="T48" s="59">
        <v>41311</v>
      </c>
      <c r="U48" s="19">
        <v>0.2</v>
      </c>
    </row>
    <row r="49" spans="1:21" x14ac:dyDescent="0.75">
      <c r="A49" s="59">
        <f t="shared" si="0"/>
        <v>41312</v>
      </c>
      <c r="B49" s="19">
        <f t="shared" si="1"/>
        <v>1.6</v>
      </c>
      <c r="C49" s="41">
        <f t="shared" ca="1" si="4"/>
        <v>0.16</v>
      </c>
      <c r="D49" s="41">
        <f ca="1">IF(Energy!$N$3, C49, IF(C49 &gt; 0, MAX(Energy!W49- Energy!N49, 0) / (Energy!I49 + Energy!M49) *C49, 0))</f>
        <v>0.16000000000000003</v>
      </c>
      <c r="E49" s="41" t="b">
        <f ca="1">IF(Main!$C$25="Solar", IF(Energy!W49-Energy!N49&gt;=0, TRUE, FALSE), TRUE)</f>
        <v>1</v>
      </c>
      <c r="F49" s="41">
        <f t="shared" ca="1" si="2"/>
        <v>8.8908409078763961E-2</v>
      </c>
      <c r="G49" s="6">
        <f ca="1">IF(A49&gt;=$B$7,IF(E49,IF(H48-$B$6/1000&gt;0,IF($B$6/1000&gt;$B$9*24*60*60,$B$9*24*60*60,$B$6/1000),H48),($B$6/1000)*(-Energy!W49+Energy!N49)/Energy!N49),0)</f>
        <v>0.219</v>
      </c>
      <c r="H49" s="6">
        <f t="shared" ca="1" si="5"/>
        <v>6.2772567914085382</v>
      </c>
      <c r="I49" t="str">
        <f t="shared" ca="1" si="3"/>
        <v>Yes</v>
      </c>
      <c r="N49" s="57">
        <v>41677</v>
      </c>
      <c r="O49" s="56">
        <v>0</v>
      </c>
      <c r="P49" s="59">
        <v>42042</v>
      </c>
      <c r="Q49" s="32">
        <v>39.200000000000003</v>
      </c>
      <c r="R49" s="59">
        <v>42042</v>
      </c>
      <c r="S49" s="19">
        <v>11.4</v>
      </c>
      <c r="T49" s="59">
        <v>41312</v>
      </c>
      <c r="U49" s="19">
        <v>1.6</v>
      </c>
    </row>
    <row r="50" spans="1:21" x14ac:dyDescent="0.75">
      <c r="A50" s="59">
        <f t="shared" si="0"/>
        <v>41313</v>
      </c>
      <c r="B50" s="19">
        <f t="shared" si="1"/>
        <v>0.2</v>
      </c>
      <c r="C50" s="41">
        <f t="shared" ca="1" si="4"/>
        <v>0.02</v>
      </c>
      <c r="D50" s="41">
        <f ca="1">IF(Energy!$N$3, C50, IF(C50 &gt; 0, MAX(Energy!W50- Energy!N50, 0) / (Energy!I50 + Energy!M50) *C50, 0))</f>
        <v>2.0000000000000014E-2</v>
      </c>
      <c r="E50" s="41" t="b">
        <f ca="1">IF(Main!$C$25="Solar", IF(Energy!W50-Energy!N50&gt;=0, TRUE, FALSE), TRUE)</f>
        <v>1</v>
      </c>
      <c r="F50" s="41">
        <f t="shared" ca="1" si="2"/>
        <v>1.11135511348455E-2</v>
      </c>
      <c r="G50" s="6">
        <f ca="1">IF(A50&gt;=$B$7,IF(E50,IF(H49-$B$6/1000&gt;0,IF($B$6/1000&gt;$B$9*24*60*60,$B$9*24*60*60,$B$6/1000),H49),($B$6/1000)*(-Energy!W50+Energy!N50)/Energy!N50),0)</f>
        <v>0.219</v>
      </c>
      <c r="H50" s="6">
        <f t="shared" ca="1" si="5"/>
        <v>6.0782567914085375</v>
      </c>
      <c r="I50" t="str">
        <f t="shared" ca="1" si="3"/>
        <v>Yes</v>
      </c>
      <c r="N50" s="57">
        <v>41678</v>
      </c>
      <c r="O50" s="56">
        <v>0</v>
      </c>
      <c r="P50" s="59">
        <v>42043</v>
      </c>
      <c r="Q50" s="32">
        <v>6.6</v>
      </c>
      <c r="R50" s="59">
        <v>42043</v>
      </c>
      <c r="S50" s="19">
        <v>13.2</v>
      </c>
      <c r="T50" s="59">
        <v>41313</v>
      </c>
      <c r="U50" s="19">
        <v>0.2</v>
      </c>
    </row>
    <row r="51" spans="1:21" x14ac:dyDescent="0.75">
      <c r="A51" s="59">
        <f t="shared" si="0"/>
        <v>41314</v>
      </c>
      <c r="B51" s="19">
        <f t="shared" si="1"/>
        <v>0</v>
      </c>
      <c r="C51" s="41">
        <f t="shared" ca="1" si="4"/>
        <v>0</v>
      </c>
      <c r="D51" s="41">
        <f ca="1">IF(Energy!$N$3, C51, IF(C51 &gt; 0, MAX(Energy!W51- Energy!N51, 0) / (Energy!I51 + Energy!M51) *C51, 0))</f>
        <v>0</v>
      </c>
      <c r="E51" s="41" t="b">
        <f ca="1">IF(Main!$C$25="Solar", IF(Energy!W51-Energy!N51&gt;=0, TRUE, FALSE), TRUE)</f>
        <v>1</v>
      </c>
      <c r="F51" s="41">
        <f t="shared" ca="1" si="2"/>
        <v>0</v>
      </c>
      <c r="G51" s="6">
        <f ca="1">IF(A51&gt;=$B$7,IF(E51,IF(H50-$B$6/1000&gt;0,IF($B$6/1000&gt;$B$9*24*60*60,$B$9*24*60*60,$B$6/1000),H50),($B$6/1000)*(-Energy!W51+Energy!N51)/Energy!N51),0)</f>
        <v>0.219</v>
      </c>
      <c r="H51" s="6">
        <f t="shared" ca="1" si="5"/>
        <v>5.8592567914085372</v>
      </c>
      <c r="I51" t="str">
        <f t="shared" ca="1" si="3"/>
        <v>Yes</v>
      </c>
      <c r="N51" s="57">
        <v>41679</v>
      </c>
      <c r="O51" s="56">
        <v>12.2</v>
      </c>
      <c r="P51" s="59">
        <v>42044</v>
      </c>
      <c r="Q51" s="32">
        <v>3.2</v>
      </c>
      <c r="R51" s="59">
        <v>42044</v>
      </c>
      <c r="S51" s="19">
        <v>11.8</v>
      </c>
      <c r="T51" s="59">
        <v>41314</v>
      </c>
      <c r="U51" s="19">
        <v>0</v>
      </c>
    </row>
    <row r="52" spans="1:21" x14ac:dyDescent="0.75">
      <c r="A52" s="59">
        <f t="shared" si="0"/>
        <v>41315</v>
      </c>
      <c r="B52" s="19">
        <f t="shared" si="1"/>
        <v>1</v>
      </c>
      <c r="C52" s="41">
        <f t="shared" ca="1" si="4"/>
        <v>0.1</v>
      </c>
      <c r="D52" s="41">
        <f ca="1">IF(Energy!$N$3, C52, IF(C52 &gt; 0, MAX(Energy!W52- Energy!N52, 0) / (Energy!I52 + Energy!M52) *C52, 0))</f>
        <v>9.9999999999999978E-2</v>
      </c>
      <c r="E52" s="41" t="b">
        <f ca="1">IF(Main!$C$25="Solar", IF(Energy!W52-Energy!N52&gt;=0, TRUE, FALSE), TRUE)</f>
        <v>1</v>
      </c>
      <c r="F52" s="41">
        <f t="shared" ca="1" si="2"/>
        <v>5.5567755674227455E-2</v>
      </c>
      <c r="G52" s="6">
        <f ca="1">IF(A52&gt;=$B$7,IF(E52,IF(H51-$B$6/1000&gt;0,IF($B$6/1000&gt;$B$9*24*60*60,$B$9*24*60*60,$B$6/1000),H51),($B$6/1000)*(-Energy!W52+Energy!N52)/Energy!N52),0)</f>
        <v>0.219</v>
      </c>
      <c r="H52" s="6">
        <f t="shared" ca="1" si="5"/>
        <v>5.7402567914085365</v>
      </c>
      <c r="I52" t="str">
        <f t="shared" ca="1" si="3"/>
        <v>Yes</v>
      </c>
      <c r="N52" s="57">
        <v>41680</v>
      </c>
      <c r="O52" s="56">
        <v>13.4</v>
      </c>
      <c r="P52" s="59">
        <v>42045</v>
      </c>
      <c r="Q52" s="32">
        <v>0.2</v>
      </c>
      <c r="R52" s="59">
        <v>42045</v>
      </c>
      <c r="S52" s="19">
        <v>0.8</v>
      </c>
      <c r="T52" s="59">
        <v>41315</v>
      </c>
      <c r="U52" s="19">
        <v>1</v>
      </c>
    </row>
    <row r="53" spans="1:21" x14ac:dyDescent="0.75">
      <c r="A53" s="59">
        <f t="shared" si="0"/>
        <v>41316</v>
      </c>
      <c r="B53" s="19">
        <f t="shared" si="1"/>
        <v>1.4</v>
      </c>
      <c r="C53" s="41">
        <f t="shared" ca="1" si="4"/>
        <v>0.14000000000000001</v>
      </c>
      <c r="D53" s="41">
        <f ca="1">IF(Energy!$N$3, C53, IF(C53 &gt; 0, MAX(Energy!W53- Energy!N53, 0) / (Energy!I53 + Energy!M53) *C53, 0))</f>
        <v>0.13999999999999999</v>
      </c>
      <c r="E53" s="41" t="b">
        <f ca="1">IF(Main!$C$25="Solar", IF(Energy!W53-Energy!N53&gt;=0, TRUE, FALSE), TRUE)</f>
        <v>1</v>
      </c>
      <c r="F53" s="41">
        <f t="shared" ca="1" si="2"/>
        <v>7.7794857943918438E-2</v>
      </c>
      <c r="G53" s="6">
        <f ca="1">IF(A53&gt;=$B$7,IF(E53,IF(H52-$B$6/1000&gt;0,IF($B$6/1000&gt;$B$9*24*60*60,$B$9*24*60*60,$B$6/1000),H52),($B$6/1000)*(-Energy!W53+Energy!N53)/Energy!N53),0)</f>
        <v>0.219</v>
      </c>
      <c r="H53" s="6">
        <f t="shared" ca="1" si="5"/>
        <v>5.6612567914085359</v>
      </c>
      <c r="I53" t="str">
        <f t="shared" ca="1" si="3"/>
        <v>Yes</v>
      </c>
      <c r="N53" s="57">
        <v>41681</v>
      </c>
      <c r="O53" s="56">
        <v>46.6</v>
      </c>
      <c r="P53" s="59">
        <v>42046</v>
      </c>
      <c r="Q53" s="32">
        <v>19.600000000000001</v>
      </c>
      <c r="R53" s="59">
        <v>42046</v>
      </c>
      <c r="S53" s="19">
        <v>1</v>
      </c>
      <c r="T53" s="59">
        <v>41316</v>
      </c>
      <c r="U53" s="19">
        <v>1.4</v>
      </c>
    </row>
    <row r="54" spans="1:21" x14ac:dyDescent="0.75">
      <c r="A54" s="59">
        <f t="shared" si="0"/>
        <v>41317</v>
      </c>
      <c r="B54" s="19">
        <f t="shared" si="1"/>
        <v>4.5999999999999996</v>
      </c>
      <c r="C54" s="41">
        <f t="shared" ca="1" si="4"/>
        <v>0.45999999999999996</v>
      </c>
      <c r="D54" s="41">
        <f ca="1">IF(Energy!$N$3, C54, IF(C54 &gt; 0, MAX(Energy!W54- Energy!N54, 0) / (Energy!I54 + Energy!M54) *C54, 0))</f>
        <v>0.45999999999999996</v>
      </c>
      <c r="E54" s="41" t="b">
        <f ca="1">IF(Main!$C$25="Solar", IF(Energy!W54-Energy!N54&gt;=0, TRUE, FALSE), TRUE)</f>
        <v>1</v>
      </c>
      <c r="F54" s="41">
        <f t="shared" ca="1" si="2"/>
        <v>0.25561167610144631</v>
      </c>
      <c r="G54" s="6">
        <f ca="1">IF(A54&gt;=$B$7,IF(E54,IF(H53-$B$6/1000&gt;0,IF($B$6/1000&gt;$B$9*24*60*60,$B$9*24*60*60,$B$6/1000),H53),($B$6/1000)*(-Energy!W54+Energy!N54)/Energy!N54),0)</f>
        <v>0.219</v>
      </c>
      <c r="H54" s="6">
        <f t="shared" ca="1" si="5"/>
        <v>5.9022567914085355</v>
      </c>
      <c r="I54" t="str">
        <f t="shared" ca="1" si="3"/>
        <v>Yes</v>
      </c>
      <c r="N54" s="57">
        <v>41682</v>
      </c>
      <c r="O54" s="56">
        <v>16.8</v>
      </c>
      <c r="P54" s="59">
        <v>42047</v>
      </c>
      <c r="Q54" s="32">
        <v>30.4</v>
      </c>
      <c r="R54" s="59">
        <v>42047</v>
      </c>
      <c r="S54" s="19">
        <v>12.8</v>
      </c>
      <c r="T54" s="59">
        <v>41317</v>
      </c>
      <c r="U54" s="19">
        <v>4.5999999999999996</v>
      </c>
    </row>
    <row r="55" spans="1:21" x14ac:dyDescent="0.75">
      <c r="A55" s="59">
        <f t="shared" si="0"/>
        <v>41318</v>
      </c>
      <c r="B55" s="19">
        <f t="shared" si="1"/>
        <v>3</v>
      </c>
      <c r="C55" s="41">
        <f t="shared" ca="1" si="4"/>
        <v>0.3</v>
      </c>
      <c r="D55" s="41">
        <f ca="1">IF(Energy!$N$3, C55, IF(C55 &gt; 0, MAX(Energy!W55- Energy!N55, 0) / (Energy!I55 + Energy!M55) *C55, 0))</f>
        <v>0.30000000000000004</v>
      </c>
      <c r="E55" s="41" t="b">
        <f ca="1">IF(Main!$C$25="Solar", IF(Energy!W55-Energy!N55&gt;=0, TRUE, FALSE), TRUE)</f>
        <v>1</v>
      </c>
      <c r="F55" s="41">
        <f t="shared" ca="1" si="2"/>
        <v>0.16670326702268243</v>
      </c>
      <c r="G55" s="6">
        <f ca="1">IF(A55&gt;=$B$7,IF(E55,IF(H54-$B$6/1000&gt;0,IF($B$6/1000&gt;$B$9*24*60*60,$B$9*24*60*60,$B$6/1000),H54),($B$6/1000)*(-Energy!W55+Energy!N55)/Energy!N55),0)</f>
        <v>0.219</v>
      </c>
      <c r="H55" s="6">
        <f t="shared" ca="1" si="5"/>
        <v>5.9832567914085351</v>
      </c>
      <c r="I55" t="str">
        <f t="shared" ca="1" si="3"/>
        <v>Yes</v>
      </c>
      <c r="N55" s="57">
        <v>41683</v>
      </c>
      <c r="O55" s="56">
        <v>15.6</v>
      </c>
      <c r="P55" s="59">
        <v>42048</v>
      </c>
      <c r="Q55" s="32">
        <v>19</v>
      </c>
      <c r="R55" s="59">
        <v>42048</v>
      </c>
      <c r="S55" s="19">
        <v>16.2</v>
      </c>
      <c r="T55" s="59">
        <v>41318</v>
      </c>
      <c r="U55" s="19">
        <v>3</v>
      </c>
    </row>
    <row r="56" spans="1:21" x14ac:dyDescent="0.75">
      <c r="A56" s="59">
        <f t="shared" si="0"/>
        <v>41319</v>
      </c>
      <c r="B56" s="19">
        <f t="shared" si="1"/>
        <v>5.6</v>
      </c>
      <c r="C56" s="41">
        <f t="shared" ca="1" si="4"/>
        <v>0.56000000000000005</v>
      </c>
      <c r="D56" s="41">
        <f ca="1">IF(Energy!$N$3, C56, IF(C56 &gt; 0, MAX(Energy!W56- Energy!N56, 0) / (Energy!I56 + Energy!M56) *C56, 0))</f>
        <v>0.55999999999999994</v>
      </c>
      <c r="E56" s="41" t="b">
        <f ca="1">IF(Main!$C$25="Solar", IF(Energy!W56-Energy!N56&gt;=0, TRUE, FALSE), TRUE)</f>
        <v>1</v>
      </c>
      <c r="F56" s="41">
        <f t="shared" ca="1" si="2"/>
        <v>0.31117943177567375</v>
      </c>
      <c r="G56" s="6">
        <f ca="1">IF(A56&gt;=$B$7,IF(E56,IF(H55-$B$6/1000&gt;0,IF($B$6/1000&gt;$B$9*24*60*60,$B$9*24*60*60,$B$6/1000),H55),($B$6/1000)*(-Energy!W56+Energy!N56)/Energy!N56),0)</f>
        <v>0.219</v>
      </c>
      <c r="H56" s="6">
        <f t="shared" ca="1" si="5"/>
        <v>6.3242567914085344</v>
      </c>
      <c r="I56" t="str">
        <f t="shared" ca="1" si="3"/>
        <v>Yes</v>
      </c>
      <c r="N56" s="57">
        <v>41684</v>
      </c>
      <c r="O56" s="56">
        <v>3</v>
      </c>
      <c r="P56" s="59">
        <v>42049</v>
      </c>
      <c r="Q56" s="32">
        <v>0.2</v>
      </c>
      <c r="R56" s="59">
        <v>42049</v>
      </c>
      <c r="S56" s="19">
        <v>0</v>
      </c>
      <c r="T56" s="59">
        <v>41319</v>
      </c>
      <c r="U56" s="19">
        <v>5.6</v>
      </c>
    </row>
    <row r="57" spans="1:21" x14ac:dyDescent="0.75">
      <c r="A57" s="59">
        <f t="shared" si="0"/>
        <v>41320</v>
      </c>
      <c r="B57" s="19">
        <f t="shared" si="1"/>
        <v>2.4</v>
      </c>
      <c r="C57" s="41">
        <f t="shared" ca="1" si="4"/>
        <v>0.24</v>
      </c>
      <c r="D57" s="41">
        <f ca="1">IF(Energy!$N$3, C57, IF(C57 &gt; 0, MAX(Energy!W57- Energy!N57, 0) / (Energy!I57 + Energy!M57) *C57, 0))</f>
        <v>0.24</v>
      </c>
      <c r="E57" s="41" t="b">
        <f ca="1">IF(Main!$C$25="Solar", IF(Energy!W57-Energy!N57&gt;=0, TRUE, FALSE), TRUE)</f>
        <v>1</v>
      </c>
      <c r="F57" s="41">
        <f t="shared" ca="1" si="2"/>
        <v>0.13336261361814591</v>
      </c>
      <c r="G57" s="6">
        <f ca="1">IF(A57&gt;=$B$7,IF(E57,IF(H56-$B$6/1000&gt;0,IF($B$6/1000&gt;$B$9*24*60*60,$B$9*24*60*60,$B$6/1000),H56),($B$6/1000)*(-Energy!W57+Energy!N57)/Energy!N57),0)</f>
        <v>0.219</v>
      </c>
      <c r="H57" s="6">
        <f t="shared" ca="1" si="5"/>
        <v>6.3452567914085343</v>
      </c>
      <c r="I57" t="str">
        <f t="shared" ca="1" si="3"/>
        <v>Yes</v>
      </c>
      <c r="N57" s="57">
        <v>41685</v>
      </c>
      <c r="O57" s="56">
        <v>11.6</v>
      </c>
      <c r="P57" s="59">
        <v>42050</v>
      </c>
      <c r="Q57" s="32">
        <v>0</v>
      </c>
      <c r="R57" s="59">
        <v>42050</v>
      </c>
      <c r="S57" s="19">
        <v>0</v>
      </c>
      <c r="T57" s="59">
        <v>41320</v>
      </c>
      <c r="U57" s="19">
        <v>2.4</v>
      </c>
    </row>
    <row r="58" spans="1:21" x14ac:dyDescent="0.75">
      <c r="A58" s="59">
        <f t="shared" si="0"/>
        <v>41321</v>
      </c>
      <c r="B58" s="19">
        <f t="shared" si="1"/>
        <v>0</v>
      </c>
      <c r="C58" s="41">
        <f t="shared" ca="1" si="4"/>
        <v>0</v>
      </c>
      <c r="D58" s="41">
        <f ca="1">IF(Energy!$N$3, C58, IF(C58 &gt; 0, MAX(Energy!W58- Energy!N58, 0) / (Energy!I58 + Energy!M58) *C58, 0))</f>
        <v>0</v>
      </c>
      <c r="E58" s="41" t="b">
        <f ca="1">IF(Main!$C$25="Solar", IF(Energy!W58-Energy!N58&gt;=0, TRUE, FALSE), TRUE)</f>
        <v>1</v>
      </c>
      <c r="F58" s="41">
        <f t="shared" ca="1" si="2"/>
        <v>0</v>
      </c>
      <c r="G58" s="6">
        <f ca="1">IF(A58&gt;=$B$7,IF(E58,IF(H57-$B$6/1000&gt;0,IF($B$6/1000&gt;$B$9*24*60*60,$B$9*24*60*60,$B$6/1000),H57),($B$6/1000)*(-Energy!W58+Energy!N58)/Energy!N58),0)</f>
        <v>0.219</v>
      </c>
      <c r="H58" s="6">
        <f t="shared" ca="1" si="5"/>
        <v>6.126256791408534</v>
      </c>
      <c r="I58" t="str">
        <f t="shared" ca="1" si="3"/>
        <v>Yes</v>
      </c>
      <c r="N58" s="57">
        <v>41686</v>
      </c>
      <c r="O58" s="56">
        <v>19</v>
      </c>
      <c r="P58" s="59">
        <v>42051</v>
      </c>
      <c r="Q58" s="32">
        <v>0</v>
      </c>
      <c r="R58" s="59">
        <v>42051</v>
      </c>
      <c r="S58" s="19">
        <v>0</v>
      </c>
      <c r="T58" s="59">
        <v>41321</v>
      </c>
      <c r="U58" s="19">
        <v>0</v>
      </c>
    </row>
    <row r="59" spans="1:21" x14ac:dyDescent="0.75">
      <c r="A59" s="59">
        <f t="shared" si="0"/>
        <v>41322</v>
      </c>
      <c r="B59" s="19">
        <f t="shared" si="1"/>
        <v>0</v>
      </c>
      <c r="C59" s="41">
        <f t="shared" ca="1" si="4"/>
        <v>0</v>
      </c>
      <c r="D59" s="41">
        <f ca="1">IF(Energy!$N$3, C59, IF(C59 &gt; 0, MAX(Energy!W59- Energy!N59, 0) / (Energy!I59 + Energy!M59) *C59, 0))</f>
        <v>0</v>
      </c>
      <c r="E59" s="41" t="b">
        <f ca="1">IF(Main!$C$25="Solar", IF(Energy!W59-Energy!N59&gt;=0, TRUE, FALSE), TRUE)</f>
        <v>1</v>
      </c>
      <c r="F59" s="41">
        <f t="shared" ca="1" si="2"/>
        <v>0</v>
      </c>
      <c r="G59" s="6">
        <f ca="1">IF(A59&gt;=$B$7,IF(E59,IF(H58-$B$6/1000&gt;0,IF($B$6/1000&gt;$B$9*24*60*60,$B$9*24*60*60,$B$6/1000),H58),($B$6/1000)*(-Energy!W59+Energy!N59)/Energy!N59),0)</f>
        <v>0.219</v>
      </c>
      <c r="H59" s="6">
        <f t="shared" ca="1" si="5"/>
        <v>5.9072567914085337</v>
      </c>
      <c r="I59" t="str">
        <f t="shared" ca="1" si="3"/>
        <v>Yes</v>
      </c>
      <c r="N59" s="57">
        <v>41687</v>
      </c>
      <c r="O59" s="56">
        <v>9.1999999999999993</v>
      </c>
      <c r="P59" s="59">
        <v>42052</v>
      </c>
      <c r="Q59" s="32">
        <v>0</v>
      </c>
      <c r="R59" s="59">
        <v>42052</v>
      </c>
      <c r="S59" s="19">
        <v>0</v>
      </c>
      <c r="T59" s="59">
        <v>41322</v>
      </c>
      <c r="U59" s="19">
        <v>0</v>
      </c>
    </row>
    <row r="60" spans="1:21" x14ac:dyDescent="0.75">
      <c r="A60" s="59">
        <f t="shared" si="0"/>
        <v>41323</v>
      </c>
      <c r="B60" s="19">
        <f t="shared" si="1"/>
        <v>0</v>
      </c>
      <c r="C60" s="41">
        <f t="shared" ca="1" si="4"/>
        <v>0</v>
      </c>
      <c r="D60" s="41">
        <f ca="1">IF(Energy!$N$3, C60, IF(C60 &gt; 0, MAX(Energy!W60- Energy!N60, 0) / (Energy!I60 + Energy!M60) *C60, 0))</f>
        <v>0</v>
      </c>
      <c r="E60" s="41" t="b">
        <f ca="1">IF(Main!$C$25="Solar", IF(Energy!W60-Energy!N60&gt;=0, TRUE, FALSE), TRUE)</f>
        <v>1</v>
      </c>
      <c r="F60" s="41">
        <f t="shared" ca="1" si="2"/>
        <v>0</v>
      </c>
      <c r="G60" s="6">
        <f ca="1">IF(A60&gt;=$B$7,IF(E60,IF(H59-$B$6/1000&gt;0,IF($B$6/1000&gt;$B$9*24*60*60,$B$9*24*60*60,$B$6/1000),H59),($B$6/1000)*(-Energy!W60+Energy!N60)/Energy!N60),0)</f>
        <v>0.219</v>
      </c>
      <c r="H60" s="6">
        <f t="shared" ca="1" si="5"/>
        <v>5.6882567914085334</v>
      </c>
      <c r="I60" t="str">
        <f t="shared" ca="1" si="3"/>
        <v>Yes</v>
      </c>
      <c r="N60" s="57">
        <v>41688</v>
      </c>
      <c r="O60" s="56">
        <v>12.6</v>
      </c>
      <c r="P60" s="59">
        <v>42053</v>
      </c>
      <c r="Q60" s="32">
        <v>4</v>
      </c>
      <c r="R60" s="59">
        <v>42053</v>
      </c>
      <c r="S60" s="19">
        <v>0</v>
      </c>
      <c r="T60" s="59">
        <v>41323</v>
      </c>
      <c r="U60" s="19">
        <v>0</v>
      </c>
    </row>
    <row r="61" spans="1:21" x14ac:dyDescent="0.75">
      <c r="A61" s="59">
        <f t="shared" si="0"/>
        <v>41324</v>
      </c>
      <c r="B61" s="19">
        <f t="shared" si="1"/>
        <v>0</v>
      </c>
      <c r="C61" s="41">
        <f t="shared" ca="1" si="4"/>
        <v>0</v>
      </c>
      <c r="D61" s="41">
        <f ca="1">IF(Energy!$N$3, C61, IF(C61 &gt; 0, MAX(Energy!W61- Energy!N61, 0) / (Energy!I61 + Energy!M61) *C61, 0))</f>
        <v>0</v>
      </c>
      <c r="E61" s="41" t="b">
        <f ca="1">IF(Main!$C$25="Solar", IF(Energy!W61-Energy!N61&gt;=0, TRUE, FALSE), TRUE)</f>
        <v>1</v>
      </c>
      <c r="F61" s="41">
        <f t="shared" ca="1" si="2"/>
        <v>0</v>
      </c>
      <c r="G61" s="6">
        <f ca="1">IF(A61&gt;=$B$7,IF(E61,IF(H60-$B$6/1000&gt;0,IF($B$6/1000&gt;$B$9*24*60*60,$B$9*24*60*60,$B$6/1000),H60),($B$6/1000)*(-Energy!W61+Energy!N61)/Energy!N61),0)</f>
        <v>0.219</v>
      </c>
      <c r="H61" s="6">
        <f t="shared" ca="1" si="5"/>
        <v>5.469256791408533</v>
      </c>
      <c r="I61" t="str">
        <f t="shared" ca="1" si="3"/>
        <v>Yes</v>
      </c>
      <c r="N61" s="57">
        <v>41689</v>
      </c>
      <c r="O61" s="56">
        <v>21.8</v>
      </c>
      <c r="P61" s="59">
        <v>42054</v>
      </c>
      <c r="Q61" s="32">
        <v>11</v>
      </c>
      <c r="R61" s="59">
        <v>42054</v>
      </c>
      <c r="S61" s="19">
        <v>0</v>
      </c>
      <c r="T61" s="59">
        <v>41324</v>
      </c>
      <c r="U61" s="19">
        <v>0</v>
      </c>
    </row>
    <row r="62" spans="1:21" x14ac:dyDescent="0.75">
      <c r="A62" s="59">
        <f t="shared" si="0"/>
        <v>41325</v>
      </c>
      <c r="B62" s="19">
        <f t="shared" si="1"/>
        <v>2.2000000000000002</v>
      </c>
      <c r="C62" s="41">
        <f t="shared" ca="1" si="4"/>
        <v>0.22000000000000003</v>
      </c>
      <c r="D62" s="41">
        <f ca="1">IF(Energy!$N$3, C62, IF(C62 &gt; 0, MAX(Energy!W62- Energy!N62, 0) / (Energy!I62 + Energy!M62) *C62, 0))</f>
        <v>0.22000000000000003</v>
      </c>
      <c r="E62" s="41" t="b">
        <f ca="1">IF(Main!$C$25="Solar", IF(Energy!W62-Energy!N62&gt;=0, TRUE, FALSE), TRUE)</f>
        <v>1</v>
      </c>
      <c r="F62" s="41">
        <f t="shared" ca="1" si="2"/>
        <v>0.12224906248330043</v>
      </c>
      <c r="G62" s="6">
        <f ca="1">IF(A62&gt;=$B$7,IF(E62,IF(H61-$B$6/1000&gt;0,IF($B$6/1000&gt;$B$9*24*60*60,$B$9*24*60*60,$B$6/1000),H61),($B$6/1000)*(-Energy!W62+Energy!N62)/Energy!N62),0)</f>
        <v>0.219</v>
      </c>
      <c r="H62" s="6">
        <f t="shared" ca="1" si="5"/>
        <v>5.4702567914085325</v>
      </c>
      <c r="I62" t="str">
        <f t="shared" ca="1" si="3"/>
        <v>Yes</v>
      </c>
      <c r="N62" s="57">
        <v>41690</v>
      </c>
      <c r="O62" s="56">
        <v>2.4</v>
      </c>
      <c r="P62" s="59">
        <v>42055</v>
      </c>
      <c r="Q62" s="32">
        <v>0.4</v>
      </c>
      <c r="R62" s="59">
        <v>42055</v>
      </c>
      <c r="S62" s="19">
        <v>0</v>
      </c>
      <c r="T62" s="59">
        <v>41325</v>
      </c>
      <c r="U62" s="19">
        <v>2.2000000000000002</v>
      </c>
    </row>
    <row r="63" spans="1:21" x14ac:dyDescent="0.75">
      <c r="A63" s="59">
        <f t="shared" si="0"/>
        <v>41326</v>
      </c>
      <c r="B63" s="19">
        <f t="shared" si="1"/>
        <v>9</v>
      </c>
      <c r="C63" s="41">
        <f t="shared" ca="1" si="4"/>
        <v>0.9</v>
      </c>
      <c r="D63" s="41">
        <f ca="1">IF(Energy!$N$3, C63, IF(C63 &gt; 0, MAX(Energy!W63- Energy!N63, 0) / (Energy!I63 + Energy!M63) *C63, 0))</f>
        <v>0.9</v>
      </c>
      <c r="E63" s="41" t="b">
        <f ca="1">IF(Main!$C$25="Solar", IF(Energy!W63-Energy!N63&gt;=0, TRUE, FALSE), TRUE)</f>
        <v>1</v>
      </c>
      <c r="F63" s="41">
        <f t="shared" ca="1" si="2"/>
        <v>0.50010980106804714</v>
      </c>
      <c r="G63" s="6">
        <f ca="1">IF(A63&gt;=$B$7,IF(E63,IF(H62-$B$6/1000&gt;0,IF($B$6/1000&gt;$B$9*24*60*60,$B$9*24*60*60,$B$6/1000),H62),($B$6/1000)*(-Energy!W63+Energy!N63)/Energy!N63),0)</f>
        <v>0.219</v>
      </c>
      <c r="H63" s="6">
        <f t="shared" ca="1" si="5"/>
        <v>6.1512567914085325</v>
      </c>
      <c r="I63" t="str">
        <f t="shared" ca="1" si="3"/>
        <v>Yes</v>
      </c>
      <c r="N63" s="57">
        <v>41691</v>
      </c>
      <c r="O63" s="56">
        <v>0.8</v>
      </c>
      <c r="P63" s="59">
        <v>42056</v>
      </c>
      <c r="Q63" s="32">
        <v>0</v>
      </c>
      <c r="R63" s="59">
        <v>42056</v>
      </c>
      <c r="S63" s="19">
        <v>0</v>
      </c>
      <c r="T63" s="59">
        <v>41326</v>
      </c>
      <c r="U63" s="19">
        <v>9</v>
      </c>
    </row>
    <row r="64" spans="1:21" x14ac:dyDescent="0.75">
      <c r="A64" s="59">
        <f t="shared" si="0"/>
        <v>41327</v>
      </c>
      <c r="B64" s="19">
        <f t="shared" si="1"/>
        <v>10.6</v>
      </c>
      <c r="C64" s="41">
        <f t="shared" ca="1" si="4"/>
        <v>1.06</v>
      </c>
      <c r="D64" s="41">
        <f ca="1">IF(Energy!$N$3, C64, IF(C64 &gt; 0, MAX(Energy!W64- Energy!N64, 0) / (Energy!I64 + Energy!M64) *C64, 0))</f>
        <v>1.06</v>
      </c>
      <c r="E64" s="41" t="b">
        <f ca="1">IF(Main!$C$25="Solar", IF(Energy!W64-Energy!N64&gt;=0, TRUE, FALSE), TRUE)</f>
        <v>1</v>
      </c>
      <c r="F64" s="41">
        <f t="shared" ca="1" si="2"/>
        <v>0.58901821014681111</v>
      </c>
      <c r="G64" s="6">
        <f ca="1">IF(A64&gt;=$B$7,IF(E64,IF(H63-$B$6/1000&gt;0,IF($B$6/1000&gt;$B$9*24*60*60,$B$9*24*60*60,$B$6/1000),H63),($B$6/1000)*(-Energy!W64+Energy!N64)/Energy!N64),0)</f>
        <v>0.219</v>
      </c>
      <c r="H64" s="6">
        <f t="shared" ca="1" si="5"/>
        <v>6.9922567914085318</v>
      </c>
      <c r="I64" t="str">
        <f t="shared" ca="1" si="3"/>
        <v>Yes</v>
      </c>
      <c r="N64" s="57">
        <v>41692</v>
      </c>
      <c r="O64" s="56">
        <v>4.8</v>
      </c>
      <c r="P64" s="59">
        <v>42057</v>
      </c>
      <c r="Q64" s="32">
        <v>0</v>
      </c>
      <c r="R64" s="59">
        <v>42057</v>
      </c>
      <c r="S64" s="19">
        <v>0</v>
      </c>
      <c r="T64" s="59">
        <v>41327</v>
      </c>
      <c r="U64" s="19">
        <v>10.6</v>
      </c>
    </row>
    <row r="65" spans="1:21" x14ac:dyDescent="0.75">
      <c r="A65" s="59">
        <f t="shared" si="0"/>
        <v>41328</v>
      </c>
      <c r="B65" s="19">
        <f t="shared" si="1"/>
        <v>4.5999999999999996</v>
      </c>
      <c r="C65" s="41">
        <f t="shared" ca="1" si="4"/>
        <v>0.45999999999999996</v>
      </c>
      <c r="D65" s="41">
        <f ca="1">IF(Energy!$N$3, C65, IF(C65 &gt; 0, MAX(Energy!W65- Energy!N65, 0) / (Energy!I65 + Energy!M65) *C65, 0))</f>
        <v>0.45999999999999996</v>
      </c>
      <c r="E65" s="41" t="b">
        <f ca="1">IF(Main!$C$25="Solar", IF(Energy!W65-Energy!N65&gt;=0, TRUE, FALSE), TRUE)</f>
        <v>1</v>
      </c>
      <c r="F65" s="41">
        <f t="shared" ca="1" si="2"/>
        <v>0.25561167610144631</v>
      </c>
      <c r="G65" s="6">
        <f ca="1">IF(A65&gt;=$B$7,IF(E65,IF(H64-$B$6/1000&gt;0,IF($B$6/1000&gt;$B$9*24*60*60,$B$9*24*60*60,$B$6/1000),H64),($B$6/1000)*(-Energy!W65+Energy!N65)/Energy!N65),0)</f>
        <v>0.219</v>
      </c>
      <c r="H65" s="6">
        <f t="shared" ca="1" si="5"/>
        <v>7.2332567914085315</v>
      </c>
      <c r="I65" t="str">
        <f t="shared" ca="1" si="3"/>
        <v>Yes</v>
      </c>
      <c r="N65" s="57">
        <v>41693</v>
      </c>
      <c r="O65" s="56">
        <v>14.6</v>
      </c>
      <c r="P65" s="59">
        <v>42058</v>
      </c>
      <c r="Q65" s="32">
        <v>0</v>
      </c>
      <c r="R65" s="59">
        <v>42058</v>
      </c>
      <c r="S65" s="19">
        <v>0</v>
      </c>
      <c r="T65" s="59">
        <v>41328</v>
      </c>
      <c r="U65" s="19">
        <v>4.5999999999999996</v>
      </c>
    </row>
    <row r="66" spans="1:21" x14ac:dyDescent="0.75">
      <c r="A66" s="59">
        <f t="shared" si="0"/>
        <v>41329</v>
      </c>
      <c r="B66" s="19">
        <f t="shared" si="1"/>
        <v>23.6</v>
      </c>
      <c r="C66" s="41">
        <f t="shared" ca="1" si="4"/>
        <v>2.36</v>
      </c>
      <c r="D66" s="41">
        <f ca="1">IF(Energy!$N$3, C66, IF(C66 &gt; 0, MAX(Energy!W66- Energy!N66, 0) / (Energy!I66 + Energy!M66) *C66, 0))</f>
        <v>1.1176636089470868</v>
      </c>
      <c r="E66" s="41" t="b">
        <f ca="1">IF(Main!$C$25="Solar", IF(Energy!W66-Energy!N66&gt;=0, TRUE, FALSE), TRUE)</f>
        <v>1</v>
      </c>
      <c r="F66" s="41">
        <f t="shared" ca="1" si="2"/>
        <v>0.62106058347947035</v>
      </c>
      <c r="G66" s="6">
        <f ca="1">IF(A66&gt;=$B$7,IF(E66,IF(H65-$B$6/1000&gt;0,IF($B$6/1000&gt;$B$9*24*60*60,$B$9*24*60*60,$B$6/1000),H65),($B$6/1000)*(-Energy!W66+Energy!N66)/Energy!N66),0)</f>
        <v>0.219</v>
      </c>
      <c r="H66" s="6">
        <f t="shared" ca="1" si="5"/>
        <v>8.1319204003556198</v>
      </c>
      <c r="I66" t="str">
        <f t="shared" ca="1" si="3"/>
        <v>Yes</v>
      </c>
      <c r="N66" s="57">
        <v>41694</v>
      </c>
      <c r="O66" s="56">
        <v>6.8</v>
      </c>
      <c r="P66" s="59">
        <v>42059</v>
      </c>
      <c r="Q66" s="32">
        <v>0.2</v>
      </c>
      <c r="R66" s="59">
        <v>42059</v>
      </c>
      <c r="S66" s="19">
        <v>0</v>
      </c>
      <c r="T66" s="59">
        <v>41329</v>
      </c>
      <c r="U66" s="19">
        <v>23.6</v>
      </c>
    </row>
    <row r="67" spans="1:21" x14ac:dyDescent="0.75">
      <c r="A67" s="59">
        <f t="shared" si="0"/>
        <v>41330</v>
      </c>
      <c r="B67" s="19">
        <f t="shared" si="1"/>
        <v>1.6</v>
      </c>
      <c r="C67" s="41">
        <f t="shared" ca="1" si="4"/>
        <v>0.16</v>
      </c>
      <c r="D67" s="41">
        <f ca="1">IF(Energy!$N$3, C67, IF(C67 &gt; 0, MAX(Energy!W67- Energy!N67, 0) / (Energy!I67 + Energy!M67) *C67, 0))</f>
        <v>0.16000000000000003</v>
      </c>
      <c r="E67" s="41" t="b">
        <f ca="1">IF(Main!$C$25="Solar", IF(Energy!W67-Energy!N67&gt;=0, TRUE, FALSE), TRUE)</f>
        <v>1</v>
      </c>
      <c r="F67" s="41">
        <f t="shared" ca="1" si="2"/>
        <v>8.8908409078763961E-2</v>
      </c>
      <c r="G67" s="6">
        <f ca="1">IF(A67&gt;=$B$7,IF(E67,IF(H66-$B$6/1000&gt;0,IF($B$6/1000&gt;$B$9*24*60*60,$B$9*24*60*60,$B$6/1000),H66),($B$6/1000)*(-Energy!W67+Energy!N67)/Energy!N67),0)</f>
        <v>0.219</v>
      </c>
      <c r="H67" s="6">
        <f t="shared" ca="1" si="5"/>
        <v>8.0729204003556205</v>
      </c>
      <c r="I67" t="str">
        <f t="shared" ca="1" si="3"/>
        <v>Yes</v>
      </c>
      <c r="N67" s="57">
        <v>41695</v>
      </c>
      <c r="O67" s="56">
        <v>0</v>
      </c>
      <c r="P67" s="59">
        <v>42060</v>
      </c>
      <c r="Q67" s="32">
        <v>4.5999999999999996</v>
      </c>
      <c r="R67" s="59">
        <v>42060</v>
      </c>
      <c r="S67" s="19">
        <v>1.6</v>
      </c>
      <c r="T67" s="59">
        <v>41330</v>
      </c>
      <c r="U67" s="19">
        <v>1.6</v>
      </c>
    </row>
    <row r="68" spans="1:21" x14ac:dyDescent="0.75">
      <c r="A68" s="59">
        <f t="shared" si="0"/>
        <v>41331</v>
      </c>
      <c r="B68" s="19">
        <f t="shared" si="1"/>
        <v>2.2000000000000002</v>
      </c>
      <c r="C68" s="41">
        <f t="shared" ca="1" si="4"/>
        <v>0.22000000000000003</v>
      </c>
      <c r="D68" s="41">
        <f ca="1">IF(Energy!$N$3, C68, IF(C68 &gt; 0, MAX(Energy!W68- Energy!N68, 0) / (Energy!I68 + Energy!M68) *C68, 0))</f>
        <v>0.22000000000000003</v>
      </c>
      <c r="E68" s="41" t="b">
        <f ca="1">IF(Main!$C$25="Solar", IF(Energy!W68-Energy!N68&gt;=0, TRUE, FALSE), TRUE)</f>
        <v>1</v>
      </c>
      <c r="F68" s="41">
        <f t="shared" ca="1" si="2"/>
        <v>0.12224906248330043</v>
      </c>
      <c r="G68" s="6">
        <f ca="1">IF(A68&gt;=$B$7,IF(E68,IF(H67-$B$6/1000&gt;0,IF($B$6/1000&gt;$B$9*24*60*60,$B$9*24*60*60,$B$6/1000),H67),($B$6/1000)*(-Energy!W68+Energy!N68)/Energy!N68),0)</f>
        <v>0.219</v>
      </c>
      <c r="H68" s="6">
        <f t="shared" ca="1" si="5"/>
        <v>8.0739204003556218</v>
      </c>
      <c r="I68" t="str">
        <f t="shared" ca="1" si="3"/>
        <v>Yes</v>
      </c>
      <c r="N68" s="57">
        <v>41696</v>
      </c>
      <c r="O68" s="56">
        <v>0.8</v>
      </c>
      <c r="P68" s="59">
        <v>42061</v>
      </c>
      <c r="Q68" s="32">
        <v>8.8000000000000007</v>
      </c>
      <c r="R68" s="59">
        <v>42061</v>
      </c>
      <c r="S68" s="19">
        <v>8.1999999999999993</v>
      </c>
      <c r="T68" s="59">
        <v>41331</v>
      </c>
      <c r="U68" s="19">
        <v>2.2000000000000002</v>
      </c>
    </row>
    <row r="69" spans="1:21" x14ac:dyDescent="0.75">
      <c r="A69" s="59">
        <f t="shared" si="0"/>
        <v>41332</v>
      </c>
      <c r="B69" s="19">
        <f t="shared" si="1"/>
        <v>0.2</v>
      </c>
      <c r="C69" s="41">
        <f t="shared" ca="1" si="4"/>
        <v>0.02</v>
      </c>
      <c r="D69" s="41">
        <f ca="1">IF(Energy!$N$3, C69, IF(C69 &gt; 0, MAX(Energy!W69- Energy!N69, 0) / (Energy!I69 + Energy!M69) *C69, 0))</f>
        <v>2.0000000000000014E-2</v>
      </c>
      <c r="E69" s="41" t="b">
        <f ca="1">IF(Main!$C$25="Solar", IF(Energy!W69-Energy!N69&gt;=0, TRUE, FALSE), TRUE)</f>
        <v>1</v>
      </c>
      <c r="F69" s="41">
        <f t="shared" ca="1" si="2"/>
        <v>1.11135511348455E-2</v>
      </c>
      <c r="G69" s="6">
        <f ca="1">IF(A69&gt;=$B$7,IF(E69,IF(H68-$B$6/1000&gt;0,IF($B$6/1000&gt;$B$9*24*60*60,$B$9*24*60*60,$B$6/1000),H68),($B$6/1000)*(-Energy!W69+Energy!N69)/Energy!N69),0)</f>
        <v>0.219</v>
      </c>
      <c r="H69" s="6">
        <f t="shared" ca="1" si="5"/>
        <v>7.874920400355621</v>
      </c>
      <c r="I69" t="str">
        <f t="shared" ca="1" si="3"/>
        <v>Yes</v>
      </c>
      <c r="N69" s="57">
        <v>41697</v>
      </c>
      <c r="O69" s="56">
        <v>0</v>
      </c>
      <c r="P69" s="59">
        <v>42062</v>
      </c>
      <c r="Q69" s="32">
        <v>0.4</v>
      </c>
      <c r="R69" s="59">
        <v>42062</v>
      </c>
      <c r="S69" s="19">
        <v>0</v>
      </c>
      <c r="T69" s="59">
        <v>41332</v>
      </c>
      <c r="U69" s="19">
        <v>0.2</v>
      </c>
    </row>
    <row r="70" spans="1:21" x14ac:dyDescent="0.75">
      <c r="A70" s="59">
        <f t="shared" si="0"/>
        <v>41333</v>
      </c>
      <c r="B70" s="19">
        <f t="shared" si="1"/>
        <v>8.6</v>
      </c>
      <c r="C70" s="41">
        <f t="shared" ca="1" si="4"/>
        <v>0.86</v>
      </c>
      <c r="D70" s="41">
        <f ca="1">IF(Energy!$N$3, C70, IF(C70 &gt; 0, MAX(Energy!W70- Energy!N70, 0) / (Energy!I70 + Energy!M70) *C70, 0))</f>
        <v>0.86</v>
      </c>
      <c r="E70" s="41" t="b">
        <f ca="1">IF(Main!$C$25="Solar", IF(Energy!W70-Energy!N70&gt;=0, TRUE, FALSE), TRUE)</f>
        <v>1</v>
      </c>
      <c r="F70" s="41">
        <f t="shared" ca="1" si="2"/>
        <v>0.47788269879835621</v>
      </c>
      <c r="G70" s="6">
        <f ca="1">IF(A70&gt;=$B$7,IF(E70,IF(H69-$B$6/1000&gt;0,IF($B$6/1000&gt;$B$9*24*60*60,$B$9*24*60*60,$B$6/1000),H69),($B$6/1000)*(-Energy!W70+Energy!N70)/Energy!N70),0)</f>
        <v>0.219</v>
      </c>
      <c r="H70" s="6">
        <f t="shared" ca="1" si="5"/>
        <v>8.5159204003556219</v>
      </c>
      <c r="I70" t="str">
        <f t="shared" ca="1" si="3"/>
        <v>Yes</v>
      </c>
      <c r="N70" s="57">
        <v>41698</v>
      </c>
      <c r="O70" s="56">
        <v>0.4</v>
      </c>
      <c r="P70" s="59">
        <v>42063</v>
      </c>
      <c r="Q70" s="32">
        <v>0</v>
      </c>
      <c r="R70" s="59">
        <v>42063</v>
      </c>
      <c r="S70" s="19">
        <v>0</v>
      </c>
      <c r="T70" s="59">
        <v>41333</v>
      </c>
      <c r="U70" s="19">
        <v>8.6</v>
      </c>
    </row>
    <row r="71" spans="1:21" x14ac:dyDescent="0.75">
      <c r="A71" s="59">
        <f t="shared" si="0"/>
        <v>41334</v>
      </c>
      <c r="B71" s="19">
        <f t="shared" si="1"/>
        <v>20</v>
      </c>
      <c r="C71" s="41">
        <f t="shared" ca="1" si="4"/>
        <v>2</v>
      </c>
      <c r="D71" s="41">
        <f ca="1">IF(Energy!$N$3, C71, IF(C71 &gt; 0, MAX(Energy!W71- Energy!N71, 0) / (Energy!I71 + Energy!M71) *C71, 0))</f>
        <v>1.4521542557987326</v>
      </c>
      <c r="E71" s="41" t="b">
        <f ca="1">IF(Main!$C$25="Solar", IF(Energy!W71-Energy!N71&gt;=0, TRUE, FALSE), TRUE)</f>
        <v>1</v>
      </c>
      <c r="F71" s="41">
        <f t="shared" ca="1" si="2"/>
        <v>0.8069295288751358</v>
      </c>
      <c r="G71" s="6">
        <f ca="1">IF(A71&gt;=$B$7,IF(E71,IF(H70-$B$6/1000&gt;0,IF($B$6/1000&gt;$B$9*24*60*60,$B$9*24*60*60,$B$6/1000),H70),($B$6/1000)*(-Energy!W71+Energy!N71)/Energy!N71),0)</f>
        <v>0.219</v>
      </c>
      <c r="H71" s="6">
        <f t="shared" ca="1" si="5"/>
        <v>9.7490746561543542</v>
      </c>
      <c r="I71" t="str">
        <f t="shared" ca="1" si="3"/>
        <v>Yes</v>
      </c>
      <c r="N71" s="57">
        <v>41699</v>
      </c>
      <c r="O71" s="56">
        <v>2</v>
      </c>
      <c r="P71" s="59">
        <v>42064</v>
      </c>
      <c r="Q71" s="32">
        <v>1.2</v>
      </c>
      <c r="R71" s="59">
        <v>42064</v>
      </c>
      <c r="S71" s="19">
        <v>2.2000000000000002</v>
      </c>
      <c r="T71" s="59">
        <v>41334</v>
      </c>
      <c r="U71" s="19">
        <v>20</v>
      </c>
    </row>
    <row r="72" spans="1:21" x14ac:dyDescent="0.75">
      <c r="A72" s="59">
        <f t="shared" si="0"/>
        <v>41335</v>
      </c>
      <c r="B72" s="19">
        <f t="shared" si="1"/>
        <v>4.4000000000000004</v>
      </c>
      <c r="C72" s="41">
        <f t="shared" ca="1" si="4"/>
        <v>0.44000000000000006</v>
      </c>
      <c r="D72" s="41">
        <f ca="1">IF(Energy!$N$3, C72, IF(C72 &gt; 0, MAX(Energy!W72- Energy!N72, 0) / (Energy!I72 + Energy!M72) *C72, 0))</f>
        <v>0.44000000000000006</v>
      </c>
      <c r="E72" s="41" t="b">
        <f ca="1">IF(Main!$C$25="Solar", IF(Energy!W72-Energy!N72&gt;=0, TRUE, FALSE), TRUE)</f>
        <v>1</v>
      </c>
      <c r="F72" s="41">
        <f t="shared" ca="1" si="2"/>
        <v>0.24449812496660087</v>
      </c>
      <c r="G72" s="6">
        <f ca="1">IF(A72&gt;=$B$7,IF(E72,IF(H71-$B$6/1000&gt;0,IF($B$6/1000&gt;$B$9*24*60*60,$B$9*24*60*60,$B$6/1000),H71),($B$6/1000)*(-Energy!W72+Energy!N72)/Energy!N72),0)</f>
        <v>0.219</v>
      </c>
      <c r="H72" s="6">
        <f t="shared" ca="1" si="5"/>
        <v>9.9700746561543543</v>
      </c>
      <c r="I72" t="str">
        <f t="shared" ca="1" si="3"/>
        <v>Yes</v>
      </c>
      <c r="N72" s="57">
        <v>41700</v>
      </c>
      <c r="O72" s="56">
        <v>19</v>
      </c>
      <c r="P72" s="59">
        <v>42065</v>
      </c>
      <c r="Q72" s="32">
        <v>0</v>
      </c>
      <c r="R72" s="59">
        <v>42065</v>
      </c>
      <c r="S72" s="19">
        <v>0</v>
      </c>
      <c r="T72" s="59">
        <v>41335</v>
      </c>
      <c r="U72" s="19">
        <v>4.4000000000000004</v>
      </c>
    </row>
    <row r="73" spans="1:21" x14ac:dyDescent="0.75">
      <c r="A73" s="59">
        <f t="shared" si="0"/>
        <v>41336</v>
      </c>
      <c r="B73" s="19">
        <f t="shared" si="1"/>
        <v>0</v>
      </c>
      <c r="C73" s="41">
        <f t="shared" ca="1" si="4"/>
        <v>0</v>
      </c>
      <c r="D73" s="41">
        <f ca="1">IF(Energy!$N$3, C73, IF(C73 &gt; 0, MAX(Energy!W73- Energy!N73, 0) / (Energy!I73 + Energy!M73) *C73, 0))</f>
        <v>0</v>
      </c>
      <c r="E73" s="41" t="b">
        <f ca="1">IF(Main!$C$25="Solar", IF(Energy!W73-Energy!N73&gt;=0, TRUE, FALSE), TRUE)</f>
        <v>1</v>
      </c>
      <c r="F73" s="41">
        <f t="shared" ca="1" si="2"/>
        <v>0</v>
      </c>
      <c r="G73" s="6">
        <f ca="1">IF(A73&gt;=$B$7,IF(E73,IF(H72-$B$6/1000&gt;0,IF($B$6/1000&gt;$B$9*24*60*60,$B$9*24*60*60,$B$6/1000),H72),($B$6/1000)*(-Energy!W73+Energy!N73)/Energy!N73),0)</f>
        <v>0.219</v>
      </c>
      <c r="H73" s="6">
        <f t="shared" ca="1" si="5"/>
        <v>9.7510746561543549</v>
      </c>
      <c r="I73" t="str">
        <f t="shared" ca="1" si="3"/>
        <v>Yes</v>
      </c>
      <c r="N73" s="57">
        <v>41701</v>
      </c>
      <c r="O73" s="56">
        <v>1</v>
      </c>
      <c r="P73" s="59">
        <v>42066</v>
      </c>
      <c r="Q73" s="32">
        <v>0</v>
      </c>
      <c r="R73" s="59">
        <v>42066</v>
      </c>
      <c r="S73" s="19">
        <v>0</v>
      </c>
      <c r="T73" s="59">
        <v>41336</v>
      </c>
      <c r="U73" s="19">
        <v>0</v>
      </c>
    </row>
    <row r="74" spans="1:21" x14ac:dyDescent="0.75">
      <c r="A74" s="59">
        <f t="shared" si="0"/>
        <v>41337</v>
      </c>
      <c r="B74" s="19">
        <f t="shared" si="1"/>
        <v>0</v>
      </c>
      <c r="C74" s="41">
        <f t="shared" ca="1" si="4"/>
        <v>0</v>
      </c>
      <c r="D74" s="41">
        <f ca="1">IF(Energy!$N$3, C74, IF(C74 &gt; 0, MAX(Energy!W74- Energy!N74, 0) / (Energy!I74 + Energy!M74) *C74, 0))</f>
        <v>0</v>
      </c>
      <c r="E74" s="41" t="b">
        <f ca="1">IF(Main!$C$25="Solar", IF(Energy!W74-Energy!N74&gt;=0, TRUE, FALSE), TRUE)</f>
        <v>1</v>
      </c>
      <c r="F74" s="41">
        <f t="shared" ca="1" si="2"/>
        <v>0</v>
      </c>
      <c r="G74" s="6">
        <f ca="1">IF(A74&gt;=$B$7,IF(E74,IF(H73-$B$6/1000&gt;0,IF($B$6/1000&gt;$B$9*24*60*60,$B$9*24*60*60,$B$6/1000),H73),($B$6/1000)*(-Energy!W74+Energy!N74)/Energy!N74),0)</f>
        <v>0.219</v>
      </c>
      <c r="H74" s="6">
        <f t="shared" ca="1" si="5"/>
        <v>9.5320746561543555</v>
      </c>
      <c r="I74" t="str">
        <f t="shared" ca="1" si="3"/>
        <v>Yes</v>
      </c>
      <c r="N74" s="57">
        <v>41702</v>
      </c>
      <c r="O74" s="56">
        <v>2.4</v>
      </c>
      <c r="P74" s="59">
        <v>42067</v>
      </c>
      <c r="Q74" s="32">
        <v>0.4</v>
      </c>
      <c r="R74" s="59">
        <v>42067</v>
      </c>
      <c r="S74" s="19">
        <v>0</v>
      </c>
      <c r="T74" s="59">
        <v>41337</v>
      </c>
      <c r="U74" s="19">
        <v>0</v>
      </c>
    </row>
    <row r="75" spans="1:21" x14ac:dyDescent="0.75">
      <c r="A75" s="59">
        <f t="shared" si="0"/>
        <v>41338</v>
      </c>
      <c r="B75" s="19">
        <f t="shared" si="1"/>
        <v>0</v>
      </c>
      <c r="C75" s="41">
        <f t="shared" ca="1" si="4"/>
        <v>0</v>
      </c>
      <c r="D75" s="41">
        <f ca="1">IF(Energy!$N$3, C75, IF(C75 &gt; 0, MAX(Energy!W75- Energy!N75, 0) / (Energy!I75 + Energy!M75) *C75, 0))</f>
        <v>0</v>
      </c>
      <c r="E75" s="41" t="b">
        <f ca="1">IF(Main!$C$25="Solar", IF(Energy!W75-Energy!N75&gt;=0, TRUE, FALSE), TRUE)</f>
        <v>1</v>
      </c>
      <c r="F75" s="41">
        <f t="shared" ca="1" si="2"/>
        <v>0</v>
      </c>
      <c r="G75" s="6">
        <f ca="1">IF(A75&gt;=$B$7,IF(E75,IF(H74-$B$6/1000&gt;0,IF($B$6/1000&gt;$B$9*24*60*60,$B$9*24*60*60,$B$6/1000),H74),($B$6/1000)*(-Energy!W75+Energy!N75)/Energy!N75),0)</f>
        <v>0.219</v>
      </c>
      <c r="H75" s="6">
        <f t="shared" ca="1" si="5"/>
        <v>9.313074656154356</v>
      </c>
      <c r="I75" t="str">
        <f t="shared" ca="1" si="3"/>
        <v>Yes</v>
      </c>
      <c r="N75" s="57">
        <v>41703</v>
      </c>
      <c r="O75" s="56">
        <v>23.8</v>
      </c>
      <c r="P75" s="59">
        <v>42068</v>
      </c>
      <c r="Q75" s="32">
        <v>1.8</v>
      </c>
      <c r="R75" s="59">
        <v>42068</v>
      </c>
      <c r="S75" s="19">
        <v>0</v>
      </c>
      <c r="T75" s="59">
        <v>41338</v>
      </c>
      <c r="U75" s="19">
        <v>0</v>
      </c>
    </row>
    <row r="76" spans="1:21" x14ac:dyDescent="0.75">
      <c r="A76" s="59">
        <f t="shared" ref="A76:A139" si="6">IF($B$10="Station 1 2014", N76, IF($B$10="Station 1 2015", P76, IF($B$10="Station 2 2015", R76, T76)))</f>
        <v>41339</v>
      </c>
      <c r="B76" s="19">
        <f t="shared" ref="B76:B139" si="7">IF($B$10="Station 1 2014", O76, IF($B$10="Station 1 2015", Q76, IF($B$10="Station 2 2015", S76, U76)))</f>
        <v>0</v>
      </c>
      <c r="C76" s="41">
        <f t="shared" ca="1" si="4"/>
        <v>0</v>
      </c>
      <c r="D76" s="41">
        <f ca="1">IF(Energy!$N$3, C76, IF(C76 &gt; 0, MAX(Energy!W76- Energy!N76, 0) / (Energy!I76 + Energy!M76) *C76, 0))</f>
        <v>0</v>
      </c>
      <c r="E76" s="41" t="b">
        <f ca="1">IF(Main!$C$25="Solar", IF(Energy!W76-Energy!N76&gt;=0, TRUE, FALSE), TRUE)</f>
        <v>1</v>
      </c>
      <c r="F76" s="41">
        <f t="shared" ref="F76:F139" ca="1" si="8">D76/($B$8*60*60)</f>
        <v>0</v>
      </c>
      <c r="G76" s="6">
        <f ca="1">IF(A76&gt;=$B$7,IF(E76,IF(H75-$B$6/1000&gt;0,IF($B$6/1000&gt;$B$9*24*60*60,$B$9*24*60*60,$B$6/1000),H75),($B$6/1000)*(-Energy!W76+Energy!N76)/Energy!N76),0)</f>
        <v>0.219</v>
      </c>
      <c r="H76" s="6">
        <f t="shared" ca="1" si="5"/>
        <v>9.0940746561543566</v>
      </c>
      <c r="I76" t="str">
        <f t="shared" ref="I76:I139" ca="1" si="9">IF(A76&gt;=$B$7,IF(G76&gt;=$B$6/1000, IF(E76=TRUE,"Yes","No"),"No"), "Yes")</f>
        <v>Yes</v>
      </c>
      <c r="N76" s="57">
        <v>41704</v>
      </c>
      <c r="O76" s="56">
        <v>8.6</v>
      </c>
      <c r="P76" s="59">
        <v>42069</v>
      </c>
      <c r="Q76" s="32">
        <v>0.8</v>
      </c>
      <c r="R76" s="59">
        <v>42069</v>
      </c>
      <c r="S76" s="19">
        <v>0</v>
      </c>
      <c r="T76" s="59">
        <v>41339</v>
      </c>
      <c r="U76" s="19">
        <v>0</v>
      </c>
    </row>
    <row r="77" spans="1:21" x14ac:dyDescent="0.75">
      <c r="A77" s="59">
        <f t="shared" si="6"/>
        <v>41340</v>
      </c>
      <c r="B77" s="19">
        <f t="shared" si="7"/>
        <v>0</v>
      </c>
      <c r="C77" s="41">
        <f t="shared" ref="C77:C140" ca="1" si="10">IF(IF(B77*$B$2/1000&gt;$B$4, $B$4, B77*$B$2/1000)&gt;$B$8*24*60*60, $B$8*24*60*60, (IF(B77*$B$2/1000&gt;$B$4, $B$4, B77*$B$2/1000)))</f>
        <v>0</v>
      </c>
      <c r="D77" s="41">
        <f ca="1">IF(Energy!$N$3, C77, IF(C77 &gt; 0, MAX(Energy!W77- Energy!N77, 0) / (Energy!I77 + Energy!M77) *C77, 0))</f>
        <v>0</v>
      </c>
      <c r="E77" s="41" t="b">
        <f ca="1">IF(Main!$C$25="Solar", IF(Energy!W77-Energy!N77&gt;=0, TRUE, FALSE), TRUE)</f>
        <v>1</v>
      </c>
      <c r="F77" s="41">
        <f t="shared" ca="1" si="8"/>
        <v>0</v>
      </c>
      <c r="G77" s="6">
        <f ca="1">IF(A77&gt;=$B$7,IF(E77,IF(H76-$B$6/1000&gt;0,IF($B$6/1000&gt;$B$9*24*60*60,$B$9*24*60*60,$B$6/1000),H76),($B$6/1000)*(-Energy!W77+Energy!N77)/Energy!N77),0)</f>
        <v>0.219</v>
      </c>
      <c r="H77" s="6">
        <f t="shared" ref="H77:H140" ca="1" si="11">IF(H76+D77-G77&gt;$B$3, $B$3, IF(H76+D77-G77&lt;0, 0, H76+D77-G77))</f>
        <v>8.8750746561543572</v>
      </c>
      <c r="I77" t="str">
        <f t="shared" ca="1" si="9"/>
        <v>Yes</v>
      </c>
      <c r="N77" s="57">
        <v>41705</v>
      </c>
      <c r="O77" s="56">
        <v>34</v>
      </c>
      <c r="P77" s="59">
        <v>42070</v>
      </c>
      <c r="Q77" s="32">
        <v>0</v>
      </c>
      <c r="R77" s="59">
        <v>42070</v>
      </c>
      <c r="S77" s="19">
        <v>0</v>
      </c>
      <c r="T77" s="59">
        <v>41340</v>
      </c>
      <c r="U77" s="19">
        <v>0</v>
      </c>
    </row>
    <row r="78" spans="1:21" x14ac:dyDescent="0.75">
      <c r="A78" s="59">
        <f t="shared" si="6"/>
        <v>41341</v>
      </c>
      <c r="B78" s="19">
        <f t="shared" si="7"/>
        <v>0</v>
      </c>
      <c r="C78" s="41">
        <f t="shared" ca="1" si="10"/>
        <v>0</v>
      </c>
      <c r="D78" s="41">
        <f ca="1">IF(Energy!$N$3, C78, IF(C78 &gt; 0, MAX(Energy!W78- Energy!N78, 0) / (Energy!I78 + Energy!M78) *C78, 0))</f>
        <v>0</v>
      </c>
      <c r="E78" s="41" t="b">
        <f ca="1">IF(Main!$C$25="Solar", IF(Energy!W78-Energy!N78&gt;=0, TRUE, FALSE), TRUE)</f>
        <v>1</v>
      </c>
      <c r="F78" s="41">
        <f t="shared" ca="1" si="8"/>
        <v>0</v>
      </c>
      <c r="G78" s="6">
        <f ca="1">IF(A78&gt;=$B$7,IF(E78,IF(H77-$B$6/1000&gt;0,IF($B$6/1000&gt;$B$9*24*60*60,$B$9*24*60*60,$B$6/1000),H77),($B$6/1000)*(-Energy!W78+Energy!N78)/Energy!N78),0)</f>
        <v>0.219</v>
      </c>
      <c r="H78" s="6">
        <f t="shared" ca="1" si="11"/>
        <v>8.6560746561543578</v>
      </c>
      <c r="I78" t="str">
        <f t="shared" ca="1" si="9"/>
        <v>Yes</v>
      </c>
      <c r="N78" s="57">
        <v>41706</v>
      </c>
      <c r="O78" s="56">
        <v>52.4</v>
      </c>
      <c r="P78" s="59">
        <v>42071</v>
      </c>
      <c r="Q78" s="32">
        <v>0.4</v>
      </c>
      <c r="R78" s="59">
        <v>42071</v>
      </c>
      <c r="S78" s="19">
        <v>0</v>
      </c>
      <c r="T78" s="59">
        <v>41341</v>
      </c>
      <c r="U78" s="19">
        <v>0</v>
      </c>
    </row>
    <row r="79" spans="1:21" x14ac:dyDescent="0.75">
      <c r="A79" s="59">
        <f t="shared" si="6"/>
        <v>41342</v>
      </c>
      <c r="B79" s="19">
        <f t="shared" si="7"/>
        <v>0.8</v>
      </c>
      <c r="C79" s="41">
        <f t="shared" ca="1" si="10"/>
        <v>0.08</v>
      </c>
      <c r="D79" s="41">
        <f ca="1">IF(Energy!$N$3, C79, IF(C79 &gt; 0, MAX(Energy!W79- Energy!N79, 0) / (Energy!I79 + Energy!M79) *C79, 0))</f>
        <v>7.9999999999999974E-2</v>
      </c>
      <c r="E79" s="41" t="b">
        <f ca="1">IF(Main!$C$25="Solar", IF(Energy!W79-Energy!N79&gt;=0, TRUE, FALSE), TRUE)</f>
        <v>1</v>
      </c>
      <c r="F79" s="41">
        <f t="shared" ca="1" si="8"/>
        <v>4.445420453938196E-2</v>
      </c>
      <c r="G79" s="6">
        <f ca="1">IF(A79&gt;=$B$7,IF(E79,IF(H78-$B$6/1000&gt;0,IF($B$6/1000&gt;$B$9*24*60*60,$B$9*24*60*60,$B$6/1000),H78),($B$6/1000)*(-Energy!W79+Energy!N79)/Energy!N79),0)</f>
        <v>0.219</v>
      </c>
      <c r="H79" s="6">
        <f t="shared" ca="1" si="11"/>
        <v>8.5170746561543584</v>
      </c>
      <c r="I79" t="str">
        <f t="shared" ca="1" si="9"/>
        <v>Yes</v>
      </c>
      <c r="N79" s="57">
        <v>41707</v>
      </c>
      <c r="O79" s="56">
        <v>10.6</v>
      </c>
      <c r="P79" s="59">
        <v>42072</v>
      </c>
      <c r="Q79" s="32">
        <v>0.4</v>
      </c>
      <c r="R79" s="59">
        <v>42072</v>
      </c>
      <c r="S79" s="19">
        <v>0</v>
      </c>
      <c r="T79" s="59">
        <v>41342</v>
      </c>
      <c r="U79" s="19">
        <v>0.8</v>
      </c>
    </row>
    <row r="80" spans="1:21" x14ac:dyDescent="0.75">
      <c r="A80" s="59">
        <f t="shared" si="6"/>
        <v>41343</v>
      </c>
      <c r="B80" s="19">
        <f t="shared" si="7"/>
        <v>0</v>
      </c>
      <c r="C80" s="41">
        <f t="shared" ca="1" si="10"/>
        <v>0</v>
      </c>
      <c r="D80" s="41">
        <f ca="1">IF(Energy!$N$3, C80, IF(C80 &gt; 0, MAX(Energy!W80- Energy!N80, 0) / (Energy!I80 + Energy!M80) *C80, 0))</f>
        <v>0</v>
      </c>
      <c r="E80" s="41" t="b">
        <f ca="1">IF(Main!$C$25="Solar", IF(Energy!W80-Energy!N80&gt;=0, TRUE, FALSE), TRUE)</f>
        <v>1</v>
      </c>
      <c r="F80" s="41">
        <f t="shared" ca="1" si="8"/>
        <v>0</v>
      </c>
      <c r="G80" s="6">
        <f ca="1">IF(A80&gt;=$B$7,IF(E80,IF(H79-$B$6/1000&gt;0,IF($B$6/1000&gt;$B$9*24*60*60,$B$9*24*60*60,$B$6/1000),H79),($B$6/1000)*(-Energy!W80+Energy!N80)/Energy!N80),0)</f>
        <v>0.219</v>
      </c>
      <c r="H80" s="6">
        <f t="shared" ca="1" si="11"/>
        <v>8.298074656154359</v>
      </c>
      <c r="I80" t="str">
        <f t="shared" ca="1" si="9"/>
        <v>Yes</v>
      </c>
      <c r="N80" s="57">
        <v>41708</v>
      </c>
      <c r="O80" s="56">
        <v>2.4</v>
      </c>
      <c r="P80" s="59">
        <v>42073</v>
      </c>
      <c r="Q80" s="32">
        <v>2.8</v>
      </c>
      <c r="R80" s="59">
        <v>42073</v>
      </c>
      <c r="S80" s="19">
        <v>0.8</v>
      </c>
      <c r="T80" s="59">
        <v>41343</v>
      </c>
      <c r="U80" s="19">
        <v>0</v>
      </c>
    </row>
    <row r="81" spans="1:21" x14ac:dyDescent="0.75">
      <c r="A81" s="59">
        <f t="shared" si="6"/>
        <v>41344</v>
      </c>
      <c r="B81" s="19">
        <f t="shared" si="7"/>
        <v>4</v>
      </c>
      <c r="C81" s="41">
        <f t="shared" ca="1" si="10"/>
        <v>0.4</v>
      </c>
      <c r="D81" s="41">
        <f ca="1">IF(Energy!$N$3, C81, IF(C81 &gt; 0, MAX(Energy!W81- Energy!N81, 0) / (Energy!I81 + Energy!M81) *C81, 0))</f>
        <v>0.39999999999999991</v>
      </c>
      <c r="E81" s="41" t="b">
        <f ca="1">IF(Main!$C$25="Solar", IF(Energy!W81-Energy!N81&gt;=0, TRUE, FALSE), TRUE)</f>
        <v>1</v>
      </c>
      <c r="F81" s="41">
        <f t="shared" ca="1" si="8"/>
        <v>0.22227102269690982</v>
      </c>
      <c r="G81" s="6">
        <f ca="1">IF(A81&gt;=$B$7,IF(E81,IF(H80-$B$6/1000&gt;0,IF($B$6/1000&gt;$B$9*24*60*60,$B$9*24*60*60,$B$6/1000),H80),($B$6/1000)*(-Energy!W81+Energy!N81)/Energy!N81),0)</f>
        <v>0.219</v>
      </c>
      <c r="H81" s="6">
        <f t="shared" ca="1" si="11"/>
        <v>8.47907465615436</v>
      </c>
      <c r="I81" t="str">
        <f t="shared" ca="1" si="9"/>
        <v>Yes</v>
      </c>
      <c r="N81" s="57">
        <v>41709</v>
      </c>
      <c r="O81" s="56">
        <v>0</v>
      </c>
      <c r="P81" s="59">
        <v>42074</v>
      </c>
      <c r="Q81" s="32">
        <v>13.6</v>
      </c>
      <c r="R81" s="59">
        <v>42074</v>
      </c>
      <c r="S81" s="19">
        <v>6.4</v>
      </c>
      <c r="T81" s="59">
        <v>41344</v>
      </c>
      <c r="U81" s="19">
        <v>4</v>
      </c>
    </row>
    <row r="82" spans="1:21" x14ac:dyDescent="0.75">
      <c r="A82" s="59">
        <f t="shared" si="6"/>
        <v>41345</v>
      </c>
      <c r="B82" s="19">
        <f t="shared" si="7"/>
        <v>22.8</v>
      </c>
      <c r="C82" s="41">
        <f t="shared" ca="1" si="10"/>
        <v>2.2799999999999998</v>
      </c>
      <c r="D82" s="41">
        <f ca="1">IF(Energy!$N$3, C82, IF(C82 &gt; 0, MAX(Energy!W82- Energy!N82, 0) / (Energy!I82 + Energy!M82) *C82, 0))</f>
        <v>1.596957555730494</v>
      </c>
      <c r="E82" s="41" t="b">
        <f ca="1">IF(Main!$C$25="Solar", IF(Energy!W82-Energy!N82&gt;=0, TRUE, FALSE), TRUE)</f>
        <v>1</v>
      </c>
      <c r="F82" s="41">
        <f t="shared" ca="1" si="8"/>
        <v>0.88739347278943581</v>
      </c>
      <c r="G82" s="6">
        <f ca="1">IF(A82&gt;=$B$7,IF(E82,IF(H81-$B$6/1000&gt;0,IF($B$6/1000&gt;$B$9*24*60*60,$B$9*24*60*60,$B$6/1000),H81),($B$6/1000)*(-Energy!W82+Energy!N82)/Energy!N82),0)</f>
        <v>0.219</v>
      </c>
      <c r="H82" s="6">
        <f t="shared" ca="1" si="11"/>
        <v>9.8570322118848548</v>
      </c>
      <c r="I82" t="str">
        <f t="shared" ca="1" si="9"/>
        <v>Yes</v>
      </c>
      <c r="N82" s="57">
        <v>41710</v>
      </c>
      <c r="O82" s="56">
        <v>2.8</v>
      </c>
      <c r="P82" s="59">
        <v>42075</v>
      </c>
      <c r="Q82" s="32">
        <v>8.6</v>
      </c>
      <c r="R82" s="59">
        <v>42075</v>
      </c>
      <c r="S82" s="19">
        <v>0.8</v>
      </c>
      <c r="T82" s="59">
        <v>41345</v>
      </c>
      <c r="U82" s="19">
        <v>22.8</v>
      </c>
    </row>
    <row r="83" spans="1:21" x14ac:dyDescent="0.75">
      <c r="A83" s="59">
        <f t="shared" si="6"/>
        <v>41346</v>
      </c>
      <c r="B83" s="19">
        <f t="shared" si="7"/>
        <v>25.2</v>
      </c>
      <c r="C83" s="41">
        <f t="shared" ca="1" si="10"/>
        <v>2.5</v>
      </c>
      <c r="D83" s="41">
        <f ca="1">IF(Energy!$N$3, C83, IF(C83 &gt; 0, MAX(Energy!W83- Energy!N83, 0) / (Energy!I83 + Energy!M83) *C83, 0))</f>
        <v>0.92008074705636167</v>
      </c>
      <c r="E83" s="41" t="b">
        <f ca="1">IF(Main!$C$25="Solar", IF(Energy!W83-Energy!N83&gt;=0, TRUE, FALSE), TRUE)</f>
        <v>1</v>
      </c>
      <c r="F83" s="41">
        <f t="shared" ca="1" si="8"/>
        <v>0.51126822152988582</v>
      </c>
      <c r="G83" s="6">
        <f ca="1">IF(A83&gt;=$B$7,IF(E83,IF(H82-$B$6/1000&gt;0,IF($B$6/1000&gt;$B$9*24*60*60,$B$9*24*60*60,$B$6/1000),H82),($B$6/1000)*(-Energy!W83+Energy!N83)/Energy!N83),0)</f>
        <v>0.219</v>
      </c>
      <c r="H83" s="6">
        <f t="shared" ca="1" si="11"/>
        <v>10.558112958941217</v>
      </c>
      <c r="I83" t="str">
        <f t="shared" ca="1" si="9"/>
        <v>Yes</v>
      </c>
      <c r="N83" s="57">
        <v>41711</v>
      </c>
      <c r="O83" s="56">
        <v>20.2</v>
      </c>
      <c r="P83" s="59">
        <v>42076</v>
      </c>
      <c r="Q83" s="32">
        <v>17.399999999999999</v>
      </c>
      <c r="R83" s="59">
        <v>42076</v>
      </c>
      <c r="S83" s="19">
        <v>8.4</v>
      </c>
      <c r="T83" s="59">
        <v>41346</v>
      </c>
      <c r="U83" s="19">
        <v>25.2</v>
      </c>
    </row>
    <row r="84" spans="1:21" x14ac:dyDescent="0.75">
      <c r="A84" s="59">
        <f t="shared" si="6"/>
        <v>41347</v>
      </c>
      <c r="B84" s="19">
        <f t="shared" si="7"/>
        <v>5.6</v>
      </c>
      <c r="C84" s="41">
        <f t="shared" ca="1" si="10"/>
        <v>0.56000000000000005</v>
      </c>
      <c r="D84" s="41">
        <f ca="1">IF(Energy!$N$3, C84, IF(C84 &gt; 0, MAX(Energy!W84- Energy!N84, 0) / (Energy!I84 + Energy!M84) *C84, 0))</f>
        <v>0.55999999999999994</v>
      </c>
      <c r="E84" s="41" t="b">
        <f ca="1">IF(Main!$C$25="Solar", IF(Energy!W84-Energy!N84&gt;=0, TRUE, FALSE), TRUE)</f>
        <v>1</v>
      </c>
      <c r="F84" s="41">
        <f t="shared" ca="1" si="8"/>
        <v>0.31117943177567375</v>
      </c>
      <c r="G84" s="6">
        <f ca="1">IF(A84&gt;=$B$7,IF(E84,IF(H83-$B$6/1000&gt;0,IF($B$6/1000&gt;$B$9*24*60*60,$B$9*24*60*60,$B$6/1000),H83),($B$6/1000)*(-Energy!W84+Energy!N84)/Energy!N84),0)</f>
        <v>0.219</v>
      </c>
      <c r="H84" s="6">
        <f t="shared" ca="1" si="11"/>
        <v>10.899112958941219</v>
      </c>
      <c r="I84" t="str">
        <f t="shared" ca="1" si="9"/>
        <v>Yes</v>
      </c>
      <c r="N84" s="57">
        <v>41712</v>
      </c>
      <c r="O84" s="56">
        <v>13.8</v>
      </c>
      <c r="P84" s="59">
        <v>42077</v>
      </c>
      <c r="Q84" s="32">
        <v>0.6</v>
      </c>
      <c r="R84" s="59">
        <v>42077</v>
      </c>
      <c r="S84" s="19">
        <v>1</v>
      </c>
      <c r="T84" s="59">
        <v>41347</v>
      </c>
      <c r="U84" s="19">
        <v>5.6</v>
      </c>
    </row>
    <row r="85" spans="1:21" x14ac:dyDescent="0.75">
      <c r="A85" s="59">
        <f t="shared" si="6"/>
        <v>41348</v>
      </c>
      <c r="B85" s="19">
        <f t="shared" si="7"/>
        <v>1.4</v>
      </c>
      <c r="C85" s="41">
        <f t="shared" ca="1" si="10"/>
        <v>0.14000000000000001</v>
      </c>
      <c r="D85" s="41">
        <f ca="1">IF(Energy!$N$3, C85, IF(C85 &gt; 0, MAX(Energy!W85- Energy!N85, 0) / (Energy!I85 + Energy!M85) *C85, 0))</f>
        <v>0.13999999999999999</v>
      </c>
      <c r="E85" s="41" t="b">
        <f ca="1">IF(Main!$C$25="Solar", IF(Energy!W85-Energy!N85&gt;=0, TRUE, FALSE), TRUE)</f>
        <v>1</v>
      </c>
      <c r="F85" s="41">
        <f t="shared" ca="1" si="8"/>
        <v>7.7794857943918438E-2</v>
      </c>
      <c r="G85" s="6">
        <f ca="1">IF(A85&gt;=$B$7,IF(E85,IF(H84-$B$6/1000&gt;0,IF($B$6/1000&gt;$B$9*24*60*60,$B$9*24*60*60,$B$6/1000),H84),($B$6/1000)*(-Energy!W85+Energy!N85)/Energy!N85),0)</f>
        <v>0.219</v>
      </c>
      <c r="H85" s="6">
        <f t="shared" ca="1" si="11"/>
        <v>10.82011295894122</v>
      </c>
      <c r="I85" t="str">
        <f t="shared" ca="1" si="9"/>
        <v>Yes</v>
      </c>
      <c r="N85" s="57">
        <v>41713</v>
      </c>
      <c r="O85" s="56">
        <v>22.8</v>
      </c>
      <c r="P85" s="59">
        <v>42078</v>
      </c>
      <c r="Q85" s="32">
        <v>0</v>
      </c>
      <c r="R85" s="59">
        <v>42078</v>
      </c>
      <c r="S85" s="19">
        <v>0</v>
      </c>
      <c r="T85" s="59">
        <v>41348</v>
      </c>
      <c r="U85" s="19">
        <v>1.4</v>
      </c>
    </row>
    <row r="86" spans="1:21" x14ac:dyDescent="0.75">
      <c r="A86" s="59">
        <f t="shared" si="6"/>
        <v>41349</v>
      </c>
      <c r="B86" s="19">
        <f t="shared" si="7"/>
        <v>0</v>
      </c>
      <c r="C86" s="41">
        <f t="shared" ca="1" si="10"/>
        <v>0</v>
      </c>
      <c r="D86" s="41">
        <f ca="1">IF(Energy!$N$3, C86, IF(C86 &gt; 0, MAX(Energy!W86- Energy!N86, 0) / (Energy!I86 + Energy!M86) *C86, 0))</f>
        <v>0</v>
      </c>
      <c r="E86" s="41" t="b">
        <f ca="1">IF(Main!$C$25="Solar", IF(Energy!W86-Energy!N86&gt;=0, TRUE, FALSE), TRUE)</f>
        <v>1</v>
      </c>
      <c r="F86" s="41">
        <f t="shared" ca="1" si="8"/>
        <v>0</v>
      </c>
      <c r="G86" s="6">
        <f ca="1">IF(A86&gt;=$B$7,IF(E86,IF(H85-$B$6/1000&gt;0,IF($B$6/1000&gt;$B$9*24*60*60,$B$9*24*60*60,$B$6/1000),H85),($B$6/1000)*(-Energy!W86+Energy!N86)/Energy!N86),0)</f>
        <v>0.219</v>
      </c>
      <c r="H86" s="6">
        <f t="shared" ca="1" si="11"/>
        <v>10.60111295894122</v>
      </c>
      <c r="I86" t="str">
        <f t="shared" ca="1" si="9"/>
        <v>Yes</v>
      </c>
      <c r="N86" s="57">
        <v>41714</v>
      </c>
      <c r="O86" s="56">
        <v>5.4</v>
      </c>
      <c r="P86" s="59">
        <v>42079</v>
      </c>
      <c r="Q86" s="32">
        <v>0</v>
      </c>
      <c r="R86" s="59">
        <v>42079</v>
      </c>
      <c r="S86" s="19">
        <v>0</v>
      </c>
      <c r="T86" s="59">
        <v>41349</v>
      </c>
      <c r="U86" s="19">
        <v>0</v>
      </c>
    </row>
    <row r="87" spans="1:21" x14ac:dyDescent="0.75">
      <c r="A87" s="59">
        <f t="shared" si="6"/>
        <v>41350</v>
      </c>
      <c r="B87" s="19">
        <f t="shared" si="7"/>
        <v>1.8</v>
      </c>
      <c r="C87" s="41">
        <f t="shared" ca="1" si="10"/>
        <v>0.18</v>
      </c>
      <c r="D87" s="41">
        <f ca="1">IF(Energy!$N$3, C87, IF(C87 &gt; 0, MAX(Energy!W87- Energy!N87, 0) / (Energy!I87 + Energy!M87) *C87, 0))</f>
        <v>0.17999999999999997</v>
      </c>
      <c r="E87" s="41" t="b">
        <f ca="1">IF(Main!$C$25="Solar", IF(Energy!W87-Energy!N87&gt;=0, TRUE, FALSE), TRUE)</f>
        <v>1</v>
      </c>
      <c r="F87" s="41">
        <f t="shared" ca="1" si="8"/>
        <v>0.10002196021360941</v>
      </c>
      <c r="G87" s="6">
        <f ca="1">IF(A87&gt;=$B$7,IF(E87,IF(H86-$B$6/1000&gt;0,IF($B$6/1000&gt;$B$9*24*60*60,$B$9*24*60*60,$B$6/1000),H86),($B$6/1000)*(-Energy!W87+Energy!N87)/Energy!N87),0)</f>
        <v>0.219</v>
      </c>
      <c r="H87" s="6">
        <f t="shared" ca="1" si="11"/>
        <v>10.562112958941221</v>
      </c>
      <c r="I87" t="str">
        <f t="shared" ca="1" si="9"/>
        <v>Yes</v>
      </c>
      <c r="N87" s="57">
        <v>41715</v>
      </c>
      <c r="O87" s="56">
        <v>0.4</v>
      </c>
      <c r="P87" s="59">
        <v>42080</v>
      </c>
      <c r="Q87" s="32">
        <v>0</v>
      </c>
      <c r="R87" s="59">
        <v>42080</v>
      </c>
      <c r="S87" s="19">
        <v>0</v>
      </c>
      <c r="T87" s="59">
        <v>41350</v>
      </c>
      <c r="U87" s="19">
        <v>1.8</v>
      </c>
    </row>
    <row r="88" spans="1:21" x14ac:dyDescent="0.75">
      <c r="A88" s="59">
        <f t="shared" si="6"/>
        <v>41351</v>
      </c>
      <c r="B88" s="19">
        <f t="shared" si="7"/>
        <v>0</v>
      </c>
      <c r="C88" s="41">
        <f t="shared" ca="1" si="10"/>
        <v>0</v>
      </c>
      <c r="D88" s="41">
        <f ca="1">IF(Energy!$N$3, C88, IF(C88 &gt; 0, MAX(Energy!W88- Energy!N88, 0) / (Energy!I88 + Energy!M88) *C88, 0))</f>
        <v>0</v>
      </c>
      <c r="E88" s="41" t="b">
        <f ca="1">IF(Main!$C$25="Solar", IF(Energy!W88-Energy!N88&gt;=0, TRUE, FALSE), TRUE)</f>
        <v>1</v>
      </c>
      <c r="F88" s="41">
        <f t="shared" ca="1" si="8"/>
        <v>0</v>
      </c>
      <c r="G88" s="6">
        <f ca="1">IF(A88&gt;=$B$7,IF(E88,IF(H87-$B$6/1000&gt;0,IF($B$6/1000&gt;$B$9*24*60*60,$B$9*24*60*60,$B$6/1000),H87),($B$6/1000)*(-Energy!W88+Energy!N88)/Energy!N88),0)</f>
        <v>0.219</v>
      </c>
      <c r="H88" s="6">
        <f t="shared" ca="1" si="11"/>
        <v>10.343112958941221</v>
      </c>
      <c r="I88" t="str">
        <f t="shared" ca="1" si="9"/>
        <v>Yes</v>
      </c>
      <c r="N88" s="57">
        <v>41716</v>
      </c>
      <c r="O88" s="56">
        <v>31</v>
      </c>
      <c r="P88" s="59">
        <v>42081</v>
      </c>
      <c r="Q88" s="32">
        <v>31</v>
      </c>
      <c r="R88" s="59">
        <v>42081</v>
      </c>
      <c r="S88" s="19">
        <v>7.4</v>
      </c>
      <c r="T88" s="59">
        <v>41351</v>
      </c>
      <c r="U88" s="19">
        <v>0</v>
      </c>
    </row>
    <row r="89" spans="1:21" x14ac:dyDescent="0.75">
      <c r="A89" s="59">
        <f t="shared" si="6"/>
        <v>41352</v>
      </c>
      <c r="B89" s="19">
        <f t="shared" si="7"/>
        <v>7.6</v>
      </c>
      <c r="C89" s="41">
        <f t="shared" ca="1" si="10"/>
        <v>0.76</v>
      </c>
      <c r="D89" s="41">
        <f ca="1">IF(Energy!$N$3, C89, IF(C89 &gt; 0, MAX(Energy!W89- Energy!N89, 0) / (Energy!I89 + Energy!M89) *C89, 0))</f>
        <v>0.76</v>
      </c>
      <c r="E89" s="41" t="b">
        <f ca="1">IF(Main!$C$25="Solar", IF(Energy!W89-Energy!N89&gt;=0, TRUE, FALSE), TRUE)</f>
        <v>1</v>
      </c>
      <c r="F89" s="41">
        <f t="shared" ca="1" si="8"/>
        <v>0.42231494312412876</v>
      </c>
      <c r="G89" s="6">
        <f ca="1">IF(A89&gt;=$B$7,IF(E89,IF(H88-$B$6/1000&gt;0,IF($B$6/1000&gt;$B$9*24*60*60,$B$9*24*60*60,$B$6/1000),H88),($B$6/1000)*(-Energy!W89+Energy!N89)/Energy!N89),0)</f>
        <v>0.219</v>
      </c>
      <c r="H89" s="6">
        <f t="shared" ca="1" si="11"/>
        <v>10.884112958941222</v>
      </c>
      <c r="I89" t="str">
        <f t="shared" ca="1" si="9"/>
        <v>Yes</v>
      </c>
      <c r="N89" s="57">
        <v>41717</v>
      </c>
      <c r="O89" s="56">
        <v>1.6</v>
      </c>
      <c r="P89" s="59">
        <v>42082</v>
      </c>
      <c r="Q89" s="32">
        <v>35.4</v>
      </c>
      <c r="R89" s="59">
        <v>42082</v>
      </c>
      <c r="S89" s="19">
        <v>10</v>
      </c>
      <c r="T89" s="59">
        <v>41352</v>
      </c>
      <c r="U89" s="19">
        <v>7.6</v>
      </c>
    </row>
    <row r="90" spans="1:21" x14ac:dyDescent="0.75">
      <c r="A90" s="59">
        <f t="shared" si="6"/>
        <v>41353</v>
      </c>
      <c r="B90" s="19">
        <f t="shared" si="7"/>
        <v>3</v>
      </c>
      <c r="C90" s="41">
        <f t="shared" ca="1" si="10"/>
        <v>0.3</v>
      </c>
      <c r="D90" s="41">
        <f ca="1">IF(Energy!$N$3, C90, IF(C90 &gt; 0, MAX(Energy!W90- Energy!N90, 0) / (Energy!I90 + Energy!M90) *C90, 0))</f>
        <v>0.30000000000000004</v>
      </c>
      <c r="E90" s="41" t="b">
        <f ca="1">IF(Main!$C$25="Solar", IF(Energy!W90-Energy!N90&gt;=0, TRUE, FALSE), TRUE)</f>
        <v>1</v>
      </c>
      <c r="F90" s="41">
        <f t="shared" ca="1" si="8"/>
        <v>0.16670326702268243</v>
      </c>
      <c r="G90" s="6">
        <f ca="1">IF(A90&gt;=$B$7,IF(E90,IF(H89-$B$6/1000&gt;0,IF($B$6/1000&gt;$B$9*24*60*60,$B$9*24*60*60,$B$6/1000),H89),($B$6/1000)*(-Energy!W90+Energy!N90)/Energy!N90),0)</f>
        <v>0.219</v>
      </c>
      <c r="H90" s="6">
        <f t="shared" ca="1" si="11"/>
        <v>10.965112958941223</v>
      </c>
      <c r="I90" t="str">
        <f t="shared" ca="1" si="9"/>
        <v>Yes</v>
      </c>
      <c r="N90" s="57">
        <v>41718</v>
      </c>
      <c r="O90" s="56">
        <v>1.6</v>
      </c>
      <c r="P90" s="59">
        <v>42083</v>
      </c>
      <c r="Q90" s="32">
        <v>28.6</v>
      </c>
      <c r="R90" s="59">
        <v>42083</v>
      </c>
      <c r="S90" s="19">
        <v>15.2</v>
      </c>
      <c r="T90" s="59">
        <v>41353</v>
      </c>
      <c r="U90" s="19">
        <v>3</v>
      </c>
    </row>
    <row r="91" spans="1:21" x14ac:dyDescent="0.75">
      <c r="A91" s="59">
        <f t="shared" si="6"/>
        <v>41354</v>
      </c>
      <c r="B91" s="19">
        <f t="shared" si="7"/>
        <v>0</v>
      </c>
      <c r="C91" s="41">
        <f t="shared" ca="1" si="10"/>
        <v>0</v>
      </c>
      <c r="D91" s="41">
        <f ca="1">IF(Energy!$N$3, C91, IF(C91 &gt; 0, MAX(Energy!W91- Energy!N91, 0) / (Energy!I91 + Energy!M91) *C91, 0))</f>
        <v>0</v>
      </c>
      <c r="E91" s="41" t="b">
        <f ca="1">IF(Main!$C$25="Solar", IF(Energy!W91-Energy!N91&gt;=0, TRUE, FALSE), TRUE)</f>
        <v>1</v>
      </c>
      <c r="F91" s="41">
        <f t="shared" ca="1" si="8"/>
        <v>0</v>
      </c>
      <c r="G91" s="6">
        <f ca="1">IF(A91&gt;=$B$7,IF(E91,IF(H90-$B$6/1000&gt;0,IF($B$6/1000&gt;$B$9*24*60*60,$B$9*24*60*60,$B$6/1000),H90),($B$6/1000)*(-Energy!W91+Energy!N91)/Energy!N91),0)</f>
        <v>0.219</v>
      </c>
      <c r="H91" s="6">
        <f t="shared" ca="1" si="11"/>
        <v>10.746112958941223</v>
      </c>
      <c r="I91" t="str">
        <f t="shared" ca="1" si="9"/>
        <v>Yes</v>
      </c>
      <c r="N91" s="57">
        <v>41719</v>
      </c>
      <c r="O91" s="56">
        <v>7.6</v>
      </c>
      <c r="P91" s="59">
        <v>42084</v>
      </c>
      <c r="Q91" s="32">
        <v>0</v>
      </c>
      <c r="R91" s="59">
        <v>42084</v>
      </c>
      <c r="S91" s="19">
        <v>0.2</v>
      </c>
      <c r="T91" s="59">
        <v>41354</v>
      </c>
      <c r="U91" s="19">
        <v>0</v>
      </c>
    </row>
    <row r="92" spans="1:21" x14ac:dyDescent="0.75">
      <c r="A92" s="59">
        <f t="shared" si="6"/>
        <v>41355</v>
      </c>
      <c r="B92" s="19">
        <f t="shared" si="7"/>
        <v>0</v>
      </c>
      <c r="C92" s="41">
        <f t="shared" ca="1" si="10"/>
        <v>0</v>
      </c>
      <c r="D92" s="41">
        <f ca="1">IF(Energy!$N$3, C92, IF(C92 &gt; 0, MAX(Energy!W92- Energy!N92, 0) / (Energy!I92 + Energy!M92) *C92, 0))</f>
        <v>0</v>
      </c>
      <c r="E92" s="41" t="b">
        <f ca="1">IF(Main!$C$25="Solar", IF(Energy!W92-Energy!N92&gt;=0, TRUE, FALSE), TRUE)</f>
        <v>1</v>
      </c>
      <c r="F92" s="41">
        <f t="shared" ca="1" si="8"/>
        <v>0</v>
      </c>
      <c r="G92" s="6">
        <f ca="1">IF(A92&gt;=$B$7,IF(E92,IF(H91-$B$6/1000&gt;0,IF($B$6/1000&gt;$B$9*24*60*60,$B$9*24*60*60,$B$6/1000),H91),($B$6/1000)*(-Energy!W92+Energy!N92)/Energy!N92),0)</f>
        <v>0.219</v>
      </c>
      <c r="H92" s="6">
        <f t="shared" ca="1" si="11"/>
        <v>10.527112958941224</v>
      </c>
      <c r="I92" t="str">
        <f t="shared" ca="1" si="9"/>
        <v>Yes</v>
      </c>
      <c r="N92" s="57">
        <v>41720</v>
      </c>
      <c r="O92" s="56">
        <v>2.6</v>
      </c>
      <c r="P92" s="59">
        <v>42085</v>
      </c>
      <c r="Q92" s="32">
        <v>7</v>
      </c>
      <c r="R92" s="59">
        <v>42085</v>
      </c>
      <c r="S92" s="19">
        <v>4.4000000000000004</v>
      </c>
      <c r="T92" s="59">
        <v>41355</v>
      </c>
      <c r="U92" s="19">
        <v>0</v>
      </c>
    </row>
    <row r="93" spans="1:21" x14ac:dyDescent="0.75">
      <c r="A93" s="59">
        <f t="shared" si="6"/>
        <v>41356</v>
      </c>
      <c r="B93" s="19">
        <f t="shared" si="7"/>
        <v>0</v>
      </c>
      <c r="C93" s="41">
        <f t="shared" ca="1" si="10"/>
        <v>0</v>
      </c>
      <c r="D93" s="41">
        <f ca="1">IF(Energy!$N$3, C93, IF(C93 &gt; 0, MAX(Energy!W93- Energy!N93, 0) / (Energy!I93 + Energy!M93) *C93, 0))</f>
        <v>0</v>
      </c>
      <c r="E93" s="41" t="b">
        <f ca="1">IF(Main!$C$25="Solar", IF(Energy!W93-Energy!N93&gt;=0, TRUE, FALSE), TRUE)</f>
        <v>1</v>
      </c>
      <c r="F93" s="41">
        <f t="shared" ca="1" si="8"/>
        <v>0</v>
      </c>
      <c r="G93" s="6">
        <f ca="1">IF(A93&gt;=$B$7,IF(E93,IF(H92-$B$6/1000&gt;0,IF($B$6/1000&gt;$B$9*24*60*60,$B$9*24*60*60,$B$6/1000),H92),($B$6/1000)*(-Energy!W93+Energy!N93)/Energy!N93),0)</f>
        <v>0.219</v>
      </c>
      <c r="H93" s="6">
        <f t="shared" ca="1" si="11"/>
        <v>10.308112958941225</v>
      </c>
      <c r="I93" t="str">
        <f t="shared" ca="1" si="9"/>
        <v>Yes</v>
      </c>
      <c r="N93" s="57">
        <v>41721</v>
      </c>
      <c r="O93" s="56">
        <v>0</v>
      </c>
      <c r="P93" s="59">
        <v>42086</v>
      </c>
      <c r="Q93" s="32">
        <v>9.6</v>
      </c>
      <c r="R93" s="59">
        <v>42086</v>
      </c>
      <c r="S93" s="19">
        <v>8.1999999999999993</v>
      </c>
      <c r="T93" s="59">
        <v>41356</v>
      </c>
      <c r="U93" s="19">
        <v>0</v>
      </c>
    </row>
    <row r="94" spans="1:21" x14ac:dyDescent="0.75">
      <c r="A94" s="59">
        <f t="shared" si="6"/>
        <v>41357</v>
      </c>
      <c r="B94" s="19">
        <f t="shared" si="7"/>
        <v>0</v>
      </c>
      <c r="C94" s="41">
        <f t="shared" ca="1" si="10"/>
        <v>0</v>
      </c>
      <c r="D94" s="41">
        <f ca="1">IF(Energy!$N$3, C94, IF(C94 &gt; 0, MAX(Energy!W94- Energy!N94, 0) / (Energy!I94 + Energy!M94) *C94, 0))</f>
        <v>0</v>
      </c>
      <c r="E94" s="41" t="b">
        <f ca="1">IF(Main!$C$25="Solar", IF(Energy!W94-Energy!N94&gt;=0, TRUE, FALSE), TRUE)</f>
        <v>1</v>
      </c>
      <c r="F94" s="41">
        <f t="shared" ca="1" si="8"/>
        <v>0</v>
      </c>
      <c r="G94" s="6">
        <f ca="1">IF(A94&gt;=$B$7,IF(E94,IF(H93-$B$6/1000&gt;0,IF($B$6/1000&gt;$B$9*24*60*60,$B$9*24*60*60,$B$6/1000),H93),($B$6/1000)*(-Energy!W94+Energy!N94)/Energy!N94),0)</f>
        <v>0.219</v>
      </c>
      <c r="H94" s="6">
        <f t="shared" ca="1" si="11"/>
        <v>10.089112958941225</v>
      </c>
      <c r="I94" t="str">
        <f t="shared" ca="1" si="9"/>
        <v>Yes</v>
      </c>
      <c r="N94" s="57">
        <v>41722</v>
      </c>
      <c r="O94" s="56">
        <v>4</v>
      </c>
      <c r="P94" s="59">
        <v>42087</v>
      </c>
      <c r="Q94" s="32">
        <v>18.2</v>
      </c>
      <c r="R94" s="59">
        <v>42087</v>
      </c>
      <c r="S94" s="19">
        <v>11.8</v>
      </c>
      <c r="T94" s="59">
        <v>41357</v>
      </c>
      <c r="U94" s="19">
        <v>0</v>
      </c>
    </row>
    <row r="95" spans="1:21" x14ac:dyDescent="0.75">
      <c r="A95" s="59">
        <f t="shared" si="6"/>
        <v>41358</v>
      </c>
      <c r="B95" s="19">
        <f t="shared" si="7"/>
        <v>0.4</v>
      </c>
      <c r="C95" s="41">
        <f t="shared" ca="1" si="10"/>
        <v>0.04</v>
      </c>
      <c r="D95" s="41">
        <f ca="1">IF(Energy!$N$3, C95, IF(C95 &gt; 0, MAX(Energy!W95- Energy!N95, 0) / (Energy!I95 + Energy!M95) *C95, 0))</f>
        <v>4.0000000000000029E-2</v>
      </c>
      <c r="E95" s="41" t="b">
        <f ca="1">IF(Main!$C$25="Solar", IF(Energy!W95-Energy!N95&gt;=0, TRUE, FALSE), TRUE)</f>
        <v>1</v>
      </c>
      <c r="F95" s="41">
        <f t="shared" ca="1" si="8"/>
        <v>2.2227102269691001E-2</v>
      </c>
      <c r="G95" s="6">
        <f ca="1">IF(A95&gt;=$B$7,IF(E95,IF(H94-$B$6/1000&gt;0,IF($B$6/1000&gt;$B$9*24*60*60,$B$9*24*60*60,$B$6/1000),H94),($B$6/1000)*(-Energy!W95+Energy!N95)/Energy!N95),0)</f>
        <v>0.219</v>
      </c>
      <c r="H95" s="6">
        <f t="shared" ca="1" si="11"/>
        <v>9.9101129589412249</v>
      </c>
      <c r="I95" t="str">
        <f t="shared" ca="1" si="9"/>
        <v>Yes</v>
      </c>
      <c r="N95" s="57">
        <v>41723</v>
      </c>
      <c r="O95" s="56">
        <v>31</v>
      </c>
      <c r="P95" s="59">
        <v>42088</v>
      </c>
      <c r="Q95" s="32">
        <v>104.4</v>
      </c>
      <c r="R95" s="59">
        <v>42088</v>
      </c>
      <c r="S95" s="19">
        <v>5.4</v>
      </c>
      <c r="T95" s="59">
        <v>41358</v>
      </c>
      <c r="U95" s="19">
        <v>0.4</v>
      </c>
    </row>
    <row r="96" spans="1:21" x14ac:dyDescent="0.75">
      <c r="A96" s="59">
        <f t="shared" si="6"/>
        <v>41359</v>
      </c>
      <c r="B96" s="19">
        <f t="shared" si="7"/>
        <v>0.8</v>
      </c>
      <c r="C96" s="41">
        <f t="shared" ca="1" si="10"/>
        <v>0.08</v>
      </c>
      <c r="D96" s="41">
        <f ca="1">IF(Energy!$N$3, C96, IF(C96 &gt; 0, MAX(Energy!W96- Energy!N96, 0) / (Energy!I96 + Energy!M96) *C96, 0))</f>
        <v>7.9999999999999974E-2</v>
      </c>
      <c r="E96" s="41" t="b">
        <f ca="1">IF(Main!$C$25="Solar", IF(Energy!W96-Energy!N96&gt;=0, TRUE, FALSE), TRUE)</f>
        <v>1</v>
      </c>
      <c r="F96" s="41">
        <f t="shared" ca="1" si="8"/>
        <v>4.445420453938196E-2</v>
      </c>
      <c r="G96" s="6">
        <f ca="1">IF(A96&gt;=$B$7,IF(E96,IF(H95-$B$6/1000&gt;0,IF($B$6/1000&gt;$B$9*24*60*60,$B$9*24*60*60,$B$6/1000),H95),($B$6/1000)*(-Energy!W96+Energy!N96)/Energy!N96),0)</f>
        <v>0.219</v>
      </c>
      <c r="H96" s="6">
        <f t="shared" ca="1" si="11"/>
        <v>9.7711129589412256</v>
      </c>
      <c r="I96" t="str">
        <f t="shared" ca="1" si="9"/>
        <v>Yes</v>
      </c>
      <c r="N96" s="57">
        <v>41724</v>
      </c>
      <c r="O96" s="56">
        <v>0.2</v>
      </c>
      <c r="P96" s="59">
        <v>42089</v>
      </c>
      <c r="Q96" s="32">
        <v>33.200000000000003</v>
      </c>
      <c r="R96" s="59">
        <v>42089</v>
      </c>
      <c r="S96" s="19">
        <v>0</v>
      </c>
      <c r="T96" s="59">
        <v>41359</v>
      </c>
      <c r="U96" s="19">
        <v>0.8</v>
      </c>
    </row>
    <row r="97" spans="1:21" x14ac:dyDescent="0.75">
      <c r="A97" s="59">
        <f t="shared" si="6"/>
        <v>41360</v>
      </c>
      <c r="B97" s="19">
        <f t="shared" si="7"/>
        <v>0</v>
      </c>
      <c r="C97" s="41">
        <f t="shared" ca="1" si="10"/>
        <v>0</v>
      </c>
      <c r="D97" s="41">
        <f ca="1">IF(Energy!$N$3, C97, IF(C97 &gt; 0, MAX(Energy!W97- Energy!N97, 0) / (Energy!I97 + Energy!M97) *C97, 0))</f>
        <v>0</v>
      </c>
      <c r="E97" s="41" t="b">
        <f ca="1">IF(Main!$C$25="Solar", IF(Energy!W97-Energy!N97&gt;=0, TRUE, FALSE), TRUE)</f>
        <v>1</v>
      </c>
      <c r="F97" s="41">
        <f t="shared" ca="1" si="8"/>
        <v>0</v>
      </c>
      <c r="G97" s="6">
        <f ca="1">IF(A97&gt;=$B$7,IF(E97,IF(H96-$B$6/1000&gt;0,IF($B$6/1000&gt;$B$9*24*60*60,$B$9*24*60*60,$B$6/1000),H96),($B$6/1000)*(-Energy!W97+Energy!N97)/Energy!N97),0)</f>
        <v>0.219</v>
      </c>
      <c r="H97" s="6">
        <f t="shared" ca="1" si="11"/>
        <v>9.5521129589412261</v>
      </c>
      <c r="I97" t="str">
        <f t="shared" ca="1" si="9"/>
        <v>Yes</v>
      </c>
      <c r="N97" s="57">
        <v>41725</v>
      </c>
      <c r="O97" s="56">
        <v>4.4000000000000004</v>
      </c>
      <c r="P97" s="59">
        <v>42090</v>
      </c>
      <c r="Q97" s="32">
        <v>26.2</v>
      </c>
      <c r="R97" s="59">
        <v>42090</v>
      </c>
      <c r="S97" s="19">
        <v>12.8</v>
      </c>
      <c r="T97" s="59">
        <v>41360</v>
      </c>
      <c r="U97" s="19">
        <v>0</v>
      </c>
    </row>
    <row r="98" spans="1:21" x14ac:dyDescent="0.75">
      <c r="A98" s="59">
        <f t="shared" si="6"/>
        <v>41361</v>
      </c>
      <c r="B98" s="19">
        <f t="shared" si="7"/>
        <v>0</v>
      </c>
      <c r="C98" s="41">
        <f t="shared" ca="1" si="10"/>
        <v>0</v>
      </c>
      <c r="D98" s="41">
        <f ca="1">IF(Energy!$N$3, C98, IF(C98 &gt; 0, MAX(Energy!W98- Energy!N98, 0) / (Energy!I98 + Energy!M98) *C98, 0))</f>
        <v>0</v>
      </c>
      <c r="E98" s="41" t="b">
        <f ca="1">IF(Main!$C$25="Solar", IF(Energy!W98-Energy!N98&gt;=0, TRUE, FALSE), TRUE)</f>
        <v>1</v>
      </c>
      <c r="F98" s="41">
        <f t="shared" ca="1" si="8"/>
        <v>0</v>
      </c>
      <c r="G98" s="6">
        <f ca="1">IF(A98&gt;=$B$7,IF(E98,IF(H97-$B$6/1000&gt;0,IF($B$6/1000&gt;$B$9*24*60*60,$B$9*24*60*60,$B$6/1000),H97),($B$6/1000)*(-Energy!W98+Energy!N98)/Energy!N98),0)</f>
        <v>0.219</v>
      </c>
      <c r="H98" s="6">
        <f t="shared" ca="1" si="11"/>
        <v>9.3331129589412267</v>
      </c>
      <c r="I98" t="str">
        <f t="shared" ca="1" si="9"/>
        <v>Yes</v>
      </c>
      <c r="N98" s="57">
        <v>41726</v>
      </c>
      <c r="O98" s="56">
        <v>23.6</v>
      </c>
      <c r="P98" s="59">
        <v>42091</v>
      </c>
      <c r="Q98" s="32">
        <v>68.8</v>
      </c>
      <c r="R98" s="59">
        <v>42091</v>
      </c>
      <c r="S98" s="19">
        <v>4.5999999999999996</v>
      </c>
      <c r="T98" s="59">
        <v>41361</v>
      </c>
      <c r="U98" s="19">
        <v>0</v>
      </c>
    </row>
    <row r="99" spans="1:21" x14ac:dyDescent="0.75">
      <c r="A99" s="59">
        <f t="shared" si="6"/>
        <v>41362</v>
      </c>
      <c r="B99" s="19">
        <f t="shared" si="7"/>
        <v>0</v>
      </c>
      <c r="C99" s="41">
        <f t="shared" ca="1" si="10"/>
        <v>0</v>
      </c>
      <c r="D99" s="41">
        <f ca="1">IF(Energy!$N$3, C99, IF(C99 &gt; 0, MAX(Energy!W99- Energy!N99, 0) / (Energy!I99 + Energy!M99) *C99, 0))</f>
        <v>0</v>
      </c>
      <c r="E99" s="41" t="b">
        <f ca="1">IF(Main!$C$25="Solar", IF(Energy!W99-Energy!N99&gt;=0, TRUE, FALSE), TRUE)</f>
        <v>1</v>
      </c>
      <c r="F99" s="41">
        <f t="shared" ca="1" si="8"/>
        <v>0</v>
      </c>
      <c r="G99" s="6">
        <f ca="1">IF(A99&gt;=$B$7,IF(E99,IF(H98-$B$6/1000&gt;0,IF($B$6/1000&gt;$B$9*24*60*60,$B$9*24*60*60,$B$6/1000),H98),($B$6/1000)*(-Energy!W99+Energy!N99)/Energy!N99),0)</f>
        <v>0.219</v>
      </c>
      <c r="H99" s="6">
        <f t="shared" ca="1" si="11"/>
        <v>9.1141129589412273</v>
      </c>
      <c r="I99" t="str">
        <f t="shared" ca="1" si="9"/>
        <v>Yes</v>
      </c>
      <c r="N99" s="57">
        <v>41727</v>
      </c>
      <c r="O99" s="56">
        <v>41.6</v>
      </c>
      <c r="P99" s="59">
        <v>42092</v>
      </c>
      <c r="Q99" s="32">
        <v>10</v>
      </c>
      <c r="R99" s="59">
        <v>42092</v>
      </c>
      <c r="S99" s="19">
        <v>11.8</v>
      </c>
      <c r="T99" s="59">
        <v>41362</v>
      </c>
      <c r="U99" s="19">
        <v>0</v>
      </c>
    </row>
    <row r="100" spans="1:21" x14ac:dyDescent="0.75">
      <c r="A100" s="59">
        <f t="shared" si="6"/>
        <v>41363</v>
      </c>
      <c r="B100" s="19">
        <f t="shared" si="7"/>
        <v>0</v>
      </c>
      <c r="C100" s="41">
        <f t="shared" ca="1" si="10"/>
        <v>0</v>
      </c>
      <c r="D100" s="41">
        <f ca="1">IF(Energy!$N$3, C100, IF(C100 &gt; 0, MAX(Energy!W100- Energy!N100, 0) / (Energy!I100 + Energy!M100) *C100, 0))</f>
        <v>0</v>
      </c>
      <c r="E100" s="41" t="b">
        <f ca="1">IF(Main!$C$25="Solar", IF(Energy!W100-Energy!N100&gt;=0, TRUE, FALSE), TRUE)</f>
        <v>1</v>
      </c>
      <c r="F100" s="41">
        <f t="shared" ca="1" si="8"/>
        <v>0</v>
      </c>
      <c r="G100" s="6">
        <f ca="1">IF(A100&gt;=$B$7,IF(E100,IF(H99-$B$6/1000&gt;0,IF($B$6/1000&gt;$B$9*24*60*60,$B$9*24*60*60,$B$6/1000),H99),($B$6/1000)*(-Energy!W100+Energy!N100)/Energy!N100),0)</f>
        <v>0.219</v>
      </c>
      <c r="H100" s="6">
        <f t="shared" ca="1" si="11"/>
        <v>8.8951129589412279</v>
      </c>
      <c r="I100" t="str">
        <f t="shared" ca="1" si="9"/>
        <v>Yes</v>
      </c>
      <c r="N100" s="57">
        <v>41728</v>
      </c>
      <c r="O100" s="56">
        <v>3</v>
      </c>
      <c r="P100" s="59">
        <v>42093</v>
      </c>
      <c r="Q100" s="32">
        <v>37.700000000000003</v>
      </c>
      <c r="R100" s="59">
        <v>42093</v>
      </c>
      <c r="S100" s="19">
        <v>22</v>
      </c>
      <c r="T100" s="59">
        <v>41363</v>
      </c>
      <c r="U100" s="19">
        <v>0</v>
      </c>
    </row>
    <row r="101" spans="1:21" x14ac:dyDescent="0.75">
      <c r="A101" s="59">
        <f t="shared" si="6"/>
        <v>41364</v>
      </c>
      <c r="B101" s="19">
        <f t="shared" si="7"/>
        <v>0</v>
      </c>
      <c r="C101" s="41">
        <f t="shared" ca="1" si="10"/>
        <v>0</v>
      </c>
      <c r="D101" s="41">
        <f ca="1">IF(Energy!$N$3, C101, IF(C101 &gt; 0, MAX(Energy!W101- Energy!N101, 0) / (Energy!I101 + Energy!M101) *C101, 0))</f>
        <v>0</v>
      </c>
      <c r="E101" s="41" t="b">
        <f ca="1">IF(Main!$C$25="Solar", IF(Energy!W101-Energy!N101&gt;=0, TRUE, FALSE), TRUE)</f>
        <v>1</v>
      </c>
      <c r="F101" s="41">
        <f t="shared" ca="1" si="8"/>
        <v>0</v>
      </c>
      <c r="G101" s="6">
        <f ca="1">IF(A101&gt;=$B$7,IF(E101,IF(H100-$B$6/1000&gt;0,IF($B$6/1000&gt;$B$9*24*60*60,$B$9*24*60*60,$B$6/1000),H100),($B$6/1000)*(-Energy!W101+Energy!N101)/Energy!N101),0)</f>
        <v>0.219</v>
      </c>
      <c r="H101" s="6">
        <f t="shared" ca="1" si="11"/>
        <v>8.6761129589412285</v>
      </c>
      <c r="I101" t="str">
        <f t="shared" ca="1" si="9"/>
        <v>Yes</v>
      </c>
      <c r="N101" s="57">
        <v>41729</v>
      </c>
      <c r="O101" s="56">
        <v>0</v>
      </c>
      <c r="P101" s="59">
        <v>42094</v>
      </c>
      <c r="Q101" s="32">
        <v>11.6</v>
      </c>
      <c r="R101" s="59">
        <v>42094</v>
      </c>
      <c r="S101" s="19">
        <v>2</v>
      </c>
      <c r="T101" s="59">
        <v>41364</v>
      </c>
      <c r="U101" s="19">
        <v>0</v>
      </c>
    </row>
    <row r="102" spans="1:21" x14ac:dyDescent="0.75">
      <c r="A102" s="59">
        <f t="shared" si="6"/>
        <v>41365</v>
      </c>
      <c r="B102" s="19">
        <f t="shared" si="7"/>
        <v>0</v>
      </c>
      <c r="C102" s="41">
        <f t="shared" ca="1" si="10"/>
        <v>0</v>
      </c>
      <c r="D102" s="41">
        <f ca="1">IF(Energy!$N$3, C102, IF(C102 &gt; 0, MAX(Energy!W102- Energy!N102, 0) / (Energy!I102 + Energy!M102) *C102, 0))</f>
        <v>0</v>
      </c>
      <c r="E102" s="41" t="b">
        <f ca="1">IF(Main!$C$25="Solar", IF(Energy!W102-Energy!N102&gt;=0, TRUE, FALSE), TRUE)</f>
        <v>1</v>
      </c>
      <c r="F102" s="41">
        <f t="shared" ca="1" si="8"/>
        <v>0</v>
      </c>
      <c r="G102" s="6">
        <f ca="1">IF(A102&gt;=$B$7,IF(E102,IF(H101-$B$6/1000&gt;0,IF($B$6/1000&gt;$B$9*24*60*60,$B$9*24*60*60,$B$6/1000),H101),($B$6/1000)*(-Energy!W102+Energy!N102)/Energy!N102),0)</f>
        <v>0.219</v>
      </c>
      <c r="H102" s="6">
        <f t="shared" ca="1" si="11"/>
        <v>8.4571129589412291</v>
      </c>
      <c r="I102" t="str">
        <f t="shared" ca="1" si="9"/>
        <v>Yes</v>
      </c>
      <c r="N102" s="57">
        <v>41730</v>
      </c>
      <c r="O102" s="56">
        <v>0</v>
      </c>
      <c r="P102" s="59">
        <v>42095</v>
      </c>
      <c r="Q102" s="32">
        <v>0</v>
      </c>
      <c r="R102" s="59">
        <v>42095</v>
      </c>
      <c r="S102" s="19">
        <v>0</v>
      </c>
      <c r="T102" s="59">
        <v>41365</v>
      </c>
      <c r="U102" s="19">
        <v>0</v>
      </c>
    </row>
    <row r="103" spans="1:21" x14ac:dyDescent="0.75">
      <c r="A103" s="59">
        <f t="shared" si="6"/>
        <v>41366</v>
      </c>
      <c r="B103" s="19">
        <f t="shared" si="7"/>
        <v>0</v>
      </c>
      <c r="C103" s="41">
        <f t="shared" ca="1" si="10"/>
        <v>0</v>
      </c>
      <c r="D103" s="41">
        <f ca="1">IF(Energy!$N$3, C103, IF(C103 &gt; 0, MAX(Energy!W103- Energy!N103, 0) / (Energy!I103 + Energy!M103) *C103, 0))</f>
        <v>0</v>
      </c>
      <c r="E103" s="41" t="b">
        <f ca="1">IF(Main!$C$25="Solar", IF(Energy!W103-Energy!N103&gt;=0, TRUE, FALSE), TRUE)</f>
        <v>1</v>
      </c>
      <c r="F103" s="41">
        <f t="shared" ca="1" si="8"/>
        <v>0</v>
      </c>
      <c r="G103" s="6">
        <f ca="1">IF(A103&gt;=$B$7,IF(E103,IF(H102-$B$6/1000&gt;0,IF($B$6/1000&gt;$B$9*24*60*60,$B$9*24*60*60,$B$6/1000),H102),($B$6/1000)*(-Energy!W103+Energy!N103)/Energy!N103),0)</f>
        <v>0.219</v>
      </c>
      <c r="H103" s="6">
        <f t="shared" ca="1" si="11"/>
        <v>8.2381129589412296</v>
      </c>
      <c r="I103" t="str">
        <f t="shared" ca="1" si="9"/>
        <v>Yes</v>
      </c>
      <c r="N103" s="57">
        <v>41731</v>
      </c>
      <c r="O103" s="56">
        <v>5.6</v>
      </c>
      <c r="P103" s="59">
        <v>42096</v>
      </c>
      <c r="Q103" s="32">
        <v>33.700000000000003</v>
      </c>
      <c r="R103" s="59">
        <v>42096</v>
      </c>
      <c r="S103" s="19">
        <v>0.4</v>
      </c>
      <c r="T103" s="59">
        <v>41366</v>
      </c>
      <c r="U103" s="19">
        <v>0</v>
      </c>
    </row>
    <row r="104" spans="1:21" x14ac:dyDescent="0.75">
      <c r="A104" s="59">
        <f t="shared" si="6"/>
        <v>41367</v>
      </c>
      <c r="B104" s="19">
        <f t="shared" si="7"/>
        <v>0</v>
      </c>
      <c r="C104" s="41">
        <f t="shared" ca="1" si="10"/>
        <v>0</v>
      </c>
      <c r="D104" s="41">
        <f ca="1">IF(Energy!$N$3, C104, IF(C104 &gt; 0, MAX(Energy!W104- Energy!N104, 0) / (Energy!I104 + Energy!M104) *C104, 0))</f>
        <v>0</v>
      </c>
      <c r="E104" s="41" t="b">
        <f ca="1">IF(Main!$C$25="Solar", IF(Energy!W104-Energy!N104&gt;=0, TRUE, FALSE), TRUE)</f>
        <v>1</v>
      </c>
      <c r="F104" s="41">
        <f t="shared" ca="1" si="8"/>
        <v>0</v>
      </c>
      <c r="G104" s="6">
        <f ca="1">IF(A104&gt;=$B$7,IF(E104,IF(H103-$B$6/1000&gt;0,IF($B$6/1000&gt;$B$9*24*60*60,$B$9*24*60*60,$B$6/1000),H103),($B$6/1000)*(-Energy!W104+Energy!N104)/Energy!N104),0)</f>
        <v>0.219</v>
      </c>
      <c r="H104" s="6">
        <f t="shared" ca="1" si="11"/>
        <v>8.0191129589412302</v>
      </c>
      <c r="I104" t="str">
        <f t="shared" ca="1" si="9"/>
        <v>Yes</v>
      </c>
      <c r="N104" s="57">
        <v>41732</v>
      </c>
      <c r="O104" s="56">
        <v>20.399999999999999</v>
      </c>
      <c r="P104" s="59">
        <v>42097</v>
      </c>
      <c r="Q104" s="32">
        <v>9</v>
      </c>
      <c r="R104" s="59">
        <v>42097</v>
      </c>
      <c r="S104" s="19">
        <v>6.2</v>
      </c>
      <c r="T104" s="59">
        <v>41367</v>
      </c>
      <c r="U104" s="19">
        <v>0</v>
      </c>
    </row>
    <row r="105" spans="1:21" x14ac:dyDescent="0.75">
      <c r="A105" s="59">
        <f t="shared" si="6"/>
        <v>41368</v>
      </c>
      <c r="B105" s="19">
        <f t="shared" si="7"/>
        <v>9.8000000000000007</v>
      </c>
      <c r="C105" s="41">
        <f t="shared" ca="1" si="10"/>
        <v>0.98000000000000009</v>
      </c>
      <c r="D105" s="41">
        <f ca="1">IF(Energy!$N$3, C105, IF(C105 &gt; 0, MAX(Energy!W105- Energy!N105, 0) / (Energy!I105 + Energy!M105) *C105, 0))</f>
        <v>0.98000000000000009</v>
      </c>
      <c r="E105" s="41" t="b">
        <f ca="1">IF(Main!$C$25="Solar", IF(Energy!W105-Energy!N105&gt;=0, TRUE, FALSE), TRUE)</f>
        <v>1</v>
      </c>
      <c r="F105" s="41">
        <f t="shared" ca="1" si="8"/>
        <v>0.54456400560742924</v>
      </c>
      <c r="G105" s="6">
        <f ca="1">IF(A105&gt;=$B$7,IF(E105,IF(H104-$B$6/1000&gt;0,IF($B$6/1000&gt;$B$9*24*60*60,$B$9*24*60*60,$B$6/1000),H104),($B$6/1000)*(-Energy!W105+Energy!N105)/Energy!N105),0)</f>
        <v>0.219</v>
      </c>
      <c r="H105" s="6">
        <f t="shared" ca="1" si="11"/>
        <v>8.7801129589412312</v>
      </c>
      <c r="I105" t="str">
        <f t="shared" ca="1" si="9"/>
        <v>Yes</v>
      </c>
      <c r="N105" s="57">
        <v>41733</v>
      </c>
      <c r="O105" s="56">
        <v>2.6</v>
      </c>
      <c r="P105" s="59">
        <v>42098</v>
      </c>
      <c r="Q105" s="32">
        <v>8.4</v>
      </c>
      <c r="R105" s="59">
        <v>42098</v>
      </c>
      <c r="S105" s="19">
        <v>1.4</v>
      </c>
      <c r="T105" s="59">
        <v>41368</v>
      </c>
      <c r="U105" s="19">
        <v>9.8000000000000007</v>
      </c>
    </row>
    <row r="106" spans="1:21" x14ac:dyDescent="0.75">
      <c r="A106" s="59">
        <f t="shared" si="6"/>
        <v>41369</v>
      </c>
      <c r="B106" s="19">
        <f t="shared" si="7"/>
        <v>2.2000000000000002</v>
      </c>
      <c r="C106" s="41">
        <f t="shared" ca="1" si="10"/>
        <v>0.22000000000000003</v>
      </c>
      <c r="D106" s="41">
        <f ca="1">IF(Energy!$N$3, C106, IF(C106 &gt; 0, MAX(Energy!W106- Energy!N106, 0) / (Energy!I106 + Energy!M106) *C106, 0))</f>
        <v>0.22000000000000003</v>
      </c>
      <c r="E106" s="41" t="b">
        <f ca="1">IF(Main!$C$25="Solar", IF(Energy!W106-Energy!N106&gt;=0, TRUE, FALSE), TRUE)</f>
        <v>1</v>
      </c>
      <c r="F106" s="41">
        <f t="shared" ca="1" si="8"/>
        <v>0.12224906248330043</v>
      </c>
      <c r="G106" s="6">
        <f ca="1">IF(A106&gt;=$B$7,IF(E106,IF(H105-$B$6/1000&gt;0,IF($B$6/1000&gt;$B$9*24*60*60,$B$9*24*60*60,$B$6/1000),H105),($B$6/1000)*(-Energy!W106+Energy!N106)/Energy!N106),0)</f>
        <v>0.219</v>
      </c>
      <c r="H106" s="6">
        <f t="shared" ca="1" si="11"/>
        <v>8.7811129589412324</v>
      </c>
      <c r="I106" t="str">
        <f t="shared" ca="1" si="9"/>
        <v>Yes</v>
      </c>
      <c r="N106" s="57">
        <v>41734</v>
      </c>
      <c r="O106" s="56">
        <v>15.9</v>
      </c>
      <c r="P106" s="59">
        <v>42099</v>
      </c>
      <c r="Q106" s="32">
        <v>0.6</v>
      </c>
      <c r="R106" s="59">
        <v>42099</v>
      </c>
      <c r="S106" s="19">
        <v>0</v>
      </c>
      <c r="T106" s="59">
        <v>41369</v>
      </c>
      <c r="U106" s="19">
        <v>2.2000000000000002</v>
      </c>
    </row>
    <row r="107" spans="1:21" x14ac:dyDescent="0.75">
      <c r="A107" s="59">
        <f t="shared" si="6"/>
        <v>41370</v>
      </c>
      <c r="B107" s="19">
        <f t="shared" si="7"/>
        <v>3.4</v>
      </c>
      <c r="C107" s="41">
        <f t="shared" ca="1" si="10"/>
        <v>0.34</v>
      </c>
      <c r="D107" s="41">
        <f ca="1">IF(Energy!$N$3, C107, IF(C107 &gt; 0, MAX(Energy!W107- Energy!N107, 0) / (Energy!I107 + Energy!M107) *C107, 0))</f>
        <v>0.33999999999999997</v>
      </c>
      <c r="E107" s="41" t="b">
        <f ca="1">IF(Main!$C$25="Solar", IF(Energy!W107-Energy!N107&gt;=0, TRUE, FALSE), TRUE)</f>
        <v>1</v>
      </c>
      <c r="F107" s="41">
        <f t="shared" ca="1" si="8"/>
        <v>0.18893036929237336</v>
      </c>
      <c r="G107" s="6">
        <f ca="1">IF(A107&gt;=$B$7,IF(E107,IF(H106-$B$6/1000&gt;0,IF($B$6/1000&gt;$B$9*24*60*60,$B$9*24*60*60,$B$6/1000),H106),($B$6/1000)*(-Energy!W107+Energy!N107)/Energy!N107),0)</f>
        <v>0.219</v>
      </c>
      <c r="H107" s="6">
        <f t="shared" ca="1" si="11"/>
        <v>8.9021129589412329</v>
      </c>
      <c r="I107" t="str">
        <f t="shared" ca="1" si="9"/>
        <v>Yes</v>
      </c>
      <c r="N107" s="57">
        <v>41735</v>
      </c>
      <c r="O107" s="56">
        <v>9.4</v>
      </c>
      <c r="P107" s="59">
        <v>42100</v>
      </c>
      <c r="Q107" s="32">
        <v>0</v>
      </c>
      <c r="R107" s="59">
        <v>42100</v>
      </c>
      <c r="S107" s="19">
        <v>0</v>
      </c>
      <c r="T107" s="59">
        <v>41370</v>
      </c>
      <c r="U107" s="19">
        <v>3.4</v>
      </c>
    </row>
    <row r="108" spans="1:21" x14ac:dyDescent="0.75">
      <c r="A108" s="59">
        <f t="shared" si="6"/>
        <v>41371</v>
      </c>
      <c r="B108" s="19">
        <f t="shared" si="7"/>
        <v>0</v>
      </c>
      <c r="C108" s="41">
        <f t="shared" ca="1" si="10"/>
        <v>0</v>
      </c>
      <c r="D108" s="41">
        <f ca="1">IF(Energy!$N$3, C108, IF(C108 &gt; 0, MAX(Energy!W108- Energy!N108, 0) / (Energy!I108 + Energy!M108) *C108, 0))</f>
        <v>0</v>
      </c>
      <c r="E108" s="41" t="b">
        <f ca="1">IF(Main!$C$25="Solar", IF(Energy!W108-Energy!N108&gt;=0, TRUE, FALSE), TRUE)</f>
        <v>1</v>
      </c>
      <c r="F108" s="41">
        <f t="shared" ca="1" si="8"/>
        <v>0</v>
      </c>
      <c r="G108" s="6">
        <f ca="1">IF(A108&gt;=$B$7,IF(E108,IF(H107-$B$6/1000&gt;0,IF($B$6/1000&gt;$B$9*24*60*60,$B$9*24*60*60,$B$6/1000),H107),($B$6/1000)*(-Energy!W108+Energy!N108)/Energy!N108),0)</f>
        <v>0.219</v>
      </c>
      <c r="H108" s="6">
        <f t="shared" ca="1" si="11"/>
        <v>8.6831129589412335</v>
      </c>
      <c r="I108" t="str">
        <f t="shared" ca="1" si="9"/>
        <v>Yes</v>
      </c>
      <c r="N108" s="57">
        <v>41736</v>
      </c>
      <c r="O108" s="56">
        <v>13.6</v>
      </c>
      <c r="P108" s="59">
        <v>42101</v>
      </c>
      <c r="Q108" s="32">
        <v>0</v>
      </c>
      <c r="R108" s="59">
        <v>42101</v>
      </c>
      <c r="S108" s="19">
        <v>0</v>
      </c>
      <c r="T108" s="59">
        <v>41371</v>
      </c>
      <c r="U108" s="19">
        <v>0</v>
      </c>
    </row>
    <row r="109" spans="1:21" x14ac:dyDescent="0.75">
      <c r="A109" s="59">
        <f t="shared" si="6"/>
        <v>41372</v>
      </c>
      <c r="B109" s="19">
        <f t="shared" si="7"/>
        <v>2</v>
      </c>
      <c r="C109" s="41">
        <f t="shared" ca="1" si="10"/>
        <v>0.2</v>
      </c>
      <c r="D109" s="41">
        <f ca="1">IF(Energy!$N$3, C109, IF(C109 &gt; 0, MAX(Energy!W109- Energy!N109, 0) / (Energy!I109 + Energy!M109) *C109, 0))</f>
        <v>0.19999999999999996</v>
      </c>
      <c r="E109" s="41" t="b">
        <f ca="1">IF(Main!$C$25="Solar", IF(Energy!W109-Energy!N109&gt;=0, TRUE, FALSE), TRUE)</f>
        <v>1</v>
      </c>
      <c r="F109" s="41">
        <f t="shared" ca="1" si="8"/>
        <v>0.11113551134845491</v>
      </c>
      <c r="G109" s="6">
        <f ca="1">IF(A109&gt;=$B$7,IF(E109,IF(H108-$B$6/1000&gt;0,IF($B$6/1000&gt;$B$9*24*60*60,$B$9*24*60*60,$B$6/1000),H108),($B$6/1000)*(-Energy!W109+Energy!N109)/Energy!N109),0)</f>
        <v>0.219</v>
      </c>
      <c r="H109" s="6">
        <f t="shared" ca="1" si="11"/>
        <v>8.6641129589412333</v>
      </c>
      <c r="I109" t="str">
        <f t="shared" ca="1" si="9"/>
        <v>Yes</v>
      </c>
      <c r="N109" s="57">
        <v>41737</v>
      </c>
      <c r="O109" s="56">
        <v>5.6</v>
      </c>
      <c r="P109" s="59">
        <v>42102</v>
      </c>
      <c r="Q109" s="32">
        <v>0</v>
      </c>
      <c r="R109" s="59">
        <v>42102</v>
      </c>
      <c r="S109" s="19">
        <v>0</v>
      </c>
      <c r="T109" s="59">
        <v>41372</v>
      </c>
      <c r="U109" s="19">
        <v>2</v>
      </c>
    </row>
    <row r="110" spans="1:21" x14ac:dyDescent="0.75">
      <c r="A110" s="59">
        <f t="shared" si="6"/>
        <v>41373</v>
      </c>
      <c r="B110" s="19">
        <f t="shared" si="7"/>
        <v>0</v>
      </c>
      <c r="C110" s="41">
        <f t="shared" ca="1" si="10"/>
        <v>0</v>
      </c>
      <c r="D110" s="41">
        <f ca="1">IF(Energy!$N$3, C110, IF(C110 &gt; 0, MAX(Energy!W110- Energy!N110, 0) / (Energy!I110 + Energy!M110) *C110, 0))</f>
        <v>0</v>
      </c>
      <c r="E110" s="41" t="b">
        <f ca="1">IF(Main!$C$25="Solar", IF(Energy!W110-Energy!N110&gt;=0, TRUE, FALSE), TRUE)</f>
        <v>1</v>
      </c>
      <c r="F110" s="41">
        <f t="shared" ca="1" si="8"/>
        <v>0</v>
      </c>
      <c r="G110" s="6">
        <f ca="1">IF(A110&gt;=$B$7,IF(E110,IF(H109-$B$6/1000&gt;0,IF($B$6/1000&gt;$B$9*24*60*60,$B$9*24*60*60,$B$6/1000),H109),($B$6/1000)*(-Energy!W110+Energy!N110)/Energy!N110),0)</f>
        <v>0.219</v>
      </c>
      <c r="H110" s="6">
        <f t="shared" ca="1" si="11"/>
        <v>8.4451129589412339</v>
      </c>
      <c r="I110" t="str">
        <f t="shared" ca="1" si="9"/>
        <v>Yes</v>
      </c>
      <c r="N110" s="57">
        <v>41738</v>
      </c>
      <c r="O110" s="56">
        <v>0</v>
      </c>
      <c r="P110" s="59">
        <v>42103</v>
      </c>
      <c r="Q110" s="32">
        <v>3.2</v>
      </c>
      <c r="R110" s="59">
        <v>42103</v>
      </c>
      <c r="S110" s="19">
        <v>0</v>
      </c>
      <c r="T110" s="59">
        <v>41373</v>
      </c>
      <c r="U110" s="19">
        <v>0</v>
      </c>
    </row>
    <row r="111" spans="1:21" x14ac:dyDescent="0.75">
      <c r="A111" s="59">
        <f t="shared" si="6"/>
        <v>41374</v>
      </c>
      <c r="B111" s="19">
        <f t="shared" si="7"/>
        <v>1.2</v>
      </c>
      <c r="C111" s="41">
        <f t="shared" ca="1" si="10"/>
        <v>0.12</v>
      </c>
      <c r="D111" s="41">
        <f ca="1">IF(Energy!$N$3, C111, IF(C111 &gt; 0, MAX(Energy!W111- Energy!N111, 0) / (Energy!I111 + Energy!M111) *C111, 0))</f>
        <v>0.12</v>
      </c>
      <c r="E111" s="41" t="b">
        <f ca="1">IF(Main!$C$25="Solar", IF(Energy!W111-Energy!N111&gt;=0, TRUE, FALSE), TRUE)</f>
        <v>1</v>
      </c>
      <c r="F111" s="41">
        <f t="shared" ca="1" si="8"/>
        <v>6.6681306809072957E-2</v>
      </c>
      <c r="G111" s="6">
        <f ca="1">IF(A111&gt;=$B$7,IF(E111,IF(H110-$B$6/1000&gt;0,IF($B$6/1000&gt;$B$9*24*60*60,$B$9*24*60*60,$B$6/1000),H110),($B$6/1000)*(-Energy!W111+Energy!N111)/Energy!N111),0)</f>
        <v>0.219</v>
      </c>
      <c r="H111" s="6">
        <f t="shared" ca="1" si="11"/>
        <v>8.3461129589412337</v>
      </c>
      <c r="I111" t="str">
        <f t="shared" ca="1" si="9"/>
        <v>Yes</v>
      </c>
      <c r="N111" s="57">
        <v>41739</v>
      </c>
      <c r="O111" s="56">
        <v>16.600000000000001</v>
      </c>
      <c r="P111" s="59">
        <v>42104</v>
      </c>
      <c r="Q111" s="32">
        <v>40.200000000000003</v>
      </c>
      <c r="R111" s="59">
        <v>42104</v>
      </c>
      <c r="S111" s="19">
        <v>3.4</v>
      </c>
      <c r="T111" s="59">
        <v>41374</v>
      </c>
      <c r="U111" s="19">
        <v>1.2</v>
      </c>
    </row>
    <row r="112" spans="1:21" x14ac:dyDescent="0.75">
      <c r="A112" s="59">
        <f t="shared" si="6"/>
        <v>41375</v>
      </c>
      <c r="B112" s="19">
        <f t="shared" si="7"/>
        <v>1</v>
      </c>
      <c r="C112" s="41">
        <f t="shared" ca="1" si="10"/>
        <v>0.1</v>
      </c>
      <c r="D112" s="41">
        <f ca="1">IF(Energy!$N$3, C112, IF(C112 &gt; 0, MAX(Energy!W112- Energy!N112, 0) / (Energy!I112 + Energy!M112) *C112, 0))</f>
        <v>9.9999999999999978E-2</v>
      </c>
      <c r="E112" s="41" t="b">
        <f ca="1">IF(Main!$C$25="Solar", IF(Energy!W112-Energy!N112&gt;=0, TRUE, FALSE), TRUE)</f>
        <v>1</v>
      </c>
      <c r="F112" s="41">
        <f t="shared" ca="1" si="8"/>
        <v>5.5567755674227455E-2</v>
      </c>
      <c r="G112" s="6">
        <f ca="1">IF(A112&gt;=$B$7,IF(E112,IF(H111-$B$6/1000&gt;0,IF($B$6/1000&gt;$B$9*24*60*60,$B$9*24*60*60,$B$6/1000),H111),($B$6/1000)*(-Energy!W112+Energy!N112)/Energy!N112),0)</f>
        <v>0.219</v>
      </c>
      <c r="H112" s="6">
        <f t="shared" ca="1" si="11"/>
        <v>8.227112958941234</v>
      </c>
      <c r="I112" t="str">
        <f t="shared" ca="1" si="9"/>
        <v>Yes</v>
      </c>
      <c r="N112" s="57">
        <v>41740</v>
      </c>
      <c r="O112" s="56">
        <v>0</v>
      </c>
      <c r="P112" s="59">
        <v>42105</v>
      </c>
      <c r="Q112" s="32">
        <v>9.1999999999999993</v>
      </c>
      <c r="R112" s="59">
        <v>42105</v>
      </c>
      <c r="S112" s="19">
        <v>2.2000000000000002</v>
      </c>
      <c r="T112" s="59">
        <v>41375</v>
      </c>
      <c r="U112" s="19">
        <v>1</v>
      </c>
    </row>
    <row r="113" spans="1:21" x14ac:dyDescent="0.75">
      <c r="A113" s="59">
        <f t="shared" si="6"/>
        <v>41376</v>
      </c>
      <c r="B113" s="19">
        <f t="shared" si="7"/>
        <v>8.4</v>
      </c>
      <c r="C113" s="41">
        <f t="shared" ca="1" si="10"/>
        <v>0.84</v>
      </c>
      <c r="D113" s="41">
        <f ca="1">IF(Energy!$N$3, C113, IF(C113 &gt; 0, MAX(Energy!W113- Energy!N113, 0) / (Energy!I113 + Energy!M113) *C113, 0))</f>
        <v>0.84</v>
      </c>
      <c r="E113" s="41" t="b">
        <f ca="1">IF(Main!$C$25="Solar", IF(Energy!W113-Energy!N113&gt;=0, TRUE, FALSE), TRUE)</f>
        <v>1</v>
      </c>
      <c r="F113" s="41">
        <f t="shared" ca="1" si="8"/>
        <v>0.46676914766351069</v>
      </c>
      <c r="G113" s="6">
        <f ca="1">IF(A113&gt;=$B$7,IF(E113,IF(H112-$B$6/1000&gt;0,IF($B$6/1000&gt;$B$9*24*60*60,$B$9*24*60*60,$B$6/1000),H112),($B$6/1000)*(-Energy!W113+Energy!N113)/Energy!N113),0)</f>
        <v>0.219</v>
      </c>
      <c r="H113" s="6">
        <f t="shared" ca="1" si="11"/>
        <v>8.8481129589412344</v>
      </c>
      <c r="I113" t="str">
        <f t="shared" ca="1" si="9"/>
        <v>Yes</v>
      </c>
      <c r="N113" s="57">
        <v>41741</v>
      </c>
      <c r="O113" s="56">
        <v>0</v>
      </c>
      <c r="P113" s="59">
        <v>42106</v>
      </c>
      <c r="Q113" s="32">
        <v>24.4</v>
      </c>
      <c r="R113" s="59">
        <v>42106</v>
      </c>
      <c r="S113" s="19">
        <v>5</v>
      </c>
      <c r="T113" s="59">
        <v>41376</v>
      </c>
      <c r="U113" s="19">
        <v>8.4</v>
      </c>
    </row>
    <row r="114" spans="1:21" x14ac:dyDescent="0.75">
      <c r="A114" s="59">
        <f t="shared" si="6"/>
        <v>41377</v>
      </c>
      <c r="B114" s="19">
        <f t="shared" si="7"/>
        <v>0</v>
      </c>
      <c r="C114" s="41">
        <f t="shared" ca="1" si="10"/>
        <v>0</v>
      </c>
      <c r="D114" s="41">
        <f ca="1">IF(Energy!$N$3, C114, IF(C114 &gt; 0, MAX(Energy!W114- Energy!N114, 0) / (Energy!I114 + Energy!M114) *C114, 0))</f>
        <v>0</v>
      </c>
      <c r="E114" s="41" t="b">
        <f ca="1">IF(Main!$C$25="Solar", IF(Energy!W114-Energy!N114&gt;=0, TRUE, FALSE), TRUE)</f>
        <v>1</v>
      </c>
      <c r="F114" s="41">
        <f t="shared" ca="1" si="8"/>
        <v>0</v>
      </c>
      <c r="G114" s="6">
        <f ca="1">IF(A114&gt;=$B$7,IF(E114,IF(H113-$B$6/1000&gt;0,IF($B$6/1000&gt;$B$9*24*60*60,$B$9*24*60*60,$B$6/1000),H113),($B$6/1000)*(-Energy!W114+Energy!N114)/Energy!N114),0)</f>
        <v>0.219</v>
      </c>
      <c r="H114" s="6">
        <f t="shared" ca="1" si="11"/>
        <v>8.629112958941235</v>
      </c>
      <c r="I114" t="str">
        <f t="shared" ca="1" si="9"/>
        <v>Yes</v>
      </c>
      <c r="N114" s="57">
        <v>41742</v>
      </c>
      <c r="O114" s="56">
        <v>0</v>
      </c>
      <c r="P114" s="59">
        <v>42107</v>
      </c>
      <c r="Q114" s="32">
        <v>16.2</v>
      </c>
      <c r="R114" s="59">
        <v>42107</v>
      </c>
      <c r="S114" s="19">
        <v>9.1999999999999993</v>
      </c>
      <c r="T114" s="59">
        <v>41377</v>
      </c>
      <c r="U114" s="19">
        <v>0</v>
      </c>
    </row>
    <row r="115" spans="1:21" x14ac:dyDescent="0.75">
      <c r="A115" s="59">
        <f t="shared" si="6"/>
        <v>41378</v>
      </c>
      <c r="B115" s="19">
        <f t="shared" si="7"/>
        <v>0</v>
      </c>
      <c r="C115" s="41">
        <f t="shared" ca="1" si="10"/>
        <v>0</v>
      </c>
      <c r="D115" s="41">
        <f ca="1">IF(Energy!$N$3, C115, IF(C115 &gt; 0, MAX(Energy!W115- Energy!N115, 0) / (Energy!I115 + Energy!M115) *C115, 0))</f>
        <v>0</v>
      </c>
      <c r="E115" s="41" t="b">
        <f ca="1">IF(Main!$C$25="Solar", IF(Energy!W115-Energy!N115&gt;=0, TRUE, FALSE), TRUE)</f>
        <v>1</v>
      </c>
      <c r="F115" s="41">
        <f t="shared" ca="1" si="8"/>
        <v>0</v>
      </c>
      <c r="G115" s="6">
        <f ca="1">IF(A115&gt;=$B$7,IF(E115,IF(H114-$B$6/1000&gt;0,IF($B$6/1000&gt;$B$9*24*60*60,$B$9*24*60*60,$B$6/1000),H114),($B$6/1000)*(-Energy!W115+Energy!N115)/Energy!N115),0)</f>
        <v>0.219</v>
      </c>
      <c r="H115" s="6">
        <f t="shared" ca="1" si="11"/>
        <v>8.4101129589412356</v>
      </c>
      <c r="I115" t="str">
        <f t="shared" ca="1" si="9"/>
        <v>Yes</v>
      </c>
      <c r="N115" s="57">
        <v>41743</v>
      </c>
      <c r="O115" s="56">
        <v>14.8</v>
      </c>
      <c r="P115" s="59">
        <v>42108</v>
      </c>
      <c r="Q115" s="32">
        <v>1.5</v>
      </c>
      <c r="R115" s="59">
        <v>42108</v>
      </c>
      <c r="S115" s="19">
        <v>0</v>
      </c>
      <c r="T115" s="59">
        <v>41378</v>
      </c>
      <c r="U115" s="19">
        <v>0</v>
      </c>
    </row>
    <row r="116" spans="1:21" x14ac:dyDescent="0.75">
      <c r="A116" s="59">
        <f t="shared" si="6"/>
        <v>41379</v>
      </c>
      <c r="B116" s="19">
        <f t="shared" si="7"/>
        <v>0</v>
      </c>
      <c r="C116" s="41">
        <f t="shared" ca="1" si="10"/>
        <v>0</v>
      </c>
      <c r="D116" s="41">
        <f ca="1">IF(Energy!$N$3, C116, IF(C116 &gt; 0, MAX(Energy!W116- Energy!N116, 0) / (Energy!I116 + Energy!M116) *C116, 0))</f>
        <v>0</v>
      </c>
      <c r="E116" s="41" t="b">
        <f ca="1">IF(Main!$C$25="Solar", IF(Energy!W116-Energy!N116&gt;=0, TRUE, FALSE), TRUE)</f>
        <v>1</v>
      </c>
      <c r="F116" s="41">
        <f t="shared" ca="1" si="8"/>
        <v>0</v>
      </c>
      <c r="G116" s="6">
        <f ca="1">IF(A116&gt;=$B$7,IF(E116,IF(H115-$B$6/1000&gt;0,IF($B$6/1000&gt;$B$9*24*60*60,$B$9*24*60*60,$B$6/1000),H115),($B$6/1000)*(-Energy!W116+Energy!N116)/Energy!N116),0)</f>
        <v>0.219</v>
      </c>
      <c r="H116" s="6">
        <f t="shared" ca="1" si="11"/>
        <v>8.1911129589412361</v>
      </c>
      <c r="I116" t="str">
        <f t="shared" ca="1" si="9"/>
        <v>Yes</v>
      </c>
      <c r="N116" s="57">
        <v>41744</v>
      </c>
      <c r="O116" s="56">
        <v>20.8</v>
      </c>
      <c r="P116" s="59">
        <v>42109</v>
      </c>
      <c r="Q116" s="32">
        <v>37.200000000000003</v>
      </c>
      <c r="R116" s="59">
        <v>42109</v>
      </c>
      <c r="S116" s="19">
        <v>0</v>
      </c>
      <c r="T116" s="59">
        <v>41379</v>
      </c>
      <c r="U116" s="19">
        <v>0</v>
      </c>
    </row>
    <row r="117" spans="1:21" x14ac:dyDescent="0.75">
      <c r="A117" s="59">
        <f t="shared" si="6"/>
        <v>41380</v>
      </c>
      <c r="B117" s="19">
        <f t="shared" si="7"/>
        <v>0</v>
      </c>
      <c r="C117" s="41">
        <f t="shared" ca="1" si="10"/>
        <v>0</v>
      </c>
      <c r="D117" s="41">
        <f ca="1">IF(Energy!$N$3, C117, IF(C117 &gt; 0, MAX(Energy!W117- Energy!N117, 0) / (Energy!I117 + Energy!M117) *C117, 0))</f>
        <v>0</v>
      </c>
      <c r="E117" s="41" t="b">
        <f ca="1">IF(Main!$C$25="Solar", IF(Energy!W117-Energy!N117&gt;=0, TRUE, FALSE), TRUE)</f>
        <v>1</v>
      </c>
      <c r="F117" s="41">
        <f t="shared" ca="1" si="8"/>
        <v>0</v>
      </c>
      <c r="G117" s="6">
        <f ca="1">IF(A117&gt;=$B$7,IF(E117,IF(H116-$B$6/1000&gt;0,IF($B$6/1000&gt;$B$9*24*60*60,$B$9*24*60*60,$B$6/1000),H116),($B$6/1000)*(-Energy!W117+Energy!N117)/Energy!N117),0)</f>
        <v>0.219</v>
      </c>
      <c r="H117" s="6">
        <f t="shared" ca="1" si="11"/>
        <v>7.9721129589412358</v>
      </c>
      <c r="I117" t="str">
        <f t="shared" ca="1" si="9"/>
        <v>Yes</v>
      </c>
      <c r="N117" s="57">
        <v>41745</v>
      </c>
      <c r="O117" s="56">
        <v>37.4</v>
      </c>
      <c r="P117" s="59">
        <v>42110</v>
      </c>
      <c r="Q117" s="32">
        <v>3</v>
      </c>
      <c r="R117" s="59">
        <v>42110</v>
      </c>
      <c r="S117" s="19">
        <v>0</v>
      </c>
      <c r="T117" s="59">
        <v>41380</v>
      </c>
      <c r="U117" s="19">
        <v>0</v>
      </c>
    </row>
    <row r="118" spans="1:21" x14ac:dyDescent="0.75">
      <c r="A118" s="59">
        <f t="shared" si="6"/>
        <v>41381</v>
      </c>
      <c r="B118" s="19">
        <f t="shared" si="7"/>
        <v>0</v>
      </c>
      <c r="C118" s="41">
        <f t="shared" ca="1" si="10"/>
        <v>0</v>
      </c>
      <c r="D118" s="41">
        <f ca="1">IF(Energy!$N$3, C118, IF(C118 &gt; 0, MAX(Energy!W118- Energy!N118, 0) / (Energy!I118 + Energy!M118) *C118, 0))</f>
        <v>0</v>
      </c>
      <c r="E118" s="41" t="b">
        <f ca="1">IF(Main!$C$25="Solar", IF(Energy!W118-Energy!N118&gt;=0, TRUE, FALSE), TRUE)</f>
        <v>1</v>
      </c>
      <c r="F118" s="41">
        <f t="shared" ca="1" si="8"/>
        <v>0</v>
      </c>
      <c r="G118" s="6">
        <f ca="1">IF(A118&gt;=$B$7,IF(E118,IF(H117-$B$6/1000&gt;0,IF($B$6/1000&gt;$B$9*24*60*60,$B$9*24*60*60,$B$6/1000),H117),($B$6/1000)*(-Energy!W118+Energy!N118)/Energy!N118),0)</f>
        <v>0.219</v>
      </c>
      <c r="H118" s="6">
        <f t="shared" ca="1" si="11"/>
        <v>7.7531129589412355</v>
      </c>
      <c r="I118" t="str">
        <f t="shared" ca="1" si="9"/>
        <v>Yes</v>
      </c>
      <c r="N118" s="57">
        <v>41746</v>
      </c>
      <c r="O118" s="56">
        <v>9.8000000000000007</v>
      </c>
      <c r="P118" s="59">
        <v>42111</v>
      </c>
      <c r="Q118" s="32">
        <v>0</v>
      </c>
      <c r="R118" s="59">
        <v>42111</v>
      </c>
      <c r="S118" s="19">
        <v>0</v>
      </c>
      <c r="T118" s="59">
        <v>41381</v>
      </c>
      <c r="U118" s="19">
        <v>0</v>
      </c>
    </row>
    <row r="119" spans="1:21" x14ac:dyDescent="0.75">
      <c r="A119" s="59">
        <f t="shared" si="6"/>
        <v>41382</v>
      </c>
      <c r="B119" s="19">
        <f t="shared" si="7"/>
        <v>8.1999999999999993</v>
      </c>
      <c r="C119" s="41">
        <f t="shared" ca="1" si="10"/>
        <v>0.81999999999999984</v>
      </c>
      <c r="D119" s="41">
        <f ca="1">IF(Energy!$N$3, C119, IF(C119 &gt; 0, MAX(Energy!W119- Energy!N119, 0) / (Energy!I119 + Energy!M119) *C119, 0))</f>
        <v>0.81999999999999984</v>
      </c>
      <c r="E119" s="41" t="b">
        <f ca="1">IF(Main!$C$25="Solar", IF(Energy!W119-Energy!N119&gt;=0, TRUE, FALSE), TRUE)</f>
        <v>1</v>
      </c>
      <c r="F119" s="41">
        <f t="shared" ca="1" si="8"/>
        <v>0.45565559652866511</v>
      </c>
      <c r="G119" s="6">
        <f ca="1">IF(A119&gt;=$B$7,IF(E119,IF(H118-$B$6/1000&gt;0,IF($B$6/1000&gt;$B$9*24*60*60,$B$9*24*60*60,$B$6/1000),H118),($B$6/1000)*(-Energy!W119+Energy!N119)/Energy!N119),0)</f>
        <v>0.219</v>
      </c>
      <c r="H119" s="6">
        <f t="shared" ca="1" si="11"/>
        <v>8.3541129589412364</v>
      </c>
      <c r="I119" t="str">
        <f t="shared" ca="1" si="9"/>
        <v>Yes</v>
      </c>
      <c r="N119" s="57">
        <v>41747</v>
      </c>
      <c r="O119" s="56">
        <v>1.9</v>
      </c>
      <c r="P119" s="59">
        <v>42112</v>
      </c>
      <c r="Q119" s="32">
        <v>0</v>
      </c>
      <c r="R119" s="59">
        <v>42112</v>
      </c>
      <c r="S119" s="19">
        <v>0</v>
      </c>
      <c r="T119" s="59">
        <v>41382</v>
      </c>
      <c r="U119" s="19">
        <v>8.1999999999999993</v>
      </c>
    </row>
    <row r="120" spans="1:21" x14ac:dyDescent="0.75">
      <c r="A120" s="59">
        <f t="shared" si="6"/>
        <v>41383</v>
      </c>
      <c r="B120" s="19">
        <f t="shared" si="7"/>
        <v>0.8</v>
      </c>
      <c r="C120" s="41">
        <f t="shared" ca="1" si="10"/>
        <v>0.08</v>
      </c>
      <c r="D120" s="41">
        <f ca="1">IF(Energy!$N$3, C120, IF(C120 &gt; 0, MAX(Energy!W120- Energy!N120, 0) / (Energy!I120 + Energy!M120) *C120, 0))</f>
        <v>7.9999999999999974E-2</v>
      </c>
      <c r="E120" s="41" t="b">
        <f ca="1">IF(Main!$C$25="Solar", IF(Energy!W120-Energy!N120&gt;=0, TRUE, FALSE), TRUE)</f>
        <v>1</v>
      </c>
      <c r="F120" s="41">
        <f t="shared" ca="1" si="8"/>
        <v>4.445420453938196E-2</v>
      </c>
      <c r="G120" s="6">
        <f ca="1">IF(A120&gt;=$B$7,IF(E120,IF(H119-$B$6/1000&gt;0,IF($B$6/1000&gt;$B$9*24*60*60,$B$9*24*60*60,$B$6/1000),H119),($B$6/1000)*(-Energy!W120+Energy!N120)/Energy!N120),0)</f>
        <v>0.219</v>
      </c>
      <c r="H120" s="6">
        <f t="shared" ca="1" si="11"/>
        <v>8.2151129589412371</v>
      </c>
      <c r="I120" t="str">
        <f t="shared" ca="1" si="9"/>
        <v>Yes</v>
      </c>
      <c r="N120" s="57">
        <v>41748</v>
      </c>
      <c r="O120" s="56">
        <v>21</v>
      </c>
      <c r="P120" s="59">
        <v>42113</v>
      </c>
      <c r="Q120" s="32">
        <v>0</v>
      </c>
      <c r="R120" s="59">
        <v>42113</v>
      </c>
      <c r="S120" s="19">
        <v>0</v>
      </c>
      <c r="T120" s="59">
        <v>41383</v>
      </c>
      <c r="U120" s="19">
        <v>0.8</v>
      </c>
    </row>
    <row r="121" spans="1:21" x14ac:dyDescent="0.75">
      <c r="A121" s="59">
        <f t="shared" si="6"/>
        <v>41384</v>
      </c>
      <c r="B121" s="19">
        <f t="shared" si="7"/>
        <v>0</v>
      </c>
      <c r="C121" s="41">
        <f t="shared" ca="1" si="10"/>
        <v>0</v>
      </c>
      <c r="D121" s="41">
        <f ca="1">IF(Energy!$N$3, C121, IF(C121 &gt; 0, MAX(Energy!W121- Energy!N121, 0) / (Energy!I121 + Energy!M121) *C121, 0))</f>
        <v>0</v>
      </c>
      <c r="E121" s="41" t="b">
        <f ca="1">IF(Main!$C$25="Solar", IF(Energy!W121-Energy!N121&gt;=0, TRUE, FALSE), TRUE)</f>
        <v>1</v>
      </c>
      <c r="F121" s="41">
        <f t="shared" ca="1" si="8"/>
        <v>0</v>
      </c>
      <c r="G121" s="6">
        <f ca="1">IF(A121&gt;=$B$7,IF(E121,IF(H120-$B$6/1000&gt;0,IF($B$6/1000&gt;$B$9*24*60*60,$B$9*24*60*60,$B$6/1000),H120),($B$6/1000)*(-Energy!W121+Energy!N121)/Energy!N121),0)</f>
        <v>0.219</v>
      </c>
      <c r="H121" s="6">
        <f t="shared" ca="1" si="11"/>
        <v>7.9961129589412367</v>
      </c>
      <c r="I121" t="str">
        <f t="shared" ca="1" si="9"/>
        <v>Yes</v>
      </c>
      <c r="N121" s="57">
        <v>41749</v>
      </c>
      <c r="O121" s="56">
        <v>30</v>
      </c>
      <c r="P121" s="59">
        <v>42114</v>
      </c>
      <c r="Q121" s="32">
        <v>1.1000000000000001</v>
      </c>
      <c r="R121" s="59">
        <v>42114</v>
      </c>
      <c r="S121" s="19">
        <v>0</v>
      </c>
      <c r="T121" s="59">
        <v>41384</v>
      </c>
      <c r="U121" s="19">
        <v>0</v>
      </c>
    </row>
    <row r="122" spans="1:21" x14ac:dyDescent="0.75">
      <c r="A122" s="59">
        <f t="shared" si="6"/>
        <v>41385</v>
      </c>
      <c r="B122" s="19">
        <f t="shared" si="7"/>
        <v>0</v>
      </c>
      <c r="C122" s="41">
        <f t="shared" ca="1" si="10"/>
        <v>0</v>
      </c>
      <c r="D122" s="41">
        <f ca="1">IF(Energy!$N$3, C122, IF(C122 &gt; 0, MAX(Energy!W122- Energy!N122, 0) / (Energy!I122 + Energy!M122) *C122, 0))</f>
        <v>0</v>
      </c>
      <c r="E122" s="41" t="b">
        <f ca="1">IF(Main!$C$25="Solar", IF(Energy!W122-Energy!N122&gt;=0, TRUE, FALSE), TRUE)</f>
        <v>1</v>
      </c>
      <c r="F122" s="41">
        <f t="shared" ca="1" si="8"/>
        <v>0</v>
      </c>
      <c r="G122" s="6">
        <f ca="1">IF(A122&gt;=$B$7,IF(E122,IF(H121-$B$6/1000&gt;0,IF($B$6/1000&gt;$B$9*24*60*60,$B$9*24*60*60,$B$6/1000),H121),($B$6/1000)*(-Energy!W122+Energy!N122)/Energy!N122),0)</f>
        <v>0.219</v>
      </c>
      <c r="H122" s="6">
        <f t="shared" ca="1" si="11"/>
        <v>7.7771129589412364</v>
      </c>
      <c r="I122" t="str">
        <f t="shared" ca="1" si="9"/>
        <v>Yes</v>
      </c>
      <c r="N122" s="57">
        <v>41750</v>
      </c>
      <c r="O122" s="56">
        <v>0</v>
      </c>
      <c r="P122" s="59">
        <v>42115</v>
      </c>
      <c r="Q122" s="32">
        <v>0.4</v>
      </c>
      <c r="R122" s="59">
        <v>42115</v>
      </c>
      <c r="S122" s="19">
        <v>5</v>
      </c>
      <c r="T122" s="59">
        <v>41385</v>
      </c>
      <c r="U122" s="19">
        <v>0</v>
      </c>
    </row>
    <row r="123" spans="1:21" x14ac:dyDescent="0.75">
      <c r="A123" s="59">
        <f t="shared" si="6"/>
        <v>41386</v>
      </c>
      <c r="B123" s="19">
        <f t="shared" si="7"/>
        <v>0</v>
      </c>
      <c r="C123" s="41">
        <f t="shared" ca="1" si="10"/>
        <v>0</v>
      </c>
      <c r="D123" s="41">
        <f ca="1">IF(Energy!$N$3, C123, IF(C123 &gt; 0, MAX(Energy!W123- Energy!N123, 0) / (Energy!I123 + Energy!M123) *C123, 0))</f>
        <v>0</v>
      </c>
      <c r="E123" s="41" t="b">
        <f ca="1">IF(Main!$C$25="Solar", IF(Energy!W123-Energy!N123&gt;=0, TRUE, FALSE), TRUE)</f>
        <v>1</v>
      </c>
      <c r="F123" s="41">
        <f t="shared" ca="1" si="8"/>
        <v>0</v>
      </c>
      <c r="G123" s="6">
        <f ca="1">IF(A123&gt;=$B$7,IF(E123,IF(H122-$B$6/1000&gt;0,IF($B$6/1000&gt;$B$9*24*60*60,$B$9*24*60*60,$B$6/1000),H122),($B$6/1000)*(-Energy!W123+Energy!N123)/Energy!N123),0)</f>
        <v>0.219</v>
      </c>
      <c r="H123" s="6">
        <f t="shared" ca="1" si="11"/>
        <v>7.5581129589412361</v>
      </c>
      <c r="I123" t="str">
        <f t="shared" ca="1" si="9"/>
        <v>Yes</v>
      </c>
      <c r="N123" s="57">
        <v>41751</v>
      </c>
      <c r="O123" s="56">
        <v>4.4000000000000004</v>
      </c>
      <c r="P123" s="59">
        <v>42116</v>
      </c>
      <c r="Q123" s="32">
        <v>8.1999999999999993</v>
      </c>
      <c r="R123" s="59">
        <v>42116</v>
      </c>
      <c r="S123" s="19">
        <v>0.8</v>
      </c>
      <c r="T123" s="59">
        <v>41386</v>
      </c>
      <c r="U123" s="19">
        <v>0</v>
      </c>
    </row>
    <row r="124" spans="1:21" x14ac:dyDescent="0.75">
      <c r="A124" s="59">
        <f t="shared" si="6"/>
        <v>41387</v>
      </c>
      <c r="B124" s="19">
        <f t="shared" si="7"/>
        <v>0</v>
      </c>
      <c r="C124" s="41">
        <f t="shared" ca="1" si="10"/>
        <v>0</v>
      </c>
      <c r="D124" s="41">
        <f ca="1">IF(Energy!$N$3, C124, IF(C124 &gt; 0, MAX(Energy!W124- Energy!N124, 0) / (Energy!I124 + Energy!M124) *C124, 0))</f>
        <v>0</v>
      </c>
      <c r="E124" s="41" t="b">
        <f ca="1">IF(Main!$C$25="Solar", IF(Energy!W124-Energy!N124&gt;=0, TRUE, FALSE), TRUE)</f>
        <v>1</v>
      </c>
      <c r="F124" s="41">
        <f t="shared" ca="1" si="8"/>
        <v>0</v>
      </c>
      <c r="G124" s="6">
        <f ca="1">IF(A124&gt;=$B$7,IF(E124,IF(H123-$B$6/1000&gt;0,IF($B$6/1000&gt;$B$9*24*60*60,$B$9*24*60*60,$B$6/1000),H123),($B$6/1000)*(-Energy!W124+Energy!N124)/Energy!N124),0)</f>
        <v>0.219</v>
      </c>
      <c r="H124" s="6">
        <f t="shared" ca="1" si="11"/>
        <v>7.3391129589412358</v>
      </c>
      <c r="I124" t="str">
        <f t="shared" ca="1" si="9"/>
        <v>Yes</v>
      </c>
      <c r="N124" s="57">
        <v>41752</v>
      </c>
      <c r="O124" s="56">
        <v>12.8</v>
      </c>
      <c r="P124" s="59">
        <v>42117</v>
      </c>
      <c r="Q124" s="32">
        <v>8.4</v>
      </c>
      <c r="R124" s="59">
        <v>42117</v>
      </c>
      <c r="S124" s="19">
        <v>22.2</v>
      </c>
      <c r="T124" s="59">
        <v>41387</v>
      </c>
      <c r="U124" s="19">
        <v>0</v>
      </c>
    </row>
    <row r="125" spans="1:21" x14ac:dyDescent="0.75">
      <c r="A125" s="59">
        <f t="shared" si="6"/>
        <v>41388</v>
      </c>
      <c r="B125" s="19">
        <f t="shared" si="7"/>
        <v>0.6</v>
      </c>
      <c r="C125" s="41">
        <f t="shared" ca="1" si="10"/>
        <v>0.06</v>
      </c>
      <c r="D125" s="41">
        <f ca="1">IF(Energy!$N$3, C125, IF(C125 &gt; 0, MAX(Energy!W125- Energy!N125, 0) / (Energy!I125 + Energy!M125) *C125, 0))</f>
        <v>5.9999999999999956E-2</v>
      </c>
      <c r="E125" s="41" t="b">
        <f ca="1">IF(Main!$C$25="Solar", IF(Energy!W125-Energy!N125&gt;=0, TRUE, FALSE), TRUE)</f>
        <v>1</v>
      </c>
      <c r="F125" s="41">
        <f t="shared" ca="1" si="8"/>
        <v>3.3340653404536458E-2</v>
      </c>
      <c r="G125" s="6">
        <f ca="1">IF(A125&gt;=$B$7,IF(E125,IF(H124-$B$6/1000&gt;0,IF($B$6/1000&gt;$B$9*24*60*60,$B$9*24*60*60,$B$6/1000),H124),($B$6/1000)*(-Energy!W125+Energy!N125)/Energy!N125),0)</f>
        <v>0.219</v>
      </c>
      <c r="H125" s="6">
        <f t="shared" ca="1" si="11"/>
        <v>7.1801129589412351</v>
      </c>
      <c r="I125" t="str">
        <f t="shared" ca="1" si="9"/>
        <v>Yes</v>
      </c>
      <c r="N125" s="57">
        <v>41753</v>
      </c>
      <c r="O125" s="56">
        <v>26</v>
      </c>
      <c r="P125" s="59">
        <v>42118</v>
      </c>
      <c r="Q125" s="32">
        <v>1.8</v>
      </c>
      <c r="R125" s="59">
        <v>42118</v>
      </c>
      <c r="S125" s="19">
        <v>6.8</v>
      </c>
      <c r="T125" s="59">
        <v>41388</v>
      </c>
      <c r="U125" s="19">
        <v>0.6</v>
      </c>
    </row>
    <row r="126" spans="1:21" x14ac:dyDescent="0.75">
      <c r="A126" s="59">
        <f t="shared" si="6"/>
        <v>41389</v>
      </c>
      <c r="B126" s="19">
        <f t="shared" si="7"/>
        <v>1.2</v>
      </c>
      <c r="C126" s="41">
        <f t="shared" ca="1" si="10"/>
        <v>0.12</v>
      </c>
      <c r="D126" s="41">
        <f ca="1">IF(Energy!$N$3, C126, IF(C126 &gt; 0, MAX(Energy!W126- Energy!N126, 0) / (Energy!I126 + Energy!M126) *C126, 0))</f>
        <v>0.12</v>
      </c>
      <c r="E126" s="41" t="b">
        <f ca="1">IF(Main!$C$25="Solar", IF(Energy!W126-Energy!N126&gt;=0, TRUE, FALSE), TRUE)</f>
        <v>1</v>
      </c>
      <c r="F126" s="41">
        <f t="shared" ca="1" si="8"/>
        <v>6.6681306809072957E-2</v>
      </c>
      <c r="G126" s="6">
        <f ca="1">IF(A126&gt;=$B$7,IF(E126,IF(H125-$B$6/1000&gt;0,IF($B$6/1000&gt;$B$9*24*60*60,$B$9*24*60*60,$B$6/1000),H125),($B$6/1000)*(-Energy!W126+Energy!N126)/Energy!N126),0)</f>
        <v>0.219</v>
      </c>
      <c r="H126" s="6">
        <f t="shared" ca="1" si="11"/>
        <v>7.0811129589412349</v>
      </c>
      <c r="I126" t="str">
        <f t="shared" ca="1" si="9"/>
        <v>Yes</v>
      </c>
      <c r="N126" s="57">
        <v>41754</v>
      </c>
      <c r="O126" s="56">
        <v>1.8</v>
      </c>
      <c r="P126" s="59">
        <v>42119</v>
      </c>
      <c r="Q126" s="32">
        <v>0</v>
      </c>
      <c r="R126" s="59">
        <v>42119</v>
      </c>
      <c r="S126" s="19">
        <v>0.6</v>
      </c>
      <c r="T126" s="59">
        <v>41389</v>
      </c>
      <c r="U126" s="19">
        <v>1.2</v>
      </c>
    </row>
    <row r="127" spans="1:21" x14ac:dyDescent="0.75">
      <c r="A127" s="59">
        <f t="shared" si="6"/>
        <v>41390</v>
      </c>
      <c r="B127" s="19">
        <f t="shared" si="7"/>
        <v>18.600000000000001</v>
      </c>
      <c r="C127" s="41">
        <f t="shared" ca="1" si="10"/>
        <v>1.8600000000000003</v>
      </c>
      <c r="D127" s="41">
        <f ca="1">IF(Energy!$N$3, C127, IF(C127 &gt; 0, MAX(Energy!W127- Energy!N127, 0) / (Energy!I127 + Energy!M127) *C127, 0))</f>
        <v>1.8018416027186168</v>
      </c>
      <c r="E127" s="41" t="b">
        <f ca="1">IF(Main!$C$25="Solar", IF(Energy!W127-Energy!N127&gt;=0, TRUE, FALSE), TRUE)</f>
        <v>1</v>
      </c>
      <c r="F127" s="41">
        <f t="shared" ca="1" si="8"/>
        <v>1.0012429394352653</v>
      </c>
      <c r="G127" s="6">
        <f ca="1">IF(A127&gt;=$B$7,IF(E127,IF(H126-$B$6/1000&gt;0,IF($B$6/1000&gt;$B$9*24*60*60,$B$9*24*60*60,$B$6/1000),H126),($B$6/1000)*(-Energy!W127+Energy!N127)/Energy!N127),0)</f>
        <v>0.219</v>
      </c>
      <c r="H127" s="6">
        <f t="shared" ca="1" si="11"/>
        <v>8.6639545616598514</v>
      </c>
      <c r="I127" t="str">
        <f t="shared" ca="1" si="9"/>
        <v>Yes</v>
      </c>
      <c r="N127" s="57">
        <v>41755</v>
      </c>
      <c r="O127" s="56">
        <v>35</v>
      </c>
      <c r="P127" s="59">
        <v>42120</v>
      </c>
      <c r="Q127" s="32">
        <v>4.2</v>
      </c>
      <c r="R127" s="59">
        <v>42120</v>
      </c>
      <c r="S127" s="19">
        <v>0.4</v>
      </c>
      <c r="T127" s="59">
        <v>41390</v>
      </c>
      <c r="U127" s="19">
        <v>18.600000000000001</v>
      </c>
    </row>
    <row r="128" spans="1:21" x14ac:dyDescent="0.75">
      <c r="A128" s="59">
        <f t="shared" si="6"/>
        <v>41391</v>
      </c>
      <c r="B128" s="19">
        <f t="shared" si="7"/>
        <v>2.8</v>
      </c>
      <c r="C128" s="41">
        <f t="shared" ca="1" si="10"/>
        <v>0.28000000000000003</v>
      </c>
      <c r="D128" s="41">
        <f ca="1">IF(Energy!$N$3, C128, IF(C128 &gt; 0, MAX(Energy!W128- Energy!N128, 0) / (Energy!I128 + Energy!M128) *C128, 0))</f>
        <v>0.27999999999999997</v>
      </c>
      <c r="E128" s="41" t="b">
        <f ca="1">IF(Main!$C$25="Solar", IF(Energy!W128-Energy!N128&gt;=0, TRUE, FALSE), TRUE)</f>
        <v>1</v>
      </c>
      <c r="F128" s="41">
        <f t="shared" ca="1" si="8"/>
        <v>0.15558971588783688</v>
      </c>
      <c r="G128" s="6">
        <f ca="1">IF(A128&gt;=$B$7,IF(E128,IF(H127-$B$6/1000&gt;0,IF($B$6/1000&gt;$B$9*24*60*60,$B$9*24*60*60,$B$6/1000),H127),($B$6/1000)*(-Energy!W128+Energy!N128)/Energy!N128),0)</f>
        <v>0.219</v>
      </c>
      <c r="H128" s="6">
        <f t="shared" ca="1" si="11"/>
        <v>8.7249545616598514</v>
      </c>
      <c r="I128" t="str">
        <f t="shared" ca="1" si="9"/>
        <v>Yes</v>
      </c>
      <c r="N128" s="57">
        <v>41756</v>
      </c>
      <c r="O128" s="56">
        <v>7.2</v>
      </c>
      <c r="P128" s="59">
        <v>42121</v>
      </c>
      <c r="Q128" s="32">
        <v>22.4</v>
      </c>
      <c r="R128" s="59">
        <v>42121</v>
      </c>
      <c r="S128" s="19">
        <v>1.2</v>
      </c>
      <c r="T128" s="59">
        <v>41391</v>
      </c>
      <c r="U128" s="19">
        <v>2.8</v>
      </c>
    </row>
    <row r="129" spans="1:21" x14ac:dyDescent="0.75">
      <c r="A129" s="59">
        <f t="shared" si="6"/>
        <v>41392</v>
      </c>
      <c r="B129" s="19">
        <f t="shared" si="7"/>
        <v>7</v>
      </c>
      <c r="C129" s="41">
        <f t="shared" ca="1" si="10"/>
        <v>0.7</v>
      </c>
      <c r="D129" s="41">
        <f ca="1">IF(Energy!$N$3, C129, IF(C129 &gt; 0, MAX(Energy!W129- Energy!N129, 0) / (Energy!I129 + Energy!M129) *C129, 0))</f>
        <v>0.70000000000000007</v>
      </c>
      <c r="E129" s="41" t="b">
        <f ca="1">IF(Main!$C$25="Solar", IF(Energy!W129-Energy!N129&gt;=0, TRUE, FALSE), TRUE)</f>
        <v>1</v>
      </c>
      <c r="F129" s="41">
        <f t="shared" ca="1" si="8"/>
        <v>0.3889742897195923</v>
      </c>
      <c r="G129" s="6">
        <f ca="1">IF(A129&gt;=$B$7,IF(E129,IF(H128-$B$6/1000&gt;0,IF($B$6/1000&gt;$B$9*24*60*60,$B$9*24*60*60,$B$6/1000),H128),($B$6/1000)*(-Energy!W129+Energy!N129)/Energy!N129),0)</f>
        <v>0.219</v>
      </c>
      <c r="H129" s="6">
        <f t="shared" ca="1" si="11"/>
        <v>9.2059545616598513</v>
      </c>
      <c r="I129" t="str">
        <f t="shared" ca="1" si="9"/>
        <v>Yes</v>
      </c>
      <c r="N129" s="57">
        <v>41757</v>
      </c>
      <c r="O129" s="56">
        <v>0.8</v>
      </c>
      <c r="P129" s="59">
        <v>42122</v>
      </c>
      <c r="Q129" s="32">
        <v>15.4</v>
      </c>
      <c r="R129" s="59">
        <v>42122</v>
      </c>
      <c r="S129" s="19">
        <v>0.8</v>
      </c>
      <c r="T129" s="59">
        <v>41392</v>
      </c>
      <c r="U129" s="19">
        <v>7</v>
      </c>
    </row>
    <row r="130" spans="1:21" x14ac:dyDescent="0.75">
      <c r="A130" s="59">
        <f t="shared" si="6"/>
        <v>41393</v>
      </c>
      <c r="B130" s="19">
        <f t="shared" si="7"/>
        <v>0</v>
      </c>
      <c r="C130" s="41">
        <f t="shared" ca="1" si="10"/>
        <v>0</v>
      </c>
      <c r="D130" s="41">
        <f ca="1">IF(Energy!$N$3, C130, IF(C130 &gt; 0, MAX(Energy!W130- Energy!N130, 0) / (Energy!I130 + Energy!M130) *C130, 0))</f>
        <v>0</v>
      </c>
      <c r="E130" s="41" t="b">
        <f ca="1">IF(Main!$C$25="Solar", IF(Energy!W130-Energy!N130&gt;=0, TRUE, FALSE), TRUE)</f>
        <v>1</v>
      </c>
      <c r="F130" s="41">
        <f t="shared" ca="1" si="8"/>
        <v>0</v>
      </c>
      <c r="G130" s="6">
        <f ca="1">IF(A130&gt;=$B$7,IF(E130,IF(H129-$B$6/1000&gt;0,IF($B$6/1000&gt;$B$9*24*60*60,$B$9*24*60*60,$B$6/1000),H129),($B$6/1000)*(-Energy!W130+Energy!N130)/Energy!N130),0)</f>
        <v>0.219</v>
      </c>
      <c r="H130" s="6">
        <f t="shared" ca="1" si="11"/>
        <v>8.9869545616598518</v>
      </c>
      <c r="I130" t="str">
        <f t="shared" ca="1" si="9"/>
        <v>Yes</v>
      </c>
      <c r="N130" s="57">
        <v>41758</v>
      </c>
      <c r="O130" s="56">
        <v>0.1</v>
      </c>
      <c r="P130" s="59">
        <v>42123</v>
      </c>
      <c r="Q130" s="32">
        <v>27.6</v>
      </c>
      <c r="R130" s="59">
        <v>42123</v>
      </c>
      <c r="S130" s="19">
        <v>0</v>
      </c>
      <c r="T130" s="59">
        <v>41393</v>
      </c>
      <c r="U130" s="19">
        <v>0</v>
      </c>
    </row>
    <row r="131" spans="1:21" x14ac:dyDescent="0.75">
      <c r="A131" s="59">
        <f t="shared" si="6"/>
        <v>41394</v>
      </c>
      <c r="B131" s="19">
        <f t="shared" si="7"/>
        <v>0.2</v>
      </c>
      <c r="C131" s="41">
        <f t="shared" ca="1" si="10"/>
        <v>0.02</v>
      </c>
      <c r="D131" s="41">
        <f ca="1">IF(Energy!$N$3, C131, IF(C131 &gt; 0, MAX(Energy!W131- Energy!N131, 0) / (Energy!I131 + Energy!M131) *C131, 0))</f>
        <v>2.0000000000000014E-2</v>
      </c>
      <c r="E131" s="41" t="b">
        <f ca="1">IF(Main!$C$25="Solar", IF(Energy!W131-Energy!N131&gt;=0, TRUE, FALSE), TRUE)</f>
        <v>1</v>
      </c>
      <c r="F131" s="41">
        <f t="shared" ca="1" si="8"/>
        <v>1.11135511348455E-2</v>
      </c>
      <c r="G131" s="6">
        <f ca="1">IF(A131&gt;=$B$7,IF(E131,IF(H130-$B$6/1000&gt;0,IF($B$6/1000&gt;$B$9*24*60*60,$B$9*24*60*60,$B$6/1000),H130),($B$6/1000)*(-Energy!W131+Energy!N131)/Energy!N131),0)</f>
        <v>0.219</v>
      </c>
      <c r="H131" s="6">
        <f t="shared" ca="1" si="11"/>
        <v>8.787954561659852</v>
      </c>
      <c r="I131" t="str">
        <f t="shared" ca="1" si="9"/>
        <v>Yes</v>
      </c>
      <c r="N131" s="57">
        <v>41759</v>
      </c>
      <c r="O131" s="56">
        <v>0</v>
      </c>
      <c r="P131" s="59">
        <v>42124</v>
      </c>
      <c r="Q131" s="32">
        <v>4.8</v>
      </c>
      <c r="R131" s="59">
        <v>42124</v>
      </c>
      <c r="S131" s="19">
        <v>1.6</v>
      </c>
      <c r="T131" s="59">
        <v>41394</v>
      </c>
      <c r="U131" s="19">
        <v>0.2</v>
      </c>
    </row>
    <row r="132" spans="1:21" x14ac:dyDescent="0.75">
      <c r="A132" s="59">
        <f t="shared" si="6"/>
        <v>41395</v>
      </c>
      <c r="B132" s="19">
        <f t="shared" si="7"/>
        <v>0.2</v>
      </c>
      <c r="C132" s="41">
        <f t="shared" ca="1" si="10"/>
        <v>0.02</v>
      </c>
      <c r="D132" s="41">
        <f ca="1">IF(Energy!$N$3, C132, IF(C132 &gt; 0, MAX(Energy!W132- Energy!N132, 0) / (Energy!I132 + Energy!M132) *C132, 0))</f>
        <v>2.0000000000000014E-2</v>
      </c>
      <c r="E132" s="41" t="b">
        <f ca="1">IF(Main!$C$25="Solar", IF(Energy!W132-Energy!N132&gt;=0, TRUE, FALSE), TRUE)</f>
        <v>1</v>
      </c>
      <c r="F132" s="41">
        <f t="shared" ca="1" si="8"/>
        <v>1.11135511348455E-2</v>
      </c>
      <c r="G132" s="6">
        <f ca="1">IF(A132&gt;=$B$7,IF(E132,IF(H131-$B$6/1000&gt;0,IF($B$6/1000&gt;$B$9*24*60*60,$B$9*24*60*60,$B$6/1000),H131),($B$6/1000)*(-Energy!W132+Energy!N132)/Energy!N132),0)</f>
        <v>0.219</v>
      </c>
      <c r="H132" s="6">
        <f t="shared" ca="1" si="11"/>
        <v>8.5889545616598522</v>
      </c>
      <c r="I132" t="str">
        <f t="shared" ca="1" si="9"/>
        <v>Yes</v>
      </c>
      <c r="N132" s="57">
        <v>41760</v>
      </c>
      <c r="O132" s="56">
        <v>0</v>
      </c>
      <c r="P132" s="59">
        <v>42125</v>
      </c>
      <c r="Q132" s="32">
        <v>0.8</v>
      </c>
      <c r="R132" s="59">
        <v>42125</v>
      </c>
      <c r="S132" s="19">
        <v>0</v>
      </c>
      <c r="T132" s="59">
        <v>41395</v>
      </c>
      <c r="U132" s="19">
        <v>0.2</v>
      </c>
    </row>
    <row r="133" spans="1:21" x14ac:dyDescent="0.75">
      <c r="A133" s="59">
        <f t="shared" si="6"/>
        <v>41396</v>
      </c>
      <c r="B133" s="19">
        <f t="shared" si="7"/>
        <v>1</v>
      </c>
      <c r="C133" s="41">
        <f t="shared" ca="1" si="10"/>
        <v>0.1</v>
      </c>
      <c r="D133" s="41">
        <f ca="1">IF(Energy!$N$3, C133, IF(C133 &gt; 0, MAX(Energy!W133- Energy!N133, 0) / (Energy!I133 + Energy!M133) *C133, 0))</f>
        <v>9.9999999999999978E-2</v>
      </c>
      <c r="E133" s="41" t="b">
        <f ca="1">IF(Main!$C$25="Solar", IF(Energy!W133-Energy!N133&gt;=0, TRUE, FALSE), TRUE)</f>
        <v>1</v>
      </c>
      <c r="F133" s="41">
        <f t="shared" ca="1" si="8"/>
        <v>5.5567755674227455E-2</v>
      </c>
      <c r="G133" s="6">
        <f ca="1">IF(A133&gt;=$B$7,IF(E133,IF(H132-$B$6/1000&gt;0,IF($B$6/1000&gt;$B$9*24*60*60,$B$9*24*60*60,$B$6/1000),H132),($B$6/1000)*(-Energy!W133+Energy!N133)/Energy!N133),0)</f>
        <v>0.219</v>
      </c>
      <c r="H133" s="6">
        <f t="shared" ca="1" si="11"/>
        <v>8.4699545616598524</v>
      </c>
      <c r="I133" t="str">
        <f t="shared" ca="1" si="9"/>
        <v>Yes</v>
      </c>
      <c r="N133" s="57">
        <v>41761</v>
      </c>
      <c r="O133" s="56">
        <v>2</v>
      </c>
      <c r="P133" s="59">
        <v>42126</v>
      </c>
      <c r="Q133" s="32">
        <v>0</v>
      </c>
      <c r="R133" s="59">
        <v>42126</v>
      </c>
      <c r="S133" s="19">
        <v>0</v>
      </c>
      <c r="T133" s="59">
        <v>41396</v>
      </c>
      <c r="U133" s="19">
        <v>1</v>
      </c>
    </row>
    <row r="134" spans="1:21" x14ac:dyDescent="0.75">
      <c r="A134" s="59">
        <f t="shared" si="6"/>
        <v>41397</v>
      </c>
      <c r="B134" s="19">
        <f t="shared" si="7"/>
        <v>0</v>
      </c>
      <c r="C134" s="41">
        <f t="shared" ca="1" si="10"/>
        <v>0</v>
      </c>
      <c r="D134" s="41">
        <f ca="1">IF(Energy!$N$3, C134, IF(C134 &gt; 0, MAX(Energy!W134- Energy!N134, 0) / (Energy!I134 + Energy!M134) *C134, 0))</f>
        <v>0</v>
      </c>
      <c r="E134" s="41" t="b">
        <f ca="1">IF(Main!$C$25="Solar", IF(Energy!W134-Energy!N134&gt;=0, TRUE, FALSE), TRUE)</f>
        <v>1</v>
      </c>
      <c r="F134" s="41">
        <f t="shared" ca="1" si="8"/>
        <v>0</v>
      </c>
      <c r="G134" s="6">
        <f ca="1">IF(A134&gt;=$B$7,IF(E134,IF(H133-$B$6/1000&gt;0,IF($B$6/1000&gt;$B$9*24*60*60,$B$9*24*60*60,$B$6/1000),H133),($B$6/1000)*(-Energy!W134+Energy!N134)/Energy!N134),0)</f>
        <v>0.219</v>
      </c>
      <c r="H134" s="6">
        <f t="shared" ca="1" si="11"/>
        <v>8.250954561659853</v>
      </c>
      <c r="I134" t="str">
        <f t="shared" ca="1" si="9"/>
        <v>Yes</v>
      </c>
      <c r="N134" s="57">
        <v>41762</v>
      </c>
      <c r="O134" s="56">
        <v>4.5999999999999996</v>
      </c>
      <c r="P134" s="59">
        <v>42127</v>
      </c>
      <c r="Q134" s="32">
        <v>0</v>
      </c>
      <c r="R134" s="59">
        <v>42127</v>
      </c>
      <c r="S134" s="19">
        <v>0</v>
      </c>
      <c r="T134" s="59">
        <v>41397</v>
      </c>
      <c r="U134" s="19">
        <v>0</v>
      </c>
    </row>
    <row r="135" spans="1:21" x14ac:dyDescent="0.75">
      <c r="A135" s="59">
        <f t="shared" si="6"/>
        <v>41398</v>
      </c>
      <c r="B135" s="19">
        <f t="shared" si="7"/>
        <v>0</v>
      </c>
      <c r="C135" s="41">
        <f t="shared" ca="1" si="10"/>
        <v>0</v>
      </c>
      <c r="D135" s="41">
        <f ca="1">IF(Energy!$N$3, C135, IF(C135 &gt; 0, MAX(Energy!W135- Energy!N135, 0) / (Energy!I135 + Energy!M135) *C135, 0))</f>
        <v>0</v>
      </c>
      <c r="E135" s="41" t="b">
        <f ca="1">IF(Main!$C$25="Solar", IF(Energy!W135-Energy!N135&gt;=0, TRUE, FALSE), TRUE)</f>
        <v>1</v>
      </c>
      <c r="F135" s="41">
        <f t="shared" ca="1" si="8"/>
        <v>0</v>
      </c>
      <c r="G135" s="6">
        <f ca="1">IF(A135&gt;=$B$7,IF(E135,IF(H134-$B$6/1000&gt;0,IF($B$6/1000&gt;$B$9*24*60*60,$B$9*24*60*60,$B$6/1000),H134),($B$6/1000)*(-Energy!W135+Energy!N135)/Energy!N135),0)</f>
        <v>0.219</v>
      </c>
      <c r="H135" s="6">
        <f t="shared" ca="1" si="11"/>
        <v>8.0319545616598536</v>
      </c>
      <c r="I135" t="str">
        <f t="shared" ca="1" si="9"/>
        <v>Yes</v>
      </c>
      <c r="N135" s="57">
        <v>41763</v>
      </c>
      <c r="O135" s="56">
        <v>3.8</v>
      </c>
      <c r="P135" s="59">
        <v>42128</v>
      </c>
      <c r="Q135" s="32">
        <v>19.8</v>
      </c>
      <c r="R135" s="59">
        <v>42128</v>
      </c>
      <c r="S135" s="19">
        <v>0.4</v>
      </c>
      <c r="T135" s="59">
        <v>41398</v>
      </c>
      <c r="U135" s="19">
        <v>0</v>
      </c>
    </row>
    <row r="136" spans="1:21" x14ac:dyDescent="0.75">
      <c r="A136" s="59">
        <f t="shared" si="6"/>
        <v>41399</v>
      </c>
      <c r="B136" s="19">
        <f t="shared" si="7"/>
        <v>0</v>
      </c>
      <c r="C136" s="41">
        <f t="shared" ca="1" si="10"/>
        <v>0</v>
      </c>
      <c r="D136" s="41">
        <f ca="1">IF(Energy!$N$3, C136, IF(C136 &gt; 0, MAX(Energy!W136- Energy!N136, 0) / (Energy!I136 + Energy!M136) *C136, 0))</f>
        <v>0</v>
      </c>
      <c r="E136" s="41" t="b">
        <f ca="1">IF(Main!$C$25="Solar", IF(Energy!W136-Energy!N136&gt;=0, TRUE, FALSE), TRUE)</f>
        <v>1</v>
      </c>
      <c r="F136" s="41">
        <f t="shared" ca="1" si="8"/>
        <v>0</v>
      </c>
      <c r="G136" s="6">
        <f ca="1">IF(A136&gt;=$B$7,IF(E136,IF(H135-$B$6/1000&gt;0,IF($B$6/1000&gt;$B$9*24*60*60,$B$9*24*60*60,$B$6/1000),H135),($B$6/1000)*(-Energy!W136+Energy!N136)/Energy!N136),0)</f>
        <v>0.219</v>
      </c>
      <c r="H136" s="6">
        <f t="shared" ca="1" si="11"/>
        <v>7.8129545616598532</v>
      </c>
      <c r="I136" t="str">
        <f t="shared" ca="1" si="9"/>
        <v>Yes</v>
      </c>
      <c r="N136" s="57">
        <v>41764</v>
      </c>
      <c r="O136" s="56">
        <v>0</v>
      </c>
      <c r="P136" s="59">
        <v>42129</v>
      </c>
      <c r="Q136" s="32">
        <v>0.4</v>
      </c>
      <c r="R136" s="59">
        <v>42129</v>
      </c>
      <c r="S136" s="19">
        <v>1.6</v>
      </c>
      <c r="T136" s="59">
        <v>41399</v>
      </c>
      <c r="U136" s="19">
        <v>0</v>
      </c>
    </row>
    <row r="137" spans="1:21" x14ac:dyDescent="0.75">
      <c r="A137" s="59">
        <f t="shared" si="6"/>
        <v>41400</v>
      </c>
      <c r="B137" s="19">
        <f t="shared" si="7"/>
        <v>0</v>
      </c>
      <c r="C137" s="41">
        <f t="shared" ca="1" si="10"/>
        <v>0</v>
      </c>
      <c r="D137" s="41">
        <f ca="1">IF(Energy!$N$3, C137, IF(C137 &gt; 0, MAX(Energy!W137- Energy!N137, 0) / (Energy!I137 + Energy!M137) *C137, 0))</f>
        <v>0</v>
      </c>
      <c r="E137" s="41" t="b">
        <f ca="1">IF(Main!$C$25="Solar", IF(Energy!W137-Energy!N137&gt;=0, TRUE, FALSE), TRUE)</f>
        <v>1</v>
      </c>
      <c r="F137" s="41">
        <f t="shared" ca="1" si="8"/>
        <v>0</v>
      </c>
      <c r="G137" s="6">
        <f ca="1">IF(A137&gt;=$B$7,IF(E137,IF(H136-$B$6/1000&gt;0,IF($B$6/1000&gt;$B$9*24*60*60,$B$9*24*60*60,$B$6/1000),H136),($B$6/1000)*(-Energy!W137+Energy!N137)/Energy!N137),0)</f>
        <v>0.219</v>
      </c>
      <c r="H137" s="6">
        <f t="shared" ca="1" si="11"/>
        <v>7.5939545616598529</v>
      </c>
      <c r="I137" t="str">
        <f t="shared" ca="1" si="9"/>
        <v>Yes</v>
      </c>
      <c r="N137" s="57">
        <v>41765</v>
      </c>
      <c r="O137" s="56">
        <v>0</v>
      </c>
      <c r="P137" s="59">
        <v>42130</v>
      </c>
      <c r="Q137" s="32">
        <v>0</v>
      </c>
      <c r="R137" s="59">
        <v>42130</v>
      </c>
      <c r="S137" s="19">
        <v>0</v>
      </c>
      <c r="T137" s="59">
        <v>41400</v>
      </c>
      <c r="U137" s="19">
        <v>0</v>
      </c>
    </row>
    <row r="138" spans="1:21" x14ac:dyDescent="0.75">
      <c r="A138" s="59">
        <f t="shared" si="6"/>
        <v>41401</v>
      </c>
      <c r="B138" s="19">
        <f t="shared" si="7"/>
        <v>0</v>
      </c>
      <c r="C138" s="41">
        <f t="shared" ca="1" si="10"/>
        <v>0</v>
      </c>
      <c r="D138" s="41">
        <f ca="1">IF(Energy!$N$3, C138, IF(C138 &gt; 0, MAX(Energy!W138- Energy!N138, 0) / (Energy!I138 + Energy!M138) *C138, 0))</f>
        <v>0</v>
      </c>
      <c r="E138" s="41" t="b">
        <f ca="1">IF(Main!$C$25="Solar", IF(Energy!W138-Energy!N138&gt;=0, TRUE, FALSE), TRUE)</f>
        <v>1</v>
      </c>
      <c r="F138" s="41">
        <f t="shared" ca="1" si="8"/>
        <v>0</v>
      </c>
      <c r="G138" s="6">
        <f ca="1">IF(A138&gt;=$B$7,IF(E138,IF(H137-$B$6/1000&gt;0,IF($B$6/1000&gt;$B$9*24*60*60,$B$9*24*60*60,$B$6/1000),H137),($B$6/1000)*(-Energy!W138+Energy!N138)/Energy!N138),0)</f>
        <v>0.219</v>
      </c>
      <c r="H138" s="6">
        <f t="shared" ca="1" si="11"/>
        <v>7.3749545616598526</v>
      </c>
      <c r="I138" t="str">
        <f t="shared" ca="1" si="9"/>
        <v>Yes</v>
      </c>
      <c r="N138" s="57">
        <v>41766</v>
      </c>
      <c r="O138" s="56">
        <v>0</v>
      </c>
      <c r="P138" s="59">
        <v>42131</v>
      </c>
      <c r="Q138" s="32">
        <v>0</v>
      </c>
      <c r="R138" s="59">
        <v>42131</v>
      </c>
      <c r="S138" s="19">
        <v>0</v>
      </c>
      <c r="T138" s="59">
        <v>41401</v>
      </c>
      <c r="U138" s="19">
        <v>0</v>
      </c>
    </row>
    <row r="139" spans="1:21" x14ac:dyDescent="0.75">
      <c r="A139" s="59">
        <f t="shared" si="6"/>
        <v>41402</v>
      </c>
      <c r="B139" s="19">
        <f t="shared" si="7"/>
        <v>0</v>
      </c>
      <c r="C139" s="41">
        <f t="shared" ca="1" si="10"/>
        <v>0</v>
      </c>
      <c r="D139" s="41">
        <f ca="1">IF(Energy!$N$3, C139, IF(C139 &gt; 0, MAX(Energy!W139- Energy!N139, 0) / (Energy!I139 + Energy!M139) *C139, 0))</f>
        <v>0</v>
      </c>
      <c r="E139" s="41" t="b">
        <f ca="1">IF(Main!$C$25="Solar", IF(Energy!W139-Energy!N139&gt;=0, TRUE, FALSE), TRUE)</f>
        <v>1</v>
      </c>
      <c r="F139" s="41">
        <f t="shared" ca="1" si="8"/>
        <v>0</v>
      </c>
      <c r="G139" s="6">
        <f ca="1">IF(A139&gt;=$B$7,IF(E139,IF(H138-$B$6/1000&gt;0,IF($B$6/1000&gt;$B$9*24*60*60,$B$9*24*60*60,$B$6/1000),H138),($B$6/1000)*(-Energy!W139+Energy!N139)/Energy!N139),0)</f>
        <v>0.219</v>
      </c>
      <c r="H139" s="6">
        <f t="shared" ca="1" si="11"/>
        <v>7.1559545616598523</v>
      </c>
      <c r="I139" t="str">
        <f t="shared" ca="1" si="9"/>
        <v>Yes</v>
      </c>
      <c r="N139" s="57">
        <v>41767</v>
      </c>
      <c r="O139" s="56">
        <v>0</v>
      </c>
      <c r="P139" s="59">
        <v>42132</v>
      </c>
      <c r="Q139" s="32">
        <v>0</v>
      </c>
      <c r="R139" s="59">
        <v>42132</v>
      </c>
      <c r="S139" s="19">
        <v>0</v>
      </c>
      <c r="T139" s="59">
        <v>41402</v>
      </c>
      <c r="U139" s="19">
        <v>0</v>
      </c>
    </row>
    <row r="140" spans="1:21" x14ac:dyDescent="0.75">
      <c r="A140" s="59">
        <f t="shared" ref="A140:A203" si="12">IF($B$10="Station 1 2014", N140, IF($B$10="Station 1 2015", P140, IF($B$10="Station 2 2015", R140, T140)))</f>
        <v>41403</v>
      </c>
      <c r="B140" s="19">
        <f t="shared" ref="B140:B203" si="13">IF($B$10="Station 1 2014", O140, IF($B$10="Station 1 2015", Q140, IF($B$10="Station 2 2015", S140, U140)))</f>
        <v>0</v>
      </c>
      <c r="C140" s="41">
        <f t="shared" ca="1" si="10"/>
        <v>0</v>
      </c>
      <c r="D140" s="41">
        <f ca="1">IF(Energy!$N$3, C140, IF(C140 &gt; 0, MAX(Energy!W140- Energy!N140, 0) / (Energy!I140 + Energy!M140) *C140, 0))</f>
        <v>0</v>
      </c>
      <c r="E140" s="41" t="b">
        <f ca="1">IF(Main!$C$25="Solar", IF(Energy!W140-Energy!N140&gt;=0, TRUE, FALSE), TRUE)</f>
        <v>1</v>
      </c>
      <c r="F140" s="41">
        <f t="shared" ref="F140:F203" ca="1" si="14">D140/($B$8*60*60)</f>
        <v>0</v>
      </c>
      <c r="G140" s="6">
        <f ca="1">IF(A140&gt;=$B$7,IF(E140,IF(H139-$B$6/1000&gt;0,IF($B$6/1000&gt;$B$9*24*60*60,$B$9*24*60*60,$B$6/1000),H139),($B$6/1000)*(-Energy!W140+Energy!N140)/Energy!N140),0)</f>
        <v>0.219</v>
      </c>
      <c r="H140" s="6">
        <f t="shared" ca="1" si="11"/>
        <v>6.936954561659852</v>
      </c>
      <c r="I140" t="str">
        <f t="shared" ref="I140:I203" ca="1" si="15">IF(A140&gt;=$B$7,IF(G140&gt;=$B$6/1000, IF(E140=TRUE,"Yes","No"),"No"), "Yes")</f>
        <v>Yes</v>
      </c>
      <c r="N140" s="57">
        <v>41768</v>
      </c>
      <c r="O140" s="56">
        <v>0</v>
      </c>
      <c r="P140" s="59">
        <v>42133</v>
      </c>
      <c r="Q140" s="32">
        <v>0</v>
      </c>
      <c r="R140" s="59">
        <v>42133</v>
      </c>
      <c r="S140" s="19">
        <v>0</v>
      </c>
      <c r="T140" s="59">
        <v>41403</v>
      </c>
      <c r="U140" s="19">
        <v>0</v>
      </c>
    </row>
    <row r="141" spans="1:21" x14ac:dyDescent="0.75">
      <c r="A141" s="59">
        <f t="shared" si="12"/>
        <v>41404</v>
      </c>
      <c r="B141" s="19">
        <f t="shared" si="13"/>
        <v>0</v>
      </c>
      <c r="C141" s="41">
        <f t="shared" ref="C141:C204" ca="1" si="16">IF(IF(B141*$B$2/1000&gt;$B$4, $B$4, B141*$B$2/1000)&gt;$B$8*24*60*60, $B$8*24*60*60, (IF(B141*$B$2/1000&gt;$B$4, $B$4, B141*$B$2/1000)))</f>
        <v>0</v>
      </c>
      <c r="D141" s="41">
        <f ca="1">IF(Energy!$N$3, C141, IF(C141 &gt; 0, MAX(Energy!W141- Energy!N141, 0) / (Energy!I141 + Energy!M141) *C141, 0))</f>
        <v>0</v>
      </c>
      <c r="E141" s="41" t="b">
        <f ca="1">IF(Main!$C$25="Solar", IF(Energy!W141-Energy!N141&gt;=0, TRUE, FALSE), TRUE)</f>
        <v>1</v>
      </c>
      <c r="F141" s="41">
        <f t="shared" ca="1" si="14"/>
        <v>0</v>
      </c>
      <c r="G141" s="6">
        <f ca="1">IF(A141&gt;=$B$7,IF(E141,IF(H140-$B$6/1000&gt;0,IF($B$6/1000&gt;$B$9*24*60*60,$B$9*24*60*60,$B$6/1000),H140),($B$6/1000)*(-Energy!W141+Energy!N141)/Energy!N141),0)</f>
        <v>0.219</v>
      </c>
      <c r="H141" s="6">
        <f t="shared" ref="H141:H204" ca="1" si="17">IF(H140+D141-G141&gt;$B$3, $B$3, IF(H140+D141-G141&lt;0, 0, H140+D141-G141))</f>
        <v>6.7179545616598517</v>
      </c>
      <c r="I141" t="str">
        <f t="shared" ca="1" si="15"/>
        <v>Yes</v>
      </c>
      <c r="N141" s="57">
        <v>41769</v>
      </c>
      <c r="O141" s="56">
        <v>0.2</v>
      </c>
      <c r="P141" s="59">
        <v>42134</v>
      </c>
      <c r="Q141" s="32">
        <v>0.4</v>
      </c>
      <c r="R141" s="59">
        <v>42134</v>
      </c>
      <c r="S141" s="19">
        <v>0</v>
      </c>
      <c r="T141" s="59">
        <v>41404</v>
      </c>
      <c r="U141" s="19">
        <v>0</v>
      </c>
    </row>
    <row r="142" spans="1:21" x14ac:dyDescent="0.75">
      <c r="A142" s="59">
        <f t="shared" si="12"/>
        <v>41405</v>
      </c>
      <c r="B142" s="19">
        <f t="shared" si="13"/>
        <v>21.8</v>
      </c>
      <c r="C142" s="41">
        <f t="shared" ca="1" si="16"/>
        <v>2.1800000000000002</v>
      </c>
      <c r="D142" s="41">
        <f ca="1">IF(Energy!$N$3, C142, IF(C142 &gt; 0, MAX(Energy!W142- Energy!N142, 0) / (Energy!I142 + Energy!M142) *C142, 0))</f>
        <v>1.9953432026518436</v>
      </c>
      <c r="E142" s="41" t="b">
        <f ca="1">IF(Main!$C$25="Solar", IF(Energy!W142-Energy!N142&gt;=0, TRUE, FALSE), TRUE)</f>
        <v>1</v>
      </c>
      <c r="F142" s="41">
        <f t="shared" ca="1" si="14"/>
        <v>1.108767435711882</v>
      </c>
      <c r="G142" s="6">
        <f ca="1">IF(A142&gt;=$B$7,IF(E142,IF(H141-$B$6/1000&gt;0,IF($B$6/1000&gt;$B$9*24*60*60,$B$9*24*60*60,$B$6/1000),H141),($B$6/1000)*(-Energy!W142+Energy!N142)/Energy!N142),0)</f>
        <v>0.219</v>
      </c>
      <c r="H142" s="6">
        <f t="shared" ca="1" si="17"/>
        <v>8.4942977643116961</v>
      </c>
      <c r="I142" t="str">
        <f t="shared" ca="1" si="15"/>
        <v>Yes</v>
      </c>
      <c r="N142" s="57">
        <v>41770</v>
      </c>
      <c r="O142" s="56">
        <v>0</v>
      </c>
      <c r="P142" s="59">
        <v>42135</v>
      </c>
      <c r="Q142" s="32">
        <v>0</v>
      </c>
      <c r="R142" s="59">
        <v>42135</v>
      </c>
      <c r="S142" s="19">
        <v>0</v>
      </c>
      <c r="T142" s="59">
        <v>41405</v>
      </c>
      <c r="U142" s="19">
        <v>21.8</v>
      </c>
    </row>
    <row r="143" spans="1:21" x14ac:dyDescent="0.75">
      <c r="A143" s="59">
        <f t="shared" si="12"/>
        <v>41406</v>
      </c>
      <c r="B143" s="19">
        <f t="shared" si="13"/>
        <v>9.1</v>
      </c>
      <c r="C143" s="41">
        <f t="shared" ca="1" si="16"/>
        <v>0.91</v>
      </c>
      <c r="D143" s="41">
        <f ca="1">IF(Energy!$N$3, C143, IF(C143 &gt; 0, MAX(Energy!W143- Energy!N143, 0) / (Energy!I143 + Energy!M143) *C143, 0))</f>
        <v>0.91</v>
      </c>
      <c r="E143" s="41" t="b">
        <f ca="1">IF(Main!$C$25="Solar", IF(Energy!W143-Energy!N143&gt;=0, TRUE, FALSE), TRUE)</f>
        <v>1</v>
      </c>
      <c r="F143" s="41">
        <f t="shared" ca="1" si="14"/>
        <v>0.50566657663546999</v>
      </c>
      <c r="G143" s="6">
        <f ca="1">IF(A143&gt;=$B$7,IF(E143,IF(H142-$B$6/1000&gt;0,IF($B$6/1000&gt;$B$9*24*60*60,$B$9*24*60*60,$B$6/1000),H142),($B$6/1000)*(-Energy!W143+Energy!N143)/Energy!N143),0)</f>
        <v>0.219</v>
      </c>
      <c r="H143" s="6">
        <f t="shared" ca="1" si="17"/>
        <v>9.1852977643116969</v>
      </c>
      <c r="I143" t="str">
        <f t="shared" ca="1" si="15"/>
        <v>Yes</v>
      </c>
      <c r="N143" s="57">
        <v>41771</v>
      </c>
      <c r="O143" s="56">
        <v>0.2</v>
      </c>
      <c r="P143" s="59">
        <v>42136</v>
      </c>
      <c r="Q143" s="32">
        <v>0</v>
      </c>
      <c r="R143" s="59">
        <v>42136</v>
      </c>
      <c r="S143" s="19">
        <v>9.4</v>
      </c>
      <c r="T143" s="59">
        <v>41406</v>
      </c>
      <c r="U143" s="19">
        <v>9.1</v>
      </c>
    </row>
    <row r="144" spans="1:21" x14ac:dyDescent="0.75">
      <c r="A144" s="59">
        <f t="shared" si="12"/>
        <v>41407</v>
      </c>
      <c r="B144" s="19">
        <f t="shared" si="13"/>
        <v>1</v>
      </c>
      <c r="C144" s="41">
        <f t="shared" ca="1" si="16"/>
        <v>0.1</v>
      </c>
      <c r="D144" s="41">
        <f ca="1">IF(Energy!$N$3, C144, IF(C144 &gt; 0, MAX(Energy!W144- Energy!N144, 0) / (Energy!I144 + Energy!M144) *C144, 0))</f>
        <v>9.9999999999999978E-2</v>
      </c>
      <c r="E144" s="41" t="b">
        <f ca="1">IF(Main!$C$25="Solar", IF(Energy!W144-Energy!N144&gt;=0, TRUE, FALSE), TRUE)</f>
        <v>1</v>
      </c>
      <c r="F144" s="41">
        <f t="shared" ca="1" si="14"/>
        <v>5.5567755674227455E-2</v>
      </c>
      <c r="G144" s="6">
        <f ca="1">IF(A144&gt;=$B$7,IF(E144,IF(H143-$B$6/1000&gt;0,IF($B$6/1000&gt;$B$9*24*60*60,$B$9*24*60*60,$B$6/1000),H143),($B$6/1000)*(-Energy!W144+Energy!N144)/Energy!N144),0)</f>
        <v>0.219</v>
      </c>
      <c r="H144" s="6">
        <f t="shared" ca="1" si="17"/>
        <v>9.0662977643116971</v>
      </c>
      <c r="I144" t="str">
        <f t="shared" ca="1" si="15"/>
        <v>Yes</v>
      </c>
      <c r="N144" s="57">
        <v>41772</v>
      </c>
      <c r="O144" s="56">
        <v>0</v>
      </c>
      <c r="P144" s="59">
        <v>42137</v>
      </c>
      <c r="Q144" s="32">
        <v>0</v>
      </c>
      <c r="R144" s="59">
        <v>42137</v>
      </c>
      <c r="S144" s="19">
        <v>2.2000000000000002</v>
      </c>
      <c r="T144" s="59">
        <v>41407</v>
      </c>
      <c r="U144" s="19">
        <v>1</v>
      </c>
    </row>
    <row r="145" spans="1:21" x14ac:dyDescent="0.75">
      <c r="A145" s="59">
        <f t="shared" si="12"/>
        <v>41408</v>
      </c>
      <c r="B145" s="19">
        <f t="shared" si="13"/>
        <v>2.6</v>
      </c>
      <c r="C145" s="41">
        <f t="shared" ca="1" si="16"/>
        <v>0.26</v>
      </c>
      <c r="D145" s="41">
        <f ca="1">IF(Energy!$N$3, C145, IF(C145 &gt; 0, MAX(Energy!W145- Energy!N145, 0) / (Energy!I145 + Energy!M145) *C145, 0))</f>
        <v>0.25999999999999995</v>
      </c>
      <c r="E145" s="41" t="b">
        <f ca="1">IF(Main!$C$25="Solar", IF(Energy!W145-Energy!N145&gt;=0, TRUE, FALSE), TRUE)</f>
        <v>1</v>
      </c>
      <c r="F145" s="41">
        <f t="shared" ca="1" si="14"/>
        <v>0.14447616475299138</v>
      </c>
      <c r="G145" s="6">
        <f ca="1">IF(A145&gt;=$B$7,IF(E145,IF(H144-$B$6/1000&gt;0,IF($B$6/1000&gt;$B$9*24*60*60,$B$9*24*60*60,$B$6/1000),H144),($B$6/1000)*(-Energy!W145+Energy!N145)/Energy!N145),0)</f>
        <v>0.219</v>
      </c>
      <c r="H145" s="6">
        <f t="shared" ca="1" si="17"/>
        <v>9.1072977643116975</v>
      </c>
      <c r="I145" t="str">
        <f t="shared" ca="1" si="15"/>
        <v>Yes</v>
      </c>
      <c r="N145" s="57">
        <v>41773</v>
      </c>
      <c r="O145" s="56">
        <v>0</v>
      </c>
      <c r="P145" s="59">
        <v>42138</v>
      </c>
      <c r="Q145" s="32">
        <v>0</v>
      </c>
      <c r="R145" s="59">
        <v>42138</v>
      </c>
      <c r="S145" s="19">
        <v>0.4</v>
      </c>
      <c r="T145" s="59">
        <v>41408</v>
      </c>
      <c r="U145" s="19">
        <v>2.6</v>
      </c>
    </row>
    <row r="146" spans="1:21" x14ac:dyDescent="0.75">
      <c r="A146" s="59">
        <f t="shared" si="12"/>
        <v>41409</v>
      </c>
      <c r="B146" s="19">
        <f t="shared" si="13"/>
        <v>1.2</v>
      </c>
      <c r="C146" s="41">
        <f t="shared" ca="1" si="16"/>
        <v>0.12</v>
      </c>
      <c r="D146" s="41">
        <f ca="1">IF(Energy!$N$3, C146, IF(C146 &gt; 0, MAX(Energy!W146- Energy!N146, 0) / (Energy!I146 + Energy!M146) *C146, 0))</f>
        <v>0.12</v>
      </c>
      <c r="E146" s="41" t="b">
        <f ca="1">IF(Main!$C$25="Solar", IF(Energy!W146-Energy!N146&gt;=0, TRUE, FALSE), TRUE)</f>
        <v>1</v>
      </c>
      <c r="F146" s="41">
        <f t="shared" ca="1" si="14"/>
        <v>6.6681306809072957E-2</v>
      </c>
      <c r="G146" s="6">
        <f ca="1">IF(A146&gt;=$B$7,IF(E146,IF(H145-$B$6/1000&gt;0,IF($B$6/1000&gt;$B$9*24*60*60,$B$9*24*60*60,$B$6/1000),H145),($B$6/1000)*(-Energy!W146+Energy!N146)/Energy!N146),0)</f>
        <v>0.219</v>
      </c>
      <c r="H146" s="6">
        <f t="shared" ca="1" si="17"/>
        <v>9.0082977643116973</v>
      </c>
      <c r="I146" t="str">
        <f t="shared" ca="1" si="15"/>
        <v>Yes</v>
      </c>
      <c r="N146" s="57">
        <v>41774</v>
      </c>
      <c r="O146" s="56">
        <v>0</v>
      </c>
      <c r="P146" s="59">
        <v>42139</v>
      </c>
      <c r="Q146" s="32">
        <v>0</v>
      </c>
      <c r="R146" s="59">
        <v>42139</v>
      </c>
      <c r="S146" s="19">
        <v>0</v>
      </c>
      <c r="T146" s="59">
        <v>41409</v>
      </c>
      <c r="U146" s="19">
        <v>1.2</v>
      </c>
    </row>
    <row r="147" spans="1:21" x14ac:dyDescent="0.75">
      <c r="A147" s="59">
        <f t="shared" si="12"/>
        <v>41410</v>
      </c>
      <c r="B147" s="19">
        <f t="shared" si="13"/>
        <v>0</v>
      </c>
      <c r="C147" s="41">
        <f t="shared" ca="1" si="16"/>
        <v>0</v>
      </c>
      <c r="D147" s="41">
        <f ca="1">IF(Energy!$N$3, C147, IF(C147 &gt; 0, MAX(Energy!W147- Energy!N147, 0) / (Energy!I147 + Energy!M147) *C147, 0))</f>
        <v>0</v>
      </c>
      <c r="E147" s="41" t="b">
        <f ca="1">IF(Main!$C$25="Solar", IF(Energy!W147-Energy!N147&gt;=0, TRUE, FALSE), TRUE)</f>
        <v>1</v>
      </c>
      <c r="F147" s="41">
        <f t="shared" ca="1" si="14"/>
        <v>0</v>
      </c>
      <c r="G147" s="6">
        <f ca="1">IF(A147&gt;=$B$7,IF(E147,IF(H146-$B$6/1000&gt;0,IF($B$6/1000&gt;$B$9*24*60*60,$B$9*24*60*60,$B$6/1000),H146),($B$6/1000)*(-Energy!W147+Energy!N147)/Energy!N147),0)</f>
        <v>0.219</v>
      </c>
      <c r="H147" s="6">
        <f t="shared" ca="1" si="17"/>
        <v>8.7892977643116978</v>
      </c>
      <c r="I147" t="str">
        <f t="shared" ca="1" si="15"/>
        <v>Yes</v>
      </c>
      <c r="N147" s="57">
        <v>41775</v>
      </c>
      <c r="O147" s="56">
        <v>2.8</v>
      </c>
      <c r="P147" s="59">
        <v>42140</v>
      </c>
      <c r="Q147" s="32">
        <v>0.2</v>
      </c>
      <c r="R147" s="59">
        <v>42140</v>
      </c>
      <c r="S147" s="19">
        <v>0</v>
      </c>
      <c r="T147" s="59">
        <v>41410</v>
      </c>
      <c r="U147" s="19">
        <v>0</v>
      </c>
    </row>
    <row r="148" spans="1:21" x14ac:dyDescent="0.75">
      <c r="A148" s="59">
        <f t="shared" si="12"/>
        <v>41411</v>
      </c>
      <c r="B148" s="19">
        <f t="shared" si="13"/>
        <v>0.4</v>
      </c>
      <c r="C148" s="41">
        <f t="shared" ca="1" si="16"/>
        <v>0.04</v>
      </c>
      <c r="D148" s="41">
        <f ca="1">IF(Energy!$N$3, C148, IF(C148 &gt; 0, MAX(Energy!W148- Energy!N148, 0) / (Energy!I148 + Energy!M148) *C148, 0))</f>
        <v>4.0000000000000029E-2</v>
      </c>
      <c r="E148" s="41" t="b">
        <f ca="1">IF(Main!$C$25="Solar", IF(Energy!W148-Energy!N148&gt;=0, TRUE, FALSE), TRUE)</f>
        <v>1</v>
      </c>
      <c r="F148" s="41">
        <f t="shared" ca="1" si="14"/>
        <v>2.2227102269691001E-2</v>
      </c>
      <c r="G148" s="6">
        <f ca="1">IF(A148&gt;=$B$7,IF(E148,IF(H147-$B$6/1000&gt;0,IF($B$6/1000&gt;$B$9*24*60*60,$B$9*24*60*60,$B$6/1000),H147),($B$6/1000)*(-Energy!W148+Energy!N148)/Energy!N148),0)</f>
        <v>0.219</v>
      </c>
      <c r="H148" s="6">
        <f t="shared" ca="1" si="17"/>
        <v>8.6102977643116976</v>
      </c>
      <c r="I148" t="str">
        <f t="shared" ca="1" si="15"/>
        <v>Yes</v>
      </c>
      <c r="N148" s="57">
        <v>41776</v>
      </c>
      <c r="O148" s="56">
        <v>0</v>
      </c>
      <c r="P148" s="59">
        <v>42141</v>
      </c>
      <c r="Q148" s="32">
        <v>0</v>
      </c>
      <c r="R148" s="59">
        <v>42141</v>
      </c>
      <c r="S148" s="19">
        <v>0</v>
      </c>
      <c r="T148" s="59">
        <v>41411</v>
      </c>
      <c r="U148" s="19">
        <v>0.4</v>
      </c>
    </row>
    <row r="149" spans="1:21" x14ac:dyDescent="0.75">
      <c r="A149" s="59">
        <f t="shared" si="12"/>
        <v>41412</v>
      </c>
      <c r="B149" s="19">
        <f t="shared" si="13"/>
        <v>1.6</v>
      </c>
      <c r="C149" s="41">
        <f t="shared" ca="1" si="16"/>
        <v>0.16</v>
      </c>
      <c r="D149" s="41">
        <f ca="1">IF(Energy!$N$3, C149, IF(C149 &gt; 0, MAX(Energy!W149- Energy!N149, 0) / (Energy!I149 + Energy!M149) *C149, 0))</f>
        <v>0.16000000000000003</v>
      </c>
      <c r="E149" s="41" t="b">
        <f ca="1">IF(Main!$C$25="Solar", IF(Energy!W149-Energy!N149&gt;=0, TRUE, FALSE), TRUE)</f>
        <v>1</v>
      </c>
      <c r="F149" s="41">
        <f t="shared" ca="1" si="14"/>
        <v>8.8908409078763961E-2</v>
      </c>
      <c r="G149" s="6">
        <f ca="1">IF(A149&gt;=$B$7,IF(E149,IF(H148-$B$6/1000&gt;0,IF($B$6/1000&gt;$B$9*24*60*60,$B$9*24*60*60,$B$6/1000),H148),($B$6/1000)*(-Energy!W149+Energy!N149)/Energy!N149),0)</f>
        <v>0.219</v>
      </c>
      <c r="H149" s="6">
        <f t="shared" ca="1" si="17"/>
        <v>8.5512977643116983</v>
      </c>
      <c r="I149" t="str">
        <f t="shared" ca="1" si="15"/>
        <v>Yes</v>
      </c>
      <c r="N149" s="57">
        <v>41777</v>
      </c>
      <c r="O149" s="56">
        <v>0</v>
      </c>
      <c r="P149" s="59">
        <v>42142</v>
      </c>
      <c r="Q149" s="32">
        <v>0</v>
      </c>
      <c r="R149" s="59">
        <v>42142</v>
      </c>
      <c r="S149" s="19">
        <v>0</v>
      </c>
      <c r="T149" s="59">
        <v>41412</v>
      </c>
      <c r="U149" s="19">
        <v>1.6</v>
      </c>
    </row>
    <row r="150" spans="1:21" x14ac:dyDescent="0.75">
      <c r="A150" s="59">
        <f t="shared" si="12"/>
        <v>41413</v>
      </c>
      <c r="B150" s="19">
        <f t="shared" si="13"/>
        <v>0</v>
      </c>
      <c r="C150" s="41">
        <f t="shared" ca="1" si="16"/>
        <v>0</v>
      </c>
      <c r="D150" s="41">
        <f ca="1">IF(Energy!$N$3, C150, IF(C150 &gt; 0, MAX(Energy!W150- Energy!N150, 0) / (Energy!I150 + Energy!M150) *C150, 0))</f>
        <v>0</v>
      </c>
      <c r="E150" s="41" t="b">
        <f ca="1">IF(Main!$C$25="Solar", IF(Energy!W150-Energy!N150&gt;=0, TRUE, FALSE), TRUE)</f>
        <v>1</v>
      </c>
      <c r="F150" s="41">
        <f t="shared" ca="1" si="14"/>
        <v>0</v>
      </c>
      <c r="G150" s="6">
        <f ca="1">IF(A150&gt;=$B$7,IF(E150,IF(H149-$B$6/1000&gt;0,IF($B$6/1000&gt;$B$9*24*60*60,$B$9*24*60*60,$B$6/1000),H149),($B$6/1000)*(-Energy!W150+Energy!N150)/Energy!N150),0)</f>
        <v>0.219</v>
      </c>
      <c r="H150" s="6">
        <f t="shared" ca="1" si="17"/>
        <v>8.3322977643116989</v>
      </c>
      <c r="I150" t="str">
        <f t="shared" ca="1" si="15"/>
        <v>Yes</v>
      </c>
      <c r="N150" s="57">
        <v>41778</v>
      </c>
      <c r="O150" s="56">
        <v>0</v>
      </c>
      <c r="P150" s="59">
        <v>42143</v>
      </c>
      <c r="Q150" s="32">
        <v>0</v>
      </c>
      <c r="R150" s="59">
        <v>42143</v>
      </c>
      <c r="S150" s="19">
        <v>0</v>
      </c>
      <c r="T150" s="59">
        <v>41413</v>
      </c>
      <c r="U150" s="19">
        <v>0</v>
      </c>
    </row>
    <row r="151" spans="1:21" x14ac:dyDescent="0.75">
      <c r="A151" s="59">
        <f t="shared" si="12"/>
        <v>41414</v>
      </c>
      <c r="B151" s="19">
        <f t="shared" si="13"/>
        <v>2.8</v>
      </c>
      <c r="C151" s="41">
        <f t="shared" ca="1" si="16"/>
        <v>0.28000000000000003</v>
      </c>
      <c r="D151" s="41">
        <f ca="1">IF(Energy!$N$3, C151, IF(C151 &gt; 0, MAX(Energy!W151- Energy!N151, 0) / (Energy!I151 + Energy!M151) *C151, 0))</f>
        <v>0.27999999999999997</v>
      </c>
      <c r="E151" s="41" t="b">
        <f ca="1">IF(Main!$C$25="Solar", IF(Energy!W151-Energy!N151&gt;=0, TRUE, FALSE), TRUE)</f>
        <v>1</v>
      </c>
      <c r="F151" s="41">
        <f t="shared" ca="1" si="14"/>
        <v>0.15558971588783688</v>
      </c>
      <c r="G151" s="6">
        <f ca="1">IF(A151&gt;=$B$7,IF(E151,IF(H150-$B$6/1000&gt;0,IF($B$6/1000&gt;$B$9*24*60*60,$B$9*24*60*60,$B$6/1000),H150),($B$6/1000)*(-Energy!W151+Energy!N151)/Energy!N151),0)</f>
        <v>0.219</v>
      </c>
      <c r="H151" s="6">
        <f t="shared" ca="1" si="17"/>
        <v>8.3932977643116988</v>
      </c>
      <c r="I151" t="str">
        <f t="shared" ca="1" si="15"/>
        <v>Yes</v>
      </c>
      <c r="N151" s="57">
        <v>41779</v>
      </c>
      <c r="O151" s="56">
        <v>0</v>
      </c>
      <c r="P151" s="59">
        <v>42144</v>
      </c>
      <c r="Q151" s="32">
        <v>0</v>
      </c>
      <c r="R151" s="59">
        <v>42144</v>
      </c>
      <c r="S151" s="19">
        <v>0</v>
      </c>
      <c r="T151" s="59">
        <v>41414</v>
      </c>
      <c r="U151" s="19">
        <v>2.8</v>
      </c>
    </row>
    <row r="152" spans="1:21" x14ac:dyDescent="0.75">
      <c r="A152" s="59">
        <f t="shared" si="12"/>
        <v>41415</v>
      </c>
      <c r="B152" s="19">
        <f t="shared" si="13"/>
        <v>3.6</v>
      </c>
      <c r="C152" s="41">
        <f t="shared" ca="1" si="16"/>
        <v>0.36</v>
      </c>
      <c r="D152" s="41">
        <f ca="1">IF(Energy!$N$3, C152, IF(C152 &gt; 0, MAX(Energy!W152- Energy!N152, 0) / (Energy!I152 + Energy!M152) *C152, 0))</f>
        <v>0.35999999999999993</v>
      </c>
      <c r="E152" s="41" t="b">
        <f ca="1">IF(Main!$C$25="Solar", IF(Energy!W152-Energy!N152&gt;=0, TRUE, FALSE), TRUE)</f>
        <v>1</v>
      </c>
      <c r="F152" s="41">
        <f t="shared" ca="1" si="14"/>
        <v>0.20004392042721883</v>
      </c>
      <c r="G152" s="6">
        <f ca="1">IF(A152&gt;=$B$7,IF(E152,IF(H151-$B$6/1000&gt;0,IF($B$6/1000&gt;$B$9*24*60*60,$B$9*24*60*60,$B$6/1000),H151),($B$6/1000)*(-Energy!W152+Energy!N152)/Energy!N152),0)</f>
        <v>0.219</v>
      </c>
      <c r="H152" s="6">
        <f t="shared" ca="1" si="17"/>
        <v>8.5342977643116988</v>
      </c>
      <c r="I152" t="str">
        <f t="shared" ca="1" si="15"/>
        <v>Yes</v>
      </c>
      <c r="N152" s="57">
        <v>41780</v>
      </c>
      <c r="O152" s="56">
        <v>8.1999999999999993</v>
      </c>
      <c r="P152" s="59">
        <v>42145</v>
      </c>
      <c r="Q152" s="32">
        <v>0</v>
      </c>
      <c r="R152" s="59">
        <v>42145</v>
      </c>
      <c r="S152" s="19">
        <v>0</v>
      </c>
      <c r="T152" s="59">
        <v>41415</v>
      </c>
      <c r="U152" s="19">
        <v>3.6</v>
      </c>
    </row>
    <row r="153" spans="1:21" x14ac:dyDescent="0.75">
      <c r="A153" s="59">
        <f t="shared" si="12"/>
        <v>41416</v>
      </c>
      <c r="B153" s="19">
        <f t="shared" si="13"/>
        <v>0.4</v>
      </c>
      <c r="C153" s="41">
        <f t="shared" ca="1" si="16"/>
        <v>0.04</v>
      </c>
      <c r="D153" s="41">
        <f ca="1">IF(Energy!$N$3, C153, IF(C153 &gt; 0, MAX(Energy!W153- Energy!N153, 0) / (Energy!I153 + Energy!M153) *C153, 0))</f>
        <v>4.0000000000000029E-2</v>
      </c>
      <c r="E153" s="41" t="b">
        <f ca="1">IF(Main!$C$25="Solar", IF(Energy!W153-Energy!N153&gt;=0, TRUE, FALSE), TRUE)</f>
        <v>1</v>
      </c>
      <c r="F153" s="41">
        <f t="shared" ca="1" si="14"/>
        <v>2.2227102269691001E-2</v>
      </c>
      <c r="G153" s="6">
        <f ca="1">IF(A153&gt;=$B$7,IF(E153,IF(H152-$B$6/1000&gt;0,IF($B$6/1000&gt;$B$9*24*60*60,$B$9*24*60*60,$B$6/1000),H152),($B$6/1000)*(-Energy!W153+Energy!N153)/Energy!N153),0)</f>
        <v>0.219</v>
      </c>
      <c r="H153" s="6">
        <f t="shared" ca="1" si="17"/>
        <v>8.3552977643116986</v>
      </c>
      <c r="I153" t="str">
        <f t="shared" ca="1" si="15"/>
        <v>Yes</v>
      </c>
      <c r="N153" s="57">
        <v>41781</v>
      </c>
      <c r="O153" s="56">
        <v>29.6</v>
      </c>
      <c r="P153" s="59">
        <v>42146</v>
      </c>
      <c r="Q153" s="32">
        <v>0.2</v>
      </c>
      <c r="R153" s="59">
        <v>42146</v>
      </c>
      <c r="S153" s="19">
        <v>0</v>
      </c>
      <c r="T153" s="59">
        <v>41416</v>
      </c>
      <c r="U153" s="19">
        <v>0.4</v>
      </c>
    </row>
    <row r="154" spans="1:21" x14ac:dyDescent="0.75">
      <c r="A154" s="59">
        <f t="shared" si="12"/>
        <v>41417</v>
      </c>
      <c r="B154" s="19">
        <f t="shared" si="13"/>
        <v>9.4</v>
      </c>
      <c r="C154" s="41">
        <f t="shared" ca="1" si="16"/>
        <v>0.94</v>
      </c>
      <c r="D154" s="41">
        <f ca="1">IF(Energy!$N$3, C154, IF(C154 &gt; 0, MAX(Energy!W154- Energy!N154, 0) / (Energy!I154 + Energy!M154) *C154, 0))</f>
        <v>0.94</v>
      </c>
      <c r="E154" s="41" t="b">
        <f ca="1">IF(Main!$C$25="Solar", IF(Energy!W154-Energy!N154&gt;=0, TRUE, FALSE), TRUE)</f>
        <v>1</v>
      </c>
      <c r="F154" s="41">
        <f t="shared" ca="1" si="14"/>
        <v>0.52233690333773819</v>
      </c>
      <c r="G154" s="6">
        <f ca="1">IF(A154&gt;=$B$7,IF(E154,IF(H153-$B$6/1000&gt;0,IF($B$6/1000&gt;$B$9*24*60*60,$B$9*24*60*60,$B$6/1000),H153),($B$6/1000)*(-Energy!W154+Energy!N154)/Energy!N154),0)</f>
        <v>0.219</v>
      </c>
      <c r="H154" s="6">
        <f t="shared" ca="1" si="17"/>
        <v>9.0762977643116987</v>
      </c>
      <c r="I154" t="str">
        <f t="shared" ca="1" si="15"/>
        <v>Yes</v>
      </c>
      <c r="N154" s="57">
        <v>41782</v>
      </c>
      <c r="O154" s="56">
        <v>0.8</v>
      </c>
      <c r="P154" s="59">
        <v>42147</v>
      </c>
      <c r="Q154" s="32">
        <v>0.2</v>
      </c>
      <c r="R154" s="59">
        <v>42147</v>
      </c>
      <c r="S154" s="19">
        <v>0</v>
      </c>
      <c r="T154" s="59">
        <v>41417</v>
      </c>
      <c r="U154" s="19">
        <v>9.4</v>
      </c>
    </row>
    <row r="155" spans="1:21" x14ac:dyDescent="0.75">
      <c r="A155" s="59">
        <f t="shared" si="12"/>
        <v>41418</v>
      </c>
      <c r="B155" s="19">
        <f t="shared" si="13"/>
        <v>1.4</v>
      </c>
      <c r="C155" s="41">
        <f t="shared" ca="1" si="16"/>
        <v>0.14000000000000001</v>
      </c>
      <c r="D155" s="41">
        <f ca="1">IF(Energy!$N$3, C155, IF(C155 &gt; 0, MAX(Energy!W155- Energy!N155, 0) / (Energy!I155 + Energy!M155) *C155, 0))</f>
        <v>0.13999999999999999</v>
      </c>
      <c r="E155" s="41" t="b">
        <f ca="1">IF(Main!$C$25="Solar", IF(Energy!W155-Energy!N155&gt;=0, TRUE, FALSE), TRUE)</f>
        <v>1</v>
      </c>
      <c r="F155" s="41">
        <f t="shared" ca="1" si="14"/>
        <v>7.7794857943918438E-2</v>
      </c>
      <c r="G155" s="6">
        <f ca="1">IF(A155&gt;=$B$7,IF(E155,IF(H154-$B$6/1000&gt;0,IF($B$6/1000&gt;$B$9*24*60*60,$B$9*24*60*60,$B$6/1000),H154),($B$6/1000)*(-Energy!W155+Energy!N155)/Energy!N155),0)</f>
        <v>0.219</v>
      </c>
      <c r="H155" s="6">
        <f t="shared" ca="1" si="17"/>
        <v>8.9972977643116998</v>
      </c>
      <c r="I155" t="str">
        <f t="shared" ca="1" si="15"/>
        <v>Yes</v>
      </c>
      <c r="N155" s="57">
        <v>41783</v>
      </c>
      <c r="O155" s="56">
        <v>5.2</v>
      </c>
      <c r="P155" s="59">
        <v>42148</v>
      </c>
      <c r="Q155" s="32">
        <v>0</v>
      </c>
      <c r="R155" s="59">
        <v>42148</v>
      </c>
      <c r="S155" s="19">
        <v>0</v>
      </c>
      <c r="T155" s="59">
        <v>41418</v>
      </c>
      <c r="U155" s="19">
        <v>1.4</v>
      </c>
    </row>
    <row r="156" spans="1:21" x14ac:dyDescent="0.75">
      <c r="A156" s="59">
        <f t="shared" si="12"/>
        <v>41419</v>
      </c>
      <c r="B156" s="19">
        <f t="shared" si="13"/>
        <v>1.2</v>
      </c>
      <c r="C156" s="41">
        <f t="shared" ca="1" si="16"/>
        <v>0.12</v>
      </c>
      <c r="D156" s="41">
        <f ca="1">IF(Energy!$N$3, C156, IF(C156 &gt; 0, MAX(Energy!W156- Energy!N156, 0) / (Energy!I156 + Energy!M156) *C156, 0))</f>
        <v>0.12</v>
      </c>
      <c r="E156" s="41" t="b">
        <f ca="1">IF(Main!$C$25="Solar", IF(Energy!W156-Energy!N156&gt;=0, TRUE, FALSE), TRUE)</f>
        <v>1</v>
      </c>
      <c r="F156" s="41">
        <f t="shared" ca="1" si="14"/>
        <v>6.6681306809072957E-2</v>
      </c>
      <c r="G156" s="6">
        <f ca="1">IF(A156&gt;=$B$7,IF(E156,IF(H155-$B$6/1000&gt;0,IF($B$6/1000&gt;$B$9*24*60*60,$B$9*24*60*60,$B$6/1000),H155),($B$6/1000)*(-Energy!W156+Energy!N156)/Energy!N156),0)</f>
        <v>0.219</v>
      </c>
      <c r="H156" s="6">
        <f t="shared" ca="1" si="17"/>
        <v>8.8982977643116996</v>
      </c>
      <c r="I156" t="str">
        <f t="shared" ca="1" si="15"/>
        <v>Yes</v>
      </c>
      <c r="N156" s="57">
        <v>41784</v>
      </c>
      <c r="O156" s="56">
        <v>23.4</v>
      </c>
      <c r="P156" s="59">
        <v>42149</v>
      </c>
      <c r="Q156" s="32">
        <v>0</v>
      </c>
      <c r="R156" s="59">
        <v>42149</v>
      </c>
      <c r="S156" s="19">
        <v>0</v>
      </c>
      <c r="T156" s="59">
        <v>41419</v>
      </c>
      <c r="U156" s="19">
        <v>1.2</v>
      </c>
    </row>
    <row r="157" spans="1:21" x14ac:dyDescent="0.75">
      <c r="A157" s="59">
        <f t="shared" si="12"/>
        <v>41420</v>
      </c>
      <c r="B157" s="19">
        <f t="shared" si="13"/>
        <v>2.2000000000000002</v>
      </c>
      <c r="C157" s="41">
        <f t="shared" ca="1" si="16"/>
        <v>0.22000000000000003</v>
      </c>
      <c r="D157" s="41">
        <f ca="1">IF(Energy!$N$3, C157, IF(C157 &gt; 0, MAX(Energy!W157- Energy!N157, 0) / (Energy!I157 + Energy!M157) *C157, 0))</f>
        <v>0.22000000000000003</v>
      </c>
      <c r="E157" s="41" t="b">
        <f ca="1">IF(Main!$C$25="Solar", IF(Energy!W157-Energy!N157&gt;=0, TRUE, FALSE), TRUE)</f>
        <v>1</v>
      </c>
      <c r="F157" s="41">
        <f t="shared" ca="1" si="14"/>
        <v>0.12224906248330043</v>
      </c>
      <c r="G157" s="6">
        <f ca="1">IF(A157&gt;=$B$7,IF(E157,IF(H156-$B$6/1000&gt;0,IF($B$6/1000&gt;$B$9*24*60*60,$B$9*24*60*60,$B$6/1000),H156),($B$6/1000)*(-Energy!W157+Energy!N157)/Energy!N157),0)</f>
        <v>0.219</v>
      </c>
      <c r="H157" s="6">
        <f t="shared" ca="1" si="17"/>
        <v>8.8992977643117008</v>
      </c>
      <c r="I157" t="str">
        <f t="shared" ca="1" si="15"/>
        <v>Yes</v>
      </c>
      <c r="N157" s="57">
        <v>41785</v>
      </c>
      <c r="O157" s="56">
        <v>0</v>
      </c>
      <c r="P157" s="59">
        <v>42150</v>
      </c>
      <c r="Q157" s="32">
        <v>0</v>
      </c>
      <c r="R157" s="59">
        <v>42150</v>
      </c>
      <c r="S157" s="19">
        <v>0</v>
      </c>
      <c r="T157" s="59">
        <v>41420</v>
      </c>
      <c r="U157" s="19">
        <v>2.2000000000000002</v>
      </c>
    </row>
    <row r="158" spans="1:21" x14ac:dyDescent="0.75">
      <c r="A158" s="59">
        <f t="shared" si="12"/>
        <v>41421</v>
      </c>
      <c r="B158" s="19">
        <f t="shared" si="13"/>
        <v>0.8</v>
      </c>
      <c r="C158" s="41">
        <f t="shared" ca="1" si="16"/>
        <v>0.08</v>
      </c>
      <c r="D158" s="41">
        <f ca="1">IF(Energy!$N$3, C158, IF(C158 &gt; 0, MAX(Energy!W158- Energy!N158, 0) / (Energy!I158 + Energy!M158) *C158, 0))</f>
        <v>7.9999999999999974E-2</v>
      </c>
      <c r="E158" s="41" t="b">
        <f ca="1">IF(Main!$C$25="Solar", IF(Energy!W158-Energy!N158&gt;=0, TRUE, FALSE), TRUE)</f>
        <v>1</v>
      </c>
      <c r="F158" s="41">
        <f t="shared" ca="1" si="14"/>
        <v>4.445420453938196E-2</v>
      </c>
      <c r="G158" s="6">
        <f ca="1">IF(A158&gt;=$B$7,IF(E158,IF(H157-$B$6/1000&gt;0,IF($B$6/1000&gt;$B$9*24*60*60,$B$9*24*60*60,$B$6/1000),H157),($B$6/1000)*(-Energy!W158+Energy!N158)/Energy!N158),0)</f>
        <v>0.219</v>
      </c>
      <c r="H158" s="6">
        <f t="shared" ca="1" si="17"/>
        <v>8.7602977643117015</v>
      </c>
      <c r="I158" t="str">
        <f t="shared" ca="1" si="15"/>
        <v>Yes</v>
      </c>
      <c r="N158" s="57">
        <v>41786</v>
      </c>
      <c r="O158" s="56">
        <v>4.4000000000000004</v>
      </c>
      <c r="P158" s="59">
        <v>42151</v>
      </c>
      <c r="Q158" s="32">
        <v>0</v>
      </c>
      <c r="R158" s="59">
        <v>42151</v>
      </c>
      <c r="S158" s="19">
        <v>0</v>
      </c>
      <c r="T158" s="59">
        <v>41421</v>
      </c>
      <c r="U158" s="19">
        <v>0.8</v>
      </c>
    </row>
    <row r="159" spans="1:21" x14ac:dyDescent="0.75">
      <c r="A159" s="59">
        <f t="shared" si="12"/>
        <v>41422</v>
      </c>
      <c r="B159" s="19">
        <f t="shared" si="13"/>
        <v>0.4</v>
      </c>
      <c r="C159" s="41">
        <f t="shared" ca="1" si="16"/>
        <v>0.04</v>
      </c>
      <c r="D159" s="41">
        <f ca="1">IF(Energy!$N$3, C159, IF(C159 &gt; 0, MAX(Energy!W159- Energy!N159, 0) / (Energy!I159 + Energy!M159) *C159, 0))</f>
        <v>4.0000000000000029E-2</v>
      </c>
      <c r="E159" s="41" t="b">
        <f ca="1">IF(Main!$C$25="Solar", IF(Energy!W159-Energy!N159&gt;=0, TRUE, FALSE), TRUE)</f>
        <v>1</v>
      </c>
      <c r="F159" s="41">
        <f t="shared" ca="1" si="14"/>
        <v>2.2227102269691001E-2</v>
      </c>
      <c r="G159" s="6">
        <f ca="1">IF(A159&gt;=$B$7,IF(E159,IF(H158-$B$6/1000&gt;0,IF($B$6/1000&gt;$B$9*24*60*60,$B$9*24*60*60,$B$6/1000),H158),($B$6/1000)*(-Energy!W159+Energy!N159)/Energy!N159),0)</f>
        <v>0.219</v>
      </c>
      <c r="H159" s="6">
        <f t="shared" ca="1" si="17"/>
        <v>8.5812977643117012</v>
      </c>
      <c r="I159" t="str">
        <f t="shared" ca="1" si="15"/>
        <v>Yes</v>
      </c>
      <c r="N159" s="57">
        <v>41787</v>
      </c>
      <c r="O159" s="56">
        <v>0</v>
      </c>
      <c r="P159" s="59">
        <v>42152</v>
      </c>
      <c r="Q159" s="32">
        <v>0</v>
      </c>
      <c r="R159" s="59">
        <v>42152</v>
      </c>
      <c r="S159" s="19">
        <v>0</v>
      </c>
      <c r="T159" s="59">
        <v>41422</v>
      </c>
      <c r="U159" s="19">
        <v>0.4</v>
      </c>
    </row>
    <row r="160" spans="1:21" x14ac:dyDescent="0.75">
      <c r="A160" s="59">
        <f t="shared" si="12"/>
        <v>41423</v>
      </c>
      <c r="B160" s="19">
        <f t="shared" si="13"/>
        <v>2.4</v>
      </c>
      <c r="C160" s="41">
        <f t="shared" ca="1" si="16"/>
        <v>0.24</v>
      </c>
      <c r="D160" s="41">
        <f ca="1">IF(Energy!$N$3, C160, IF(C160 &gt; 0, MAX(Energy!W160- Energy!N160, 0) / (Energy!I160 + Energy!M160) *C160, 0))</f>
        <v>0.24</v>
      </c>
      <c r="E160" s="41" t="b">
        <f ca="1">IF(Main!$C$25="Solar", IF(Energy!W160-Energy!N160&gt;=0, TRUE, FALSE), TRUE)</f>
        <v>1</v>
      </c>
      <c r="F160" s="41">
        <f t="shared" ca="1" si="14"/>
        <v>0.13336261361814591</v>
      </c>
      <c r="G160" s="6">
        <f ca="1">IF(A160&gt;=$B$7,IF(E160,IF(H159-$B$6/1000&gt;0,IF($B$6/1000&gt;$B$9*24*60*60,$B$9*24*60*60,$B$6/1000),H159),($B$6/1000)*(-Energy!W160+Energy!N160)/Energy!N160),0)</f>
        <v>0.219</v>
      </c>
      <c r="H160" s="6">
        <f t="shared" ca="1" si="17"/>
        <v>8.602297764311702</v>
      </c>
      <c r="I160" t="str">
        <f t="shared" ca="1" si="15"/>
        <v>Yes</v>
      </c>
      <c r="N160" s="57">
        <v>41788</v>
      </c>
      <c r="O160" s="56">
        <v>0</v>
      </c>
      <c r="P160" s="59">
        <v>42153</v>
      </c>
      <c r="Q160" s="32">
        <v>0</v>
      </c>
      <c r="R160" s="59">
        <v>42153</v>
      </c>
      <c r="S160" s="19">
        <v>0</v>
      </c>
      <c r="T160" s="59">
        <v>41423</v>
      </c>
      <c r="U160" s="19">
        <v>2.4</v>
      </c>
    </row>
    <row r="161" spans="1:21" x14ac:dyDescent="0.75">
      <c r="A161" s="59">
        <f t="shared" si="12"/>
        <v>41424</v>
      </c>
      <c r="B161" s="19">
        <f t="shared" si="13"/>
        <v>3.6</v>
      </c>
      <c r="C161" s="41">
        <f t="shared" ca="1" si="16"/>
        <v>0.36</v>
      </c>
      <c r="D161" s="41">
        <f ca="1">IF(Energy!$N$3, C161, IF(C161 &gt; 0, MAX(Energy!W161- Energy!N161, 0) / (Energy!I161 + Energy!M161) *C161, 0))</f>
        <v>0.35999999999999993</v>
      </c>
      <c r="E161" s="41" t="b">
        <f ca="1">IF(Main!$C$25="Solar", IF(Energy!W161-Energy!N161&gt;=0, TRUE, FALSE), TRUE)</f>
        <v>1</v>
      </c>
      <c r="F161" s="41">
        <f t="shared" ca="1" si="14"/>
        <v>0.20004392042721883</v>
      </c>
      <c r="G161" s="6">
        <f ca="1">IF(A161&gt;=$B$7,IF(E161,IF(H160-$B$6/1000&gt;0,IF($B$6/1000&gt;$B$9*24*60*60,$B$9*24*60*60,$B$6/1000),H160),($B$6/1000)*(-Energy!W161+Energy!N161)/Energy!N161),0)</f>
        <v>0.219</v>
      </c>
      <c r="H161" s="6">
        <f t="shared" ca="1" si="17"/>
        <v>8.743297764311702</v>
      </c>
      <c r="I161" t="str">
        <f t="shared" ca="1" si="15"/>
        <v>Yes</v>
      </c>
      <c r="N161" s="57">
        <v>41789</v>
      </c>
      <c r="O161" s="56">
        <v>0</v>
      </c>
      <c r="P161" s="59">
        <v>42154</v>
      </c>
      <c r="Q161" s="32">
        <v>0</v>
      </c>
      <c r="R161" s="59">
        <v>42154</v>
      </c>
      <c r="S161" s="19">
        <v>0</v>
      </c>
      <c r="T161" s="59">
        <v>41424</v>
      </c>
      <c r="U161" s="19">
        <v>3.6</v>
      </c>
    </row>
    <row r="162" spans="1:21" x14ac:dyDescent="0.75">
      <c r="A162" s="59">
        <f t="shared" si="12"/>
        <v>41425</v>
      </c>
      <c r="B162" s="19">
        <f t="shared" si="13"/>
        <v>0.2</v>
      </c>
      <c r="C162" s="41">
        <f t="shared" ca="1" si="16"/>
        <v>0.02</v>
      </c>
      <c r="D162" s="41">
        <f ca="1">IF(Energy!$N$3, C162, IF(C162 &gt; 0, MAX(Energy!W162- Energy!N162, 0) / (Energy!I162 + Energy!M162) *C162, 0))</f>
        <v>2.0000000000000014E-2</v>
      </c>
      <c r="E162" s="41" t="b">
        <f ca="1">IF(Main!$C$25="Solar", IF(Energy!W162-Energy!N162&gt;=0, TRUE, FALSE), TRUE)</f>
        <v>1</v>
      </c>
      <c r="F162" s="41">
        <f t="shared" ca="1" si="14"/>
        <v>1.11135511348455E-2</v>
      </c>
      <c r="G162" s="6">
        <f ca="1">IF(A162&gt;=$B$7,IF(E162,IF(H161-$B$6/1000&gt;0,IF($B$6/1000&gt;$B$9*24*60*60,$B$9*24*60*60,$B$6/1000),H161),($B$6/1000)*(-Energy!W162+Energy!N162)/Energy!N162),0)</f>
        <v>0.219</v>
      </c>
      <c r="H162" s="6">
        <f t="shared" ca="1" si="17"/>
        <v>8.5442977643117022</v>
      </c>
      <c r="I162" t="str">
        <f t="shared" ca="1" si="15"/>
        <v>Yes</v>
      </c>
      <c r="N162" s="57">
        <v>41790</v>
      </c>
      <c r="O162" s="56">
        <v>0</v>
      </c>
      <c r="P162" s="59">
        <v>42155</v>
      </c>
      <c r="Q162" s="32">
        <v>0</v>
      </c>
      <c r="R162" s="59">
        <v>42155</v>
      </c>
      <c r="S162" s="19">
        <v>0</v>
      </c>
      <c r="T162" s="59">
        <v>41425</v>
      </c>
      <c r="U162" s="19">
        <v>0.2</v>
      </c>
    </row>
    <row r="163" spans="1:21" x14ac:dyDescent="0.75">
      <c r="A163" s="59">
        <f t="shared" si="12"/>
        <v>41426</v>
      </c>
      <c r="B163" s="19">
        <f t="shared" si="13"/>
        <v>0.6</v>
      </c>
      <c r="C163" s="41">
        <f t="shared" ca="1" si="16"/>
        <v>0.06</v>
      </c>
      <c r="D163" s="41">
        <f ca="1">IF(Energy!$N$3, C163, IF(C163 &gt; 0, MAX(Energy!W163- Energy!N163, 0) / (Energy!I163 + Energy!M163) *C163, 0))</f>
        <v>5.9999999999999956E-2</v>
      </c>
      <c r="E163" s="41" t="b">
        <f ca="1">IF(Main!$C$25="Solar", IF(Energy!W163-Energy!N163&gt;=0, TRUE, FALSE), TRUE)</f>
        <v>1</v>
      </c>
      <c r="F163" s="41">
        <f t="shared" ca="1" si="14"/>
        <v>3.3340653404536458E-2</v>
      </c>
      <c r="G163" s="6">
        <f ca="1">IF(A163&gt;=$B$7,IF(E163,IF(H162-$B$6/1000&gt;0,IF($B$6/1000&gt;$B$9*24*60*60,$B$9*24*60*60,$B$6/1000),H162),($B$6/1000)*(-Energy!W163+Energy!N163)/Energy!N163),0)</f>
        <v>0.219</v>
      </c>
      <c r="H163" s="6">
        <f t="shared" ca="1" si="17"/>
        <v>8.3852977643117033</v>
      </c>
      <c r="I163" t="str">
        <f t="shared" ca="1" si="15"/>
        <v>Yes</v>
      </c>
      <c r="N163" s="57">
        <v>41791</v>
      </c>
      <c r="O163" s="56">
        <v>0</v>
      </c>
      <c r="P163" s="59">
        <v>42156</v>
      </c>
      <c r="Q163" s="32">
        <v>7.4</v>
      </c>
      <c r="R163" s="59">
        <v>42156</v>
      </c>
      <c r="S163" s="19">
        <v>5.8</v>
      </c>
      <c r="T163" s="59">
        <v>41426</v>
      </c>
      <c r="U163" s="19">
        <v>0.6</v>
      </c>
    </row>
    <row r="164" spans="1:21" x14ac:dyDescent="0.75">
      <c r="A164" s="59">
        <f t="shared" si="12"/>
        <v>41427</v>
      </c>
      <c r="B164" s="19">
        <f t="shared" si="13"/>
        <v>0</v>
      </c>
      <c r="C164" s="41">
        <f t="shared" ca="1" si="16"/>
        <v>0</v>
      </c>
      <c r="D164" s="41">
        <f ca="1">IF(Energy!$N$3, C164, IF(C164 &gt; 0, MAX(Energy!W164- Energy!N164, 0) / (Energy!I164 + Energy!M164) *C164, 0))</f>
        <v>0</v>
      </c>
      <c r="E164" s="41" t="b">
        <f ca="1">IF(Main!$C$25="Solar", IF(Energy!W164-Energy!N164&gt;=0, TRUE, FALSE), TRUE)</f>
        <v>1</v>
      </c>
      <c r="F164" s="41">
        <f t="shared" ca="1" si="14"/>
        <v>0</v>
      </c>
      <c r="G164" s="6">
        <f ca="1">IF(A164&gt;=$B$7,IF(E164,IF(H163-$B$6/1000&gt;0,IF($B$6/1000&gt;$B$9*24*60*60,$B$9*24*60*60,$B$6/1000),H163),($B$6/1000)*(-Energy!W164+Energy!N164)/Energy!N164),0)</f>
        <v>0.219</v>
      </c>
      <c r="H164" s="6">
        <f t="shared" ca="1" si="17"/>
        <v>8.1662977643117038</v>
      </c>
      <c r="I164" t="str">
        <f t="shared" ca="1" si="15"/>
        <v>Yes</v>
      </c>
      <c r="N164" s="57">
        <v>41792</v>
      </c>
      <c r="O164" s="56">
        <v>0</v>
      </c>
      <c r="P164" s="59">
        <v>42157</v>
      </c>
      <c r="Q164" s="32">
        <v>2.8</v>
      </c>
      <c r="R164" s="59">
        <v>42157</v>
      </c>
      <c r="S164" s="19">
        <v>9.1999999999999993</v>
      </c>
      <c r="T164" s="59">
        <v>41427</v>
      </c>
      <c r="U164" s="19">
        <v>0</v>
      </c>
    </row>
    <row r="165" spans="1:21" x14ac:dyDescent="0.75">
      <c r="A165" s="59">
        <f t="shared" si="12"/>
        <v>41428</v>
      </c>
      <c r="B165" s="19">
        <f t="shared" si="13"/>
        <v>0</v>
      </c>
      <c r="C165" s="41">
        <f t="shared" ca="1" si="16"/>
        <v>0</v>
      </c>
      <c r="D165" s="41">
        <f ca="1">IF(Energy!$N$3, C165, IF(C165 &gt; 0, MAX(Energy!W165- Energy!N165, 0) / (Energy!I165 + Energy!M165) *C165, 0))</f>
        <v>0</v>
      </c>
      <c r="E165" s="41" t="b">
        <f ca="1">IF(Main!$C$25="Solar", IF(Energy!W165-Energy!N165&gt;=0, TRUE, FALSE), TRUE)</f>
        <v>1</v>
      </c>
      <c r="F165" s="41">
        <f t="shared" ca="1" si="14"/>
        <v>0</v>
      </c>
      <c r="G165" s="6">
        <f ca="1">IF(A165&gt;=$B$7,IF(E165,IF(H164-$B$6/1000&gt;0,IF($B$6/1000&gt;$B$9*24*60*60,$B$9*24*60*60,$B$6/1000),H164),($B$6/1000)*(-Energy!W165+Energy!N165)/Energy!N165),0)</f>
        <v>0.219</v>
      </c>
      <c r="H165" s="6">
        <f t="shared" ca="1" si="17"/>
        <v>7.9472977643117035</v>
      </c>
      <c r="I165" t="str">
        <f t="shared" ca="1" si="15"/>
        <v>Yes</v>
      </c>
      <c r="N165" s="57">
        <v>41793</v>
      </c>
      <c r="O165" s="56">
        <v>0</v>
      </c>
      <c r="P165" s="59">
        <v>42158</v>
      </c>
      <c r="Q165" s="32">
        <v>0</v>
      </c>
      <c r="R165" s="59">
        <v>42158</v>
      </c>
      <c r="S165" s="19">
        <v>0</v>
      </c>
      <c r="T165" s="59">
        <v>41428</v>
      </c>
      <c r="U165" s="19">
        <v>0</v>
      </c>
    </row>
    <row r="166" spans="1:21" x14ac:dyDescent="0.75">
      <c r="A166" s="59">
        <f t="shared" si="12"/>
        <v>41429</v>
      </c>
      <c r="B166" s="19">
        <f t="shared" si="13"/>
        <v>0.4</v>
      </c>
      <c r="C166" s="41">
        <f t="shared" ca="1" si="16"/>
        <v>0.04</v>
      </c>
      <c r="D166" s="41">
        <f ca="1">IF(Energy!$N$3, C166, IF(C166 &gt; 0, MAX(Energy!W166- Energy!N166, 0) / (Energy!I166 + Energy!M166) *C166, 0))</f>
        <v>4.0000000000000029E-2</v>
      </c>
      <c r="E166" s="41" t="b">
        <f ca="1">IF(Main!$C$25="Solar", IF(Energy!W166-Energy!N166&gt;=0, TRUE, FALSE), TRUE)</f>
        <v>1</v>
      </c>
      <c r="F166" s="41">
        <f t="shared" ca="1" si="14"/>
        <v>2.2227102269691001E-2</v>
      </c>
      <c r="G166" s="6">
        <f ca="1">IF(A166&gt;=$B$7,IF(E166,IF(H165-$B$6/1000&gt;0,IF($B$6/1000&gt;$B$9*24*60*60,$B$9*24*60*60,$B$6/1000),H165),($B$6/1000)*(-Energy!W166+Energy!N166)/Energy!N166),0)</f>
        <v>0.219</v>
      </c>
      <c r="H166" s="6">
        <f t="shared" ca="1" si="17"/>
        <v>7.7682977643117033</v>
      </c>
      <c r="I166" t="str">
        <f t="shared" ca="1" si="15"/>
        <v>Yes</v>
      </c>
      <c r="N166" s="57">
        <v>41794</v>
      </c>
      <c r="O166" s="56">
        <v>0</v>
      </c>
      <c r="P166" s="59">
        <v>42159</v>
      </c>
      <c r="Q166" s="32">
        <v>0</v>
      </c>
      <c r="R166" s="59">
        <v>42159</v>
      </c>
      <c r="S166" s="19">
        <v>0</v>
      </c>
      <c r="T166" s="59">
        <v>41429</v>
      </c>
      <c r="U166" s="19">
        <v>0.4</v>
      </c>
    </row>
    <row r="167" spans="1:21" x14ac:dyDescent="0.75">
      <c r="A167" s="59">
        <f t="shared" si="12"/>
        <v>41430</v>
      </c>
      <c r="B167" s="19">
        <f t="shared" si="13"/>
        <v>0</v>
      </c>
      <c r="C167" s="41">
        <f t="shared" ca="1" si="16"/>
        <v>0</v>
      </c>
      <c r="D167" s="41">
        <f ca="1">IF(Energy!$N$3, C167, IF(C167 &gt; 0, MAX(Energy!W167- Energy!N167, 0) / (Energy!I167 + Energy!M167) *C167, 0))</f>
        <v>0</v>
      </c>
      <c r="E167" s="41" t="b">
        <f ca="1">IF(Main!$C$25="Solar", IF(Energy!W167-Energy!N167&gt;=0, TRUE, FALSE), TRUE)</f>
        <v>1</v>
      </c>
      <c r="F167" s="41">
        <f t="shared" ca="1" si="14"/>
        <v>0</v>
      </c>
      <c r="G167" s="6">
        <f ca="1">IF(A167&gt;=$B$7,IF(E167,IF(H166-$B$6/1000&gt;0,IF($B$6/1000&gt;$B$9*24*60*60,$B$9*24*60*60,$B$6/1000),H166),($B$6/1000)*(-Energy!W167+Energy!N167)/Energy!N167),0)</f>
        <v>0.219</v>
      </c>
      <c r="H167" s="6">
        <f t="shared" ca="1" si="17"/>
        <v>7.549297764311703</v>
      </c>
      <c r="I167" t="str">
        <f t="shared" ca="1" si="15"/>
        <v>Yes</v>
      </c>
      <c r="N167" s="57">
        <v>41795</v>
      </c>
      <c r="O167" s="56">
        <v>0</v>
      </c>
      <c r="P167" s="59">
        <v>42160</v>
      </c>
      <c r="Q167" s="32">
        <v>0</v>
      </c>
      <c r="R167" s="59">
        <v>42160</v>
      </c>
      <c r="S167" s="19">
        <v>0</v>
      </c>
      <c r="T167" s="59">
        <v>41430</v>
      </c>
      <c r="U167" s="19">
        <v>0</v>
      </c>
    </row>
    <row r="168" spans="1:21" x14ac:dyDescent="0.75">
      <c r="A168" s="59">
        <f t="shared" si="12"/>
        <v>41431</v>
      </c>
      <c r="B168" s="19">
        <f t="shared" si="13"/>
        <v>11.4</v>
      </c>
      <c r="C168" s="41">
        <f t="shared" ca="1" si="16"/>
        <v>1.1399999999999999</v>
      </c>
      <c r="D168" s="41">
        <f ca="1">IF(Energy!$N$3, C168, IF(C168 &gt; 0, MAX(Energy!W168- Energy!N168, 0) / (Energy!I168 + Energy!M168) *C168, 0))</f>
        <v>1.1399999999999999</v>
      </c>
      <c r="E168" s="41" t="b">
        <f ca="1">IF(Main!$C$25="Solar", IF(Energy!W168-Energy!N168&gt;=0, TRUE, FALSE), TRUE)</f>
        <v>1</v>
      </c>
      <c r="F168" s="41">
        <f t="shared" ca="1" si="14"/>
        <v>0.63347241468619309</v>
      </c>
      <c r="G168" s="6">
        <f ca="1">IF(A168&gt;=$B$7,IF(E168,IF(H167-$B$6/1000&gt;0,IF($B$6/1000&gt;$B$9*24*60*60,$B$9*24*60*60,$B$6/1000),H167),($B$6/1000)*(-Energy!W168+Energy!N168)/Energy!N168),0)</f>
        <v>0.219</v>
      </c>
      <c r="H168" s="6">
        <f t="shared" ca="1" si="17"/>
        <v>8.4702977643117041</v>
      </c>
      <c r="I168" t="str">
        <f t="shared" ca="1" si="15"/>
        <v>Yes</v>
      </c>
      <c r="N168" s="57">
        <v>41796</v>
      </c>
      <c r="O168" s="56">
        <v>0</v>
      </c>
      <c r="P168" s="59">
        <v>42161</v>
      </c>
      <c r="Q168" s="32">
        <v>0</v>
      </c>
      <c r="R168" s="59">
        <v>42161</v>
      </c>
      <c r="S168" s="19">
        <v>0</v>
      </c>
      <c r="T168" s="59">
        <v>41431</v>
      </c>
      <c r="U168" s="19">
        <v>11.4</v>
      </c>
    </row>
    <row r="169" spans="1:21" x14ac:dyDescent="0.75">
      <c r="A169" s="59">
        <f t="shared" si="12"/>
        <v>41432</v>
      </c>
      <c r="B169" s="19">
        <f t="shared" si="13"/>
        <v>1.6</v>
      </c>
      <c r="C169" s="41">
        <f t="shared" ca="1" si="16"/>
        <v>0.16</v>
      </c>
      <c r="D169" s="41">
        <f ca="1">IF(Energy!$N$3, C169, IF(C169 &gt; 0, MAX(Energy!W169- Energy!N169, 0) / (Energy!I169 + Energy!M169) *C169, 0))</f>
        <v>0.16000000000000003</v>
      </c>
      <c r="E169" s="41" t="b">
        <f ca="1">IF(Main!$C$25="Solar", IF(Energy!W169-Energy!N169&gt;=0, TRUE, FALSE), TRUE)</f>
        <v>1</v>
      </c>
      <c r="F169" s="41">
        <f t="shared" ca="1" si="14"/>
        <v>8.8908409078763961E-2</v>
      </c>
      <c r="G169" s="6">
        <f ca="1">IF(A169&gt;=$B$7,IF(E169,IF(H168-$B$6/1000&gt;0,IF($B$6/1000&gt;$B$9*24*60*60,$B$9*24*60*60,$B$6/1000),H168),($B$6/1000)*(-Energy!W169+Energy!N169)/Energy!N169),0)</f>
        <v>0.219</v>
      </c>
      <c r="H169" s="6">
        <f t="shared" ca="1" si="17"/>
        <v>8.4112977643117048</v>
      </c>
      <c r="I169" t="str">
        <f t="shared" ca="1" si="15"/>
        <v>Yes</v>
      </c>
      <c r="N169" s="57">
        <v>41797</v>
      </c>
      <c r="O169" s="56">
        <v>0</v>
      </c>
      <c r="P169" s="59">
        <v>42162</v>
      </c>
      <c r="Q169" s="32">
        <v>0</v>
      </c>
      <c r="R169" s="59">
        <v>42162</v>
      </c>
      <c r="S169" s="19">
        <v>0</v>
      </c>
      <c r="T169" s="59">
        <v>41432</v>
      </c>
      <c r="U169" s="19">
        <v>1.6</v>
      </c>
    </row>
    <row r="170" spans="1:21" x14ac:dyDescent="0.75">
      <c r="A170" s="59">
        <f t="shared" si="12"/>
        <v>41433</v>
      </c>
      <c r="B170" s="19">
        <f t="shared" si="13"/>
        <v>2.8</v>
      </c>
      <c r="C170" s="41">
        <f t="shared" ca="1" si="16"/>
        <v>0.28000000000000003</v>
      </c>
      <c r="D170" s="41">
        <f ca="1">IF(Energy!$N$3, C170, IF(C170 &gt; 0, MAX(Energy!W170- Energy!N170, 0) / (Energy!I170 + Energy!M170) *C170, 0))</f>
        <v>0.27999999999999997</v>
      </c>
      <c r="E170" s="41" t="b">
        <f ca="1">IF(Main!$C$25="Solar", IF(Energy!W170-Energy!N170&gt;=0, TRUE, FALSE), TRUE)</f>
        <v>1</v>
      </c>
      <c r="F170" s="41">
        <f t="shared" ca="1" si="14"/>
        <v>0.15558971588783688</v>
      </c>
      <c r="G170" s="6">
        <f ca="1">IF(A170&gt;=$B$7,IF(E170,IF(H169-$B$6/1000&gt;0,IF($B$6/1000&gt;$B$9*24*60*60,$B$9*24*60*60,$B$6/1000),H169),($B$6/1000)*(-Energy!W170+Energy!N170)/Energy!N170),0)</f>
        <v>0.219</v>
      </c>
      <c r="H170" s="6">
        <f t="shared" ca="1" si="17"/>
        <v>8.4722977643117048</v>
      </c>
      <c r="I170" t="str">
        <f t="shared" ca="1" si="15"/>
        <v>Yes</v>
      </c>
      <c r="N170" s="57">
        <v>41798</v>
      </c>
      <c r="O170" s="56">
        <v>0.2</v>
      </c>
      <c r="P170" s="59">
        <v>42163</v>
      </c>
      <c r="Q170" s="32">
        <v>0</v>
      </c>
      <c r="R170" s="59">
        <v>42163</v>
      </c>
      <c r="S170" s="19">
        <v>0</v>
      </c>
      <c r="T170" s="59">
        <v>41433</v>
      </c>
      <c r="U170" s="19">
        <v>2.8</v>
      </c>
    </row>
    <row r="171" spans="1:21" x14ac:dyDescent="0.75">
      <c r="A171" s="59">
        <f t="shared" si="12"/>
        <v>41434</v>
      </c>
      <c r="B171" s="19">
        <f t="shared" si="13"/>
        <v>0.6</v>
      </c>
      <c r="C171" s="41">
        <f t="shared" ca="1" si="16"/>
        <v>0.06</v>
      </c>
      <c r="D171" s="41">
        <f ca="1">IF(Energy!$N$3, C171, IF(C171 &gt; 0, MAX(Energy!W171- Energy!N171, 0) / (Energy!I171 + Energy!M171) *C171, 0))</f>
        <v>5.9999999999999956E-2</v>
      </c>
      <c r="E171" s="41" t="b">
        <f ca="1">IF(Main!$C$25="Solar", IF(Energy!W171-Energy!N171&gt;=0, TRUE, FALSE), TRUE)</f>
        <v>1</v>
      </c>
      <c r="F171" s="41">
        <f t="shared" ca="1" si="14"/>
        <v>3.3340653404536458E-2</v>
      </c>
      <c r="G171" s="6">
        <f ca="1">IF(A171&gt;=$B$7,IF(E171,IF(H170-$B$6/1000&gt;0,IF($B$6/1000&gt;$B$9*24*60*60,$B$9*24*60*60,$B$6/1000),H170),($B$6/1000)*(-Energy!W171+Energy!N171)/Energy!N171),0)</f>
        <v>0.219</v>
      </c>
      <c r="H171" s="6">
        <f t="shared" ca="1" si="17"/>
        <v>8.3132977643117059</v>
      </c>
      <c r="I171" t="str">
        <f t="shared" ca="1" si="15"/>
        <v>Yes</v>
      </c>
      <c r="N171" s="57">
        <v>41799</v>
      </c>
      <c r="O171" s="56">
        <v>0</v>
      </c>
      <c r="P171" s="59">
        <v>42164</v>
      </c>
      <c r="Q171" s="32">
        <v>0</v>
      </c>
      <c r="R171" s="59">
        <v>42164</v>
      </c>
      <c r="S171" s="19">
        <v>0</v>
      </c>
      <c r="T171" s="59">
        <v>41434</v>
      </c>
      <c r="U171" s="19">
        <v>0.6</v>
      </c>
    </row>
    <row r="172" spans="1:21" x14ac:dyDescent="0.75">
      <c r="A172" s="59">
        <f t="shared" si="12"/>
        <v>41435</v>
      </c>
      <c r="B172" s="19">
        <f t="shared" si="13"/>
        <v>1.2</v>
      </c>
      <c r="C172" s="41">
        <f t="shared" ca="1" si="16"/>
        <v>0.12</v>
      </c>
      <c r="D172" s="41">
        <f ca="1">IF(Energy!$N$3, C172, IF(C172 &gt; 0, MAX(Energy!W172- Energy!N172, 0) / (Energy!I172 + Energy!M172) *C172, 0))</f>
        <v>0.12</v>
      </c>
      <c r="E172" s="41" t="b">
        <f ca="1">IF(Main!$C$25="Solar", IF(Energy!W172-Energy!N172&gt;=0, TRUE, FALSE), TRUE)</f>
        <v>1</v>
      </c>
      <c r="F172" s="41">
        <f t="shared" ca="1" si="14"/>
        <v>6.6681306809072957E-2</v>
      </c>
      <c r="G172" s="6">
        <f ca="1">IF(A172&gt;=$B$7,IF(E172,IF(H171-$B$6/1000&gt;0,IF($B$6/1000&gt;$B$9*24*60*60,$B$9*24*60*60,$B$6/1000),H171),($B$6/1000)*(-Energy!W172+Energy!N172)/Energy!N172),0)</f>
        <v>0.219</v>
      </c>
      <c r="H172" s="6">
        <f t="shared" ca="1" si="17"/>
        <v>8.2142977643117057</v>
      </c>
      <c r="I172" t="str">
        <f t="shared" ca="1" si="15"/>
        <v>Yes</v>
      </c>
      <c r="N172" s="57">
        <v>41800</v>
      </c>
      <c r="O172" s="56">
        <v>0</v>
      </c>
      <c r="P172" s="59">
        <v>42165</v>
      </c>
      <c r="Q172" s="32">
        <v>0</v>
      </c>
      <c r="R172" s="59">
        <v>42165</v>
      </c>
      <c r="S172" s="19">
        <v>0</v>
      </c>
      <c r="T172" s="59">
        <v>41435</v>
      </c>
      <c r="U172" s="19">
        <v>1.2</v>
      </c>
    </row>
    <row r="173" spans="1:21" x14ac:dyDescent="0.75">
      <c r="A173" s="59">
        <f t="shared" si="12"/>
        <v>41436</v>
      </c>
      <c r="B173" s="19">
        <f t="shared" si="13"/>
        <v>19.600000000000001</v>
      </c>
      <c r="C173" s="41">
        <f t="shared" ca="1" si="16"/>
        <v>1.9600000000000002</v>
      </c>
      <c r="D173" s="41">
        <f ca="1">IF(Energy!$N$3, C173, IF(C173 &gt; 0, MAX(Energy!W173- Energy!N173, 0) / (Energy!I173 + Energy!M173) *C173, 0))</f>
        <v>1.9600000000000002</v>
      </c>
      <c r="E173" s="41" t="b">
        <f ca="1">IF(Main!$C$25="Solar", IF(Energy!W173-Energy!N173&gt;=0, TRUE, FALSE), TRUE)</f>
        <v>1</v>
      </c>
      <c r="F173" s="41">
        <f t="shared" ca="1" si="14"/>
        <v>1.0891280112148585</v>
      </c>
      <c r="G173" s="6">
        <f ca="1">IF(A173&gt;=$B$7,IF(E173,IF(H172-$B$6/1000&gt;0,IF($B$6/1000&gt;$B$9*24*60*60,$B$9*24*60*60,$B$6/1000),H172),($B$6/1000)*(-Energy!W173+Energy!N173)/Energy!N173),0)</f>
        <v>0.219</v>
      </c>
      <c r="H173" s="6">
        <f t="shared" ca="1" si="17"/>
        <v>9.9552977643117071</v>
      </c>
      <c r="I173" t="str">
        <f t="shared" ca="1" si="15"/>
        <v>Yes</v>
      </c>
      <c r="N173" s="57">
        <v>41801</v>
      </c>
      <c r="O173" s="56">
        <v>0</v>
      </c>
      <c r="P173" s="59">
        <v>42166</v>
      </c>
      <c r="Q173" s="32">
        <v>0</v>
      </c>
      <c r="R173" s="59">
        <v>42166</v>
      </c>
      <c r="S173" s="19">
        <v>0</v>
      </c>
      <c r="T173" s="59">
        <v>41436</v>
      </c>
      <c r="U173" s="19">
        <v>19.600000000000001</v>
      </c>
    </row>
    <row r="174" spans="1:21" x14ac:dyDescent="0.75">
      <c r="A174" s="59">
        <f t="shared" si="12"/>
        <v>41437</v>
      </c>
      <c r="B174" s="19">
        <f t="shared" si="13"/>
        <v>7.4</v>
      </c>
      <c r="C174" s="41">
        <f t="shared" ca="1" si="16"/>
        <v>0.74</v>
      </c>
      <c r="D174" s="41">
        <f ca="1">IF(Energy!$N$3, C174, IF(C174 &gt; 0, MAX(Energy!W174- Energy!N174, 0) / (Energy!I174 + Energy!M174) *C174, 0))</f>
        <v>0.74</v>
      </c>
      <c r="E174" s="41" t="b">
        <f ca="1">IF(Main!$C$25="Solar", IF(Energy!W174-Energy!N174&gt;=0, TRUE, FALSE), TRUE)</f>
        <v>1</v>
      </c>
      <c r="F174" s="41">
        <f t="shared" ca="1" si="14"/>
        <v>0.41120139198928324</v>
      </c>
      <c r="G174" s="6">
        <f ca="1">IF(A174&gt;=$B$7,IF(E174,IF(H173-$B$6/1000&gt;0,IF($B$6/1000&gt;$B$9*24*60*60,$B$9*24*60*60,$B$6/1000),H173),($B$6/1000)*(-Energy!W174+Energy!N174)/Energy!N174),0)</f>
        <v>0.219</v>
      </c>
      <c r="H174" s="6">
        <f t="shared" ca="1" si="17"/>
        <v>10.476297764311708</v>
      </c>
      <c r="I174" t="str">
        <f t="shared" ca="1" si="15"/>
        <v>Yes</v>
      </c>
      <c r="N174" s="57">
        <v>41802</v>
      </c>
      <c r="O174" s="56">
        <v>0</v>
      </c>
      <c r="P174" s="59">
        <v>42167</v>
      </c>
      <c r="Q174" s="32">
        <v>0</v>
      </c>
      <c r="R174" s="59">
        <v>42167</v>
      </c>
      <c r="S174" s="19">
        <v>0</v>
      </c>
      <c r="T174" s="59">
        <v>41437</v>
      </c>
      <c r="U174" s="19">
        <v>7.4</v>
      </c>
    </row>
    <row r="175" spans="1:21" x14ac:dyDescent="0.75">
      <c r="A175" s="59">
        <f t="shared" si="12"/>
        <v>41438</v>
      </c>
      <c r="B175" s="19">
        <f t="shared" si="13"/>
        <v>0.2</v>
      </c>
      <c r="C175" s="41">
        <f t="shared" ca="1" si="16"/>
        <v>0.02</v>
      </c>
      <c r="D175" s="41">
        <f ca="1">IF(Energy!$N$3, C175, IF(C175 &gt; 0, MAX(Energy!W175- Energy!N175, 0) / (Energy!I175 + Energy!M175) *C175, 0))</f>
        <v>2.0000000000000014E-2</v>
      </c>
      <c r="E175" s="41" t="b">
        <f ca="1">IF(Main!$C$25="Solar", IF(Energy!W175-Energy!N175&gt;=0, TRUE, FALSE), TRUE)</f>
        <v>1</v>
      </c>
      <c r="F175" s="41">
        <f t="shared" ca="1" si="14"/>
        <v>1.11135511348455E-2</v>
      </c>
      <c r="G175" s="6">
        <f ca="1">IF(A175&gt;=$B$7,IF(E175,IF(H174-$B$6/1000&gt;0,IF($B$6/1000&gt;$B$9*24*60*60,$B$9*24*60*60,$B$6/1000),H174),($B$6/1000)*(-Energy!W175+Energy!N175)/Energy!N175),0)</f>
        <v>0.219</v>
      </c>
      <c r="H175" s="6">
        <f t="shared" ca="1" si="17"/>
        <v>10.277297764311708</v>
      </c>
      <c r="I175" t="str">
        <f t="shared" ca="1" si="15"/>
        <v>Yes</v>
      </c>
      <c r="N175" s="57">
        <v>41803</v>
      </c>
      <c r="O175" s="56">
        <v>0</v>
      </c>
      <c r="P175" s="59">
        <v>42168</v>
      </c>
      <c r="Q175" s="32">
        <v>0</v>
      </c>
      <c r="R175" s="59">
        <v>42168</v>
      </c>
      <c r="S175" s="19">
        <v>0</v>
      </c>
      <c r="T175" s="59">
        <v>41438</v>
      </c>
      <c r="U175" s="19">
        <v>0.2</v>
      </c>
    </row>
    <row r="176" spans="1:21" x14ac:dyDescent="0.75">
      <c r="A176" s="59">
        <f t="shared" si="12"/>
        <v>41439</v>
      </c>
      <c r="B176" s="19">
        <f t="shared" si="13"/>
        <v>0</v>
      </c>
      <c r="C176" s="41">
        <f t="shared" ca="1" si="16"/>
        <v>0</v>
      </c>
      <c r="D176" s="41">
        <f ca="1">IF(Energy!$N$3, C176, IF(C176 &gt; 0, MAX(Energy!W176- Energy!N176, 0) / (Energy!I176 + Energy!M176) *C176, 0))</f>
        <v>0</v>
      </c>
      <c r="E176" s="41" t="b">
        <f ca="1">IF(Main!$C$25="Solar", IF(Energy!W176-Energy!N176&gt;=0, TRUE, FALSE), TRUE)</f>
        <v>1</v>
      </c>
      <c r="F176" s="41">
        <f t="shared" ca="1" si="14"/>
        <v>0</v>
      </c>
      <c r="G176" s="6">
        <f ca="1">IF(A176&gt;=$B$7,IF(E176,IF(H175-$B$6/1000&gt;0,IF($B$6/1000&gt;$B$9*24*60*60,$B$9*24*60*60,$B$6/1000),H175),($B$6/1000)*(-Energy!W176+Energy!N176)/Energy!N176),0)</f>
        <v>0.219</v>
      </c>
      <c r="H176" s="6">
        <f t="shared" ca="1" si="17"/>
        <v>10.058297764311709</v>
      </c>
      <c r="I176" t="str">
        <f t="shared" ca="1" si="15"/>
        <v>Yes</v>
      </c>
      <c r="N176" s="57">
        <v>41804</v>
      </c>
      <c r="O176" s="56">
        <v>3.6</v>
      </c>
      <c r="P176" s="59">
        <v>42169</v>
      </c>
      <c r="Q176" s="32">
        <v>0</v>
      </c>
      <c r="R176" s="59">
        <v>42169</v>
      </c>
      <c r="S176" s="19">
        <v>0</v>
      </c>
      <c r="T176" s="59">
        <v>41439</v>
      </c>
      <c r="U176" s="19">
        <v>0</v>
      </c>
    </row>
    <row r="177" spans="1:21" x14ac:dyDescent="0.75">
      <c r="A177" s="59">
        <f t="shared" si="12"/>
        <v>41440</v>
      </c>
      <c r="B177" s="19">
        <f t="shared" si="13"/>
        <v>1.2</v>
      </c>
      <c r="C177" s="41">
        <f t="shared" ca="1" si="16"/>
        <v>0.12</v>
      </c>
      <c r="D177" s="41">
        <f ca="1">IF(Energy!$N$3, C177, IF(C177 &gt; 0, MAX(Energy!W177- Energy!N177, 0) / (Energy!I177 + Energy!M177) *C177, 0))</f>
        <v>0.12</v>
      </c>
      <c r="E177" s="41" t="b">
        <f ca="1">IF(Main!$C$25="Solar", IF(Energy!W177-Energy!N177&gt;=0, TRUE, FALSE), TRUE)</f>
        <v>1</v>
      </c>
      <c r="F177" s="41">
        <f t="shared" ca="1" si="14"/>
        <v>6.6681306809072957E-2</v>
      </c>
      <c r="G177" s="6">
        <f ca="1">IF(A177&gt;=$B$7,IF(E177,IF(H176-$B$6/1000&gt;0,IF($B$6/1000&gt;$B$9*24*60*60,$B$9*24*60*60,$B$6/1000),H176),($B$6/1000)*(-Energy!W177+Energy!N177)/Energy!N177),0)</f>
        <v>0.219</v>
      </c>
      <c r="H177" s="6">
        <f t="shared" ca="1" si="17"/>
        <v>9.9592977643117084</v>
      </c>
      <c r="I177" t="str">
        <f t="shared" ca="1" si="15"/>
        <v>Yes</v>
      </c>
      <c r="N177" s="57">
        <v>41805</v>
      </c>
      <c r="O177" s="56">
        <v>0</v>
      </c>
      <c r="P177" s="59">
        <v>42170</v>
      </c>
      <c r="Q177" s="32">
        <v>0</v>
      </c>
      <c r="R177" s="59">
        <v>42170</v>
      </c>
      <c r="S177" s="19">
        <v>0</v>
      </c>
      <c r="T177" s="59">
        <v>41440</v>
      </c>
      <c r="U177" s="19">
        <v>1.2</v>
      </c>
    </row>
    <row r="178" spans="1:21" x14ac:dyDescent="0.75">
      <c r="A178" s="59">
        <f t="shared" si="12"/>
        <v>41441</v>
      </c>
      <c r="B178" s="19">
        <f t="shared" si="13"/>
        <v>0.4</v>
      </c>
      <c r="C178" s="41">
        <f t="shared" ca="1" si="16"/>
        <v>0.04</v>
      </c>
      <c r="D178" s="41">
        <f ca="1">IF(Energy!$N$3, C178, IF(C178 &gt; 0, MAX(Energy!W178- Energy!N178, 0) / (Energy!I178 + Energy!M178) *C178, 0))</f>
        <v>4.0000000000000029E-2</v>
      </c>
      <c r="E178" s="41" t="b">
        <f ca="1">IF(Main!$C$25="Solar", IF(Energy!W178-Energy!N178&gt;=0, TRUE, FALSE), TRUE)</f>
        <v>1</v>
      </c>
      <c r="F178" s="41">
        <f t="shared" ca="1" si="14"/>
        <v>2.2227102269691001E-2</v>
      </c>
      <c r="G178" s="6">
        <f ca="1">IF(A178&gt;=$B$7,IF(E178,IF(H177-$B$6/1000&gt;0,IF($B$6/1000&gt;$B$9*24*60*60,$B$9*24*60*60,$B$6/1000),H177),($B$6/1000)*(-Energy!W178+Energy!N178)/Energy!N178),0)</f>
        <v>0.219</v>
      </c>
      <c r="H178" s="6">
        <f t="shared" ca="1" si="17"/>
        <v>9.7802977643117082</v>
      </c>
      <c r="I178" t="str">
        <f t="shared" ca="1" si="15"/>
        <v>Yes</v>
      </c>
      <c r="N178" s="57">
        <v>41806</v>
      </c>
      <c r="O178" s="56">
        <v>0</v>
      </c>
      <c r="P178" s="59">
        <v>42171</v>
      </c>
      <c r="Q178" s="32">
        <v>0</v>
      </c>
      <c r="R178" s="59">
        <v>42171</v>
      </c>
      <c r="S178" s="19">
        <v>0</v>
      </c>
      <c r="T178" s="59">
        <v>41441</v>
      </c>
      <c r="U178" s="19">
        <v>0.4</v>
      </c>
    </row>
    <row r="179" spans="1:21" x14ac:dyDescent="0.75">
      <c r="A179" s="59">
        <f t="shared" si="12"/>
        <v>41442</v>
      </c>
      <c r="B179" s="19">
        <f t="shared" si="13"/>
        <v>2.4</v>
      </c>
      <c r="C179" s="41">
        <f t="shared" ca="1" si="16"/>
        <v>0.24</v>
      </c>
      <c r="D179" s="41">
        <f ca="1">IF(Energy!$N$3, C179, IF(C179 &gt; 0, MAX(Energy!W179- Energy!N179, 0) / (Energy!I179 + Energy!M179) *C179, 0))</f>
        <v>0.24</v>
      </c>
      <c r="E179" s="41" t="b">
        <f ca="1">IF(Main!$C$25="Solar", IF(Energy!W179-Energy!N179&gt;=0, TRUE, FALSE), TRUE)</f>
        <v>1</v>
      </c>
      <c r="F179" s="41">
        <f t="shared" ca="1" si="14"/>
        <v>0.13336261361814591</v>
      </c>
      <c r="G179" s="6">
        <f ca="1">IF(A179&gt;=$B$7,IF(E179,IF(H178-$B$6/1000&gt;0,IF($B$6/1000&gt;$B$9*24*60*60,$B$9*24*60*60,$B$6/1000),H178),($B$6/1000)*(-Energy!W179+Energy!N179)/Energy!N179),0)</f>
        <v>0.219</v>
      </c>
      <c r="H179" s="6">
        <f t="shared" ca="1" si="17"/>
        <v>9.801297764311709</v>
      </c>
      <c r="I179" t="str">
        <f t="shared" ca="1" si="15"/>
        <v>Yes</v>
      </c>
      <c r="N179" s="57">
        <v>41807</v>
      </c>
      <c r="O179" s="56">
        <v>0</v>
      </c>
      <c r="P179" s="59">
        <v>42172</v>
      </c>
      <c r="Q179" s="32">
        <v>0</v>
      </c>
      <c r="R179" s="59">
        <v>42172</v>
      </c>
      <c r="S179" s="19">
        <v>0</v>
      </c>
      <c r="T179" s="59">
        <v>41442</v>
      </c>
      <c r="U179" s="19">
        <v>2.4</v>
      </c>
    </row>
    <row r="180" spans="1:21" x14ac:dyDescent="0.75">
      <c r="A180" s="59">
        <f t="shared" si="12"/>
        <v>41443</v>
      </c>
      <c r="B180" s="19">
        <f t="shared" si="13"/>
        <v>1.8</v>
      </c>
      <c r="C180" s="41">
        <f t="shared" ca="1" si="16"/>
        <v>0.18</v>
      </c>
      <c r="D180" s="41">
        <f ca="1">IF(Energy!$N$3, C180, IF(C180 &gt; 0, MAX(Energy!W180- Energy!N180, 0) / (Energy!I180 + Energy!M180) *C180, 0))</f>
        <v>0.17999999999999997</v>
      </c>
      <c r="E180" s="41" t="b">
        <f ca="1">IF(Main!$C$25="Solar", IF(Energy!W180-Energy!N180&gt;=0, TRUE, FALSE), TRUE)</f>
        <v>1</v>
      </c>
      <c r="F180" s="41">
        <f t="shared" ca="1" si="14"/>
        <v>0.10002196021360941</v>
      </c>
      <c r="G180" s="6">
        <f ca="1">IF(A180&gt;=$B$7,IF(E180,IF(H179-$B$6/1000&gt;0,IF($B$6/1000&gt;$B$9*24*60*60,$B$9*24*60*60,$B$6/1000),H179),($B$6/1000)*(-Energy!W180+Energy!N180)/Energy!N180),0)</f>
        <v>0.219</v>
      </c>
      <c r="H180" s="6">
        <f t="shared" ca="1" si="17"/>
        <v>9.7622977643117093</v>
      </c>
      <c r="I180" t="str">
        <f t="shared" ca="1" si="15"/>
        <v>Yes</v>
      </c>
      <c r="N180" s="57">
        <v>41808</v>
      </c>
      <c r="O180" s="56">
        <v>1.6</v>
      </c>
      <c r="P180" s="59">
        <v>42173</v>
      </c>
      <c r="Q180" s="32">
        <v>7</v>
      </c>
      <c r="R180" s="59">
        <v>42173</v>
      </c>
      <c r="S180" s="19">
        <v>1.6</v>
      </c>
      <c r="T180" s="59">
        <v>41443</v>
      </c>
      <c r="U180" s="19">
        <v>1.8</v>
      </c>
    </row>
    <row r="181" spans="1:21" x14ac:dyDescent="0.75">
      <c r="A181" s="59">
        <f t="shared" si="12"/>
        <v>41444</v>
      </c>
      <c r="B181" s="19">
        <f t="shared" si="13"/>
        <v>6.8</v>
      </c>
      <c r="C181" s="41">
        <f t="shared" ca="1" si="16"/>
        <v>0.68</v>
      </c>
      <c r="D181" s="41">
        <f ca="1">IF(Energy!$N$3, C181, IF(C181 &gt; 0, MAX(Energy!W181- Energy!N181, 0) / (Energy!I181 + Energy!M181) *C181, 0))</f>
        <v>0.68</v>
      </c>
      <c r="E181" s="41" t="b">
        <f ca="1">IF(Main!$C$25="Solar", IF(Energy!W181-Energy!N181&gt;=0, TRUE, FALSE), TRUE)</f>
        <v>1</v>
      </c>
      <c r="F181" s="41">
        <f t="shared" ca="1" si="14"/>
        <v>0.37786073858474678</v>
      </c>
      <c r="G181" s="6">
        <f ca="1">IF(A181&gt;=$B$7,IF(E181,IF(H180-$B$6/1000&gt;0,IF($B$6/1000&gt;$B$9*24*60*60,$B$9*24*60*60,$B$6/1000),H180),($B$6/1000)*(-Energy!W181+Energy!N181)/Energy!N181),0)</f>
        <v>0.219</v>
      </c>
      <c r="H181" s="6">
        <f t="shared" ca="1" si="17"/>
        <v>10.22329776431171</v>
      </c>
      <c r="I181" t="str">
        <f t="shared" ca="1" si="15"/>
        <v>Yes</v>
      </c>
      <c r="N181" s="57">
        <v>41809</v>
      </c>
      <c r="O181" s="56">
        <v>20.8</v>
      </c>
      <c r="P181" s="59">
        <v>42174</v>
      </c>
      <c r="Q181" s="32">
        <v>0</v>
      </c>
      <c r="R181" s="59">
        <v>42174</v>
      </c>
      <c r="S181" s="19">
        <v>0.4</v>
      </c>
      <c r="T181" s="59">
        <v>41444</v>
      </c>
      <c r="U181" s="19">
        <v>6.8</v>
      </c>
    </row>
    <row r="182" spans="1:21" x14ac:dyDescent="0.75">
      <c r="A182" s="59">
        <f t="shared" si="12"/>
        <v>41445</v>
      </c>
      <c r="B182" s="19">
        <f t="shared" si="13"/>
        <v>5.4</v>
      </c>
      <c r="C182" s="41">
        <f t="shared" ca="1" si="16"/>
        <v>0.54</v>
      </c>
      <c r="D182" s="41">
        <f ca="1">IF(Energy!$N$3, C182, IF(C182 &gt; 0, MAX(Energy!W182- Energy!N182, 0) / (Energy!I182 + Energy!M182) *C182, 0))</f>
        <v>0.53999999999999992</v>
      </c>
      <c r="E182" s="41" t="b">
        <f ca="1">IF(Main!$C$25="Solar", IF(Energy!W182-Energy!N182&gt;=0, TRUE, FALSE), TRUE)</f>
        <v>1</v>
      </c>
      <c r="F182" s="41">
        <f t="shared" ca="1" si="14"/>
        <v>0.30006588064082829</v>
      </c>
      <c r="G182" s="6">
        <f ca="1">IF(A182&gt;=$B$7,IF(E182,IF(H181-$B$6/1000&gt;0,IF($B$6/1000&gt;$B$9*24*60*60,$B$9*24*60*60,$B$6/1000),H181),($B$6/1000)*(-Energy!W182+Energy!N182)/Energy!N182),0)</f>
        <v>0.219</v>
      </c>
      <c r="H182" s="6">
        <f t="shared" ca="1" si="17"/>
        <v>10.544297764311709</v>
      </c>
      <c r="I182" t="str">
        <f t="shared" ca="1" si="15"/>
        <v>Yes</v>
      </c>
      <c r="N182" s="57">
        <v>41810</v>
      </c>
      <c r="O182" s="56">
        <v>3.2</v>
      </c>
      <c r="P182" s="59">
        <v>42175</v>
      </c>
      <c r="Q182" s="32">
        <v>0</v>
      </c>
      <c r="R182" s="59">
        <v>42175</v>
      </c>
      <c r="S182" s="19">
        <v>0</v>
      </c>
      <c r="T182" s="59">
        <v>41445</v>
      </c>
      <c r="U182" s="19">
        <v>5.4</v>
      </c>
    </row>
    <row r="183" spans="1:21" x14ac:dyDescent="0.75">
      <c r="A183" s="59">
        <f t="shared" si="12"/>
        <v>41446</v>
      </c>
      <c r="B183" s="19">
        <f t="shared" si="13"/>
        <v>0</v>
      </c>
      <c r="C183" s="41">
        <f t="shared" ca="1" si="16"/>
        <v>0</v>
      </c>
      <c r="D183" s="41">
        <f ca="1">IF(Energy!$N$3, C183, IF(C183 &gt; 0, MAX(Energy!W183- Energy!N183, 0) / (Energy!I183 + Energy!M183) *C183, 0))</f>
        <v>0</v>
      </c>
      <c r="E183" s="41" t="b">
        <f ca="1">IF(Main!$C$25="Solar", IF(Energy!W183-Energy!N183&gt;=0, TRUE, FALSE), TRUE)</f>
        <v>1</v>
      </c>
      <c r="F183" s="41">
        <f t="shared" ca="1" si="14"/>
        <v>0</v>
      </c>
      <c r="G183" s="6">
        <f ca="1">IF(A183&gt;=$B$7,IF(E183,IF(H182-$B$6/1000&gt;0,IF($B$6/1000&gt;$B$9*24*60*60,$B$9*24*60*60,$B$6/1000),H182),($B$6/1000)*(-Energy!W183+Energy!N183)/Energy!N183),0)</f>
        <v>0.219</v>
      </c>
      <c r="H183" s="6">
        <f t="shared" ca="1" si="17"/>
        <v>10.32529776431171</v>
      </c>
      <c r="I183" t="str">
        <f t="shared" ca="1" si="15"/>
        <v>Yes</v>
      </c>
      <c r="N183" s="57">
        <v>41811</v>
      </c>
      <c r="O183" s="56">
        <v>1.2</v>
      </c>
      <c r="P183" s="59">
        <v>42176</v>
      </c>
      <c r="Q183" s="32">
        <v>0</v>
      </c>
      <c r="R183" s="59">
        <v>42176</v>
      </c>
      <c r="S183" s="19">
        <v>0</v>
      </c>
      <c r="T183" s="59">
        <v>41446</v>
      </c>
      <c r="U183" s="19">
        <v>0</v>
      </c>
    </row>
    <row r="184" spans="1:21" x14ac:dyDescent="0.75">
      <c r="A184" s="59">
        <f t="shared" si="12"/>
        <v>41447</v>
      </c>
      <c r="B184" s="19">
        <f t="shared" si="13"/>
        <v>0</v>
      </c>
      <c r="C184" s="41">
        <f t="shared" ca="1" si="16"/>
        <v>0</v>
      </c>
      <c r="D184" s="41">
        <f ca="1">IF(Energy!$N$3, C184, IF(C184 &gt; 0, MAX(Energy!W184- Energy!N184, 0) / (Energy!I184 + Energy!M184) *C184, 0))</f>
        <v>0</v>
      </c>
      <c r="E184" s="41" t="b">
        <f ca="1">IF(Main!$C$25="Solar", IF(Energy!W184-Energy!N184&gt;=0, TRUE, FALSE), TRUE)</f>
        <v>1</v>
      </c>
      <c r="F184" s="41">
        <f t="shared" ca="1" si="14"/>
        <v>0</v>
      </c>
      <c r="G184" s="6">
        <f ca="1">IF(A184&gt;=$B$7,IF(E184,IF(H183-$B$6/1000&gt;0,IF($B$6/1000&gt;$B$9*24*60*60,$B$9*24*60*60,$B$6/1000),H183),($B$6/1000)*(-Energy!W184+Energy!N184)/Energy!N184),0)</f>
        <v>0.219</v>
      </c>
      <c r="H184" s="6">
        <f t="shared" ca="1" si="17"/>
        <v>10.10629776431171</v>
      </c>
      <c r="I184" t="str">
        <f t="shared" ca="1" si="15"/>
        <v>Yes</v>
      </c>
      <c r="N184" s="57">
        <v>41812</v>
      </c>
      <c r="O184" s="56">
        <v>0</v>
      </c>
      <c r="P184" s="59">
        <v>42177</v>
      </c>
      <c r="Q184" s="32">
        <v>0</v>
      </c>
      <c r="R184" s="59">
        <v>42177</v>
      </c>
      <c r="S184" s="19">
        <v>0</v>
      </c>
      <c r="T184" s="59">
        <v>41447</v>
      </c>
      <c r="U184" s="19">
        <v>0</v>
      </c>
    </row>
    <row r="185" spans="1:21" x14ac:dyDescent="0.75">
      <c r="A185" s="59">
        <f t="shared" si="12"/>
        <v>41448</v>
      </c>
      <c r="B185" s="19">
        <f t="shared" si="13"/>
        <v>0.8</v>
      </c>
      <c r="C185" s="41">
        <f t="shared" ca="1" si="16"/>
        <v>0.08</v>
      </c>
      <c r="D185" s="41">
        <f ca="1">IF(Energy!$N$3, C185, IF(C185 &gt; 0, MAX(Energy!W185- Energy!N185, 0) / (Energy!I185 + Energy!M185) *C185, 0))</f>
        <v>7.9999999999999974E-2</v>
      </c>
      <c r="E185" s="41" t="b">
        <f ca="1">IF(Main!$C$25="Solar", IF(Energy!W185-Energy!N185&gt;=0, TRUE, FALSE), TRUE)</f>
        <v>1</v>
      </c>
      <c r="F185" s="41">
        <f t="shared" ca="1" si="14"/>
        <v>4.445420453938196E-2</v>
      </c>
      <c r="G185" s="6">
        <f ca="1">IF(A185&gt;=$B$7,IF(E185,IF(H184-$B$6/1000&gt;0,IF($B$6/1000&gt;$B$9*24*60*60,$B$9*24*60*60,$B$6/1000),H184),($B$6/1000)*(-Energy!W185+Energy!N185)/Energy!N185),0)</f>
        <v>0.219</v>
      </c>
      <c r="H185" s="6">
        <f t="shared" ca="1" si="17"/>
        <v>9.9672977643117111</v>
      </c>
      <c r="I185" t="str">
        <f t="shared" ca="1" si="15"/>
        <v>Yes</v>
      </c>
      <c r="N185" s="57">
        <v>41813</v>
      </c>
      <c r="O185" s="56">
        <v>15.4</v>
      </c>
      <c r="P185" s="59">
        <v>42178</v>
      </c>
      <c r="Q185" s="32">
        <v>1.4</v>
      </c>
      <c r="R185" s="59">
        <v>42178</v>
      </c>
      <c r="S185" s="19">
        <v>0</v>
      </c>
      <c r="T185" s="59">
        <v>41448</v>
      </c>
      <c r="U185" s="19">
        <v>0.8</v>
      </c>
    </row>
    <row r="186" spans="1:21" x14ac:dyDescent="0.75">
      <c r="A186" s="59">
        <f t="shared" si="12"/>
        <v>41449</v>
      </c>
      <c r="B186" s="19">
        <f t="shared" si="13"/>
        <v>7</v>
      </c>
      <c r="C186" s="41">
        <f t="shared" ca="1" si="16"/>
        <v>0.7</v>
      </c>
      <c r="D186" s="41">
        <f ca="1">IF(Energy!$N$3, C186, IF(C186 &gt; 0, MAX(Energy!W186- Energy!N186, 0) / (Energy!I186 + Energy!M186) *C186, 0))</f>
        <v>0.70000000000000007</v>
      </c>
      <c r="E186" s="41" t="b">
        <f ca="1">IF(Main!$C$25="Solar", IF(Energy!W186-Energy!N186&gt;=0, TRUE, FALSE), TRUE)</f>
        <v>1</v>
      </c>
      <c r="F186" s="41">
        <f t="shared" ca="1" si="14"/>
        <v>0.3889742897195923</v>
      </c>
      <c r="G186" s="6">
        <f ca="1">IF(A186&gt;=$B$7,IF(E186,IF(H185-$B$6/1000&gt;0,IF($B$6/1000&gt;$B$9*24*60*60,$B$9*24*60*60,$B$6/1000),H185),($B$6/1000)*(-Energy!W186+Energy!N186)/Energy!N186),0)</f>
        <v>0.219</v>
      </c>
      <c r="H186" s="6">
        <f t="shared" ca="1" si="17"/>
        <v>10.448297764311711</v>
      </c>
      <c r="I186" t="str">
        <f t="shared" ca="1" si="15"/>
        <v>Yes</v>
      </c>
      <c r="N186" s="57">
        <v>41814</v>
      </c>
      <c r="O186" s="56">
        <v>1.2</v>
      </c>
      <c r="P186" s="59">
        <v>42179</v>
      </c>
      <c r="Q186" s="32">
        <v>13.4</v>
      </c>
      <c r="R186" s="59">
        <v>42179</v>
      </c>
      <c r="S186" s="19">
        <v>0</v>
      </c>
      <c r="T186" s="59">
        <v>41449</v>
      </c>
      <c r="U186" s="19">
        <v>7</v>
      </c>
    </row>
    <row r="187" spans="1:21" x14ac:dyDescent="0.75">
      <c r="A187" s="59">
        <f t="shared" si="12"/>
        <v>41450</v>
      </c>
      <c r="B187" s="19">
        <f t="shared" si="13"/>
        <v>0</v>
      </c>
      <c r="C187" s="41">
        <f t="shared" ca="1" si="16"/>
        <v>0</v>
      </c>
      <c r="D187" s="41">
        <f ca="1">IF(Energy!$N$3, C187, IF(C187 &gt; 0, MAX(Energy!W187- Energy!N187, 0) / (Energy!I187 + Energy!M187) *C187, 0))</f>
        <v>0</v>
      </c>
      <c r="E187" s="41" t="b">
        <f ca="1">IF(Main!$C$25="Solar", IF(Energy!W187-Energy!N187&gt;=0, TRUE, FALSE), TRUE)</f>
        <v>1</v>
      </c>
      <c r="F187" s="41">
        <f t="shared" ca="1" si="14"/>
        <v>0</v>
      </c>
      <c r="G187" s="6">
        <f ca="1">IF(A187&gt;=$B$7,IF(E187,IF(H186-$B$6/1000&gt;0,IF($B$6/1000&gt;$B$9*24*60*60,$B$9*24*60*60,$B$6/1000),H186),($B$6/1000)*(-Energy!W187+Energy!N187)/Energy!N187),0)</f>
        <v>0.219</v>
      </c>
      <c r="H187" s="6">
        <f t="shared" ca="1" si="17"/>
        <v>10.229297764311712</v>
      </c>
      <c r="I187" t="str">
        <f t="shared" ca="1" si="15"/>
        <v>Yes</v>
      </c>
      <c r="N187" s="57">
        <v>41815</v>
      </c>
      <c r="O187" s="56">
        <v>0</v>
      </c>
      <c r="P187" s="59">
        <v>42180</v>
      </c>
      <c r="Q187" s="32">
        <v>4</v>
      </c>
      <c r="R187" s="59">
        <v>42180</v>
      </c>
      <c r="S187" s="19">
        <v>0</v>
      </c>
      <c r="T187" s="59">
        <v>41450</v>
      </c>
      <c r="U187" s="19">
        <v>0</v>
      </c>
    </row>
    <row r="188" spans="1:21" x14ac:dyDescent="0.75">
      <c r="A188" s="59">
        <f t="shared" si="12"/>
        <v>41451</v>
      </c>
      <c r="B188" s="19">
        <f t="shared" si="13"/>
        <v>1.4</v>
      </c>
      <c r="C188" s="41">
        <f t="shared" ca="1" si="16"/>
        <v>0.14000000000000001</v>
      </c>
      <c r="D188" s="41">
        <f ca="1">IF(Energy!$N$3, C188, IF(C188 &gt; 0, MAX(Energy!W188- Energy!N188, 0) / (Energy!I188 + Energy!M188) *C188, 0))</f>
        <v>0.13999999999999999</v>
      </c>
      <c r="E188" s="41" t="b">
        <f ca="1">IF(Main!$C$25="Solar", IF(Energy!W188-Energy!N188&gt;=0, TRUE, FALSE), TRUE)</f>
        <v>1</v>
      </c>
      <c r="F188" s="41">
        <f t="shared" ca="1" si="14"/>
        <v>7.7794857943918438E-2</v>
      </c>
      <c r="G188" s="6">
        <f ca="1">IF(A188&gt;=$B$7,IF(E188,IF(H187-$B$6/1000&gt;0,IF($B$6/1000&gt;$B$9*24*60*60,$B$9*24*60*60,$B$6/1000),H187),($B$6/1000)*(-Energy!W188+Energy!N188)/Energy!N188),0)</f>
        <v>0.219</v>
      </c>
      <c r="H188" s="6">
        <f t="shared" ca="1" si="17"/>
        <v>10.150297764311713</v>
      </c>
      <c r="I188" t="str">
        <f t="shared" ca="1" si="15"/>
        <v>Yes</v>
      </c>
      <c r="N188" s="57">
        <v>41816</v>
      </c>
      <c r="O188" s="56">
        <v>5.8</v>
      </c>
      <c r="P188" s="59">
        <v>42181</v>
      </c>
      <c r="Q188" s="32">
        <v>0</v>
      </c>
      <c r="R188" s="59">
        <v>42181</v>
      </c>
      <c r="S188" s="19">
        <v>0</v>
      </c>
      <c r="T188" s="59">
        <v>41451</v>
      </c>
      <c r="U188" s="19">
        <v>1.4</v>
      </c>
    </row>
    <row r="189" spans="1:21" x14ac:dyDescent="0.75">
      <c r="A189" s="59">
        <f t="shared" si="12"/>
        <v>41452</v>
      </c>
      <c r="B189" s="19">
        <f t="shared" si="13"/>
        <v>2</v>
      </c>
      <c r="C189" s="41">
        <f t="shared" ca="1" si="16"/>
        <v>0.2</v>
      </c>
      <c r="D189" s="41">
        <f ca="1">IF(Energy!$N$3, C189, IF(C189 &gt; 0, MAX(Energy!W189- Energy!N189, 0) / (Energy!I189 + Energy!M189) *C189, 0))</f>
        <v>0.19999999999999996</v>
      </c>
      <c r="E189" s="41" t="b">
        <f ca="1">IF(Main!$C$25="Solar", IF(Energy!W189-Energy!N189&gt;=0, TRUE, FALSE), TRUE)</f>
        <v>1</v>
      </c>
      <c r="F189" s="41">
        <f t="shared" ca="1" si="14"/>
        <v>0.11113551134845491</v>
      </c>
      <c r="G189" s="6">
        <f ca="1">IF(A189&gt;=$B$7,IF(E189,IF(H188-$B$6/1000&gt;0,IF($B$6/1000&gt;$B$9*24*60*60,$B$9*24*60*60,$B$6/1000),H188),($B$6/1000)*(-Energy!W189+Energy!N189)/Energy!N189),0)</f>
        <v>0.219</v>
      </c>
      <c r="H189" s="6">
        <f t="shared" ca="1" si="17"/>
        <v>10.131297764311713</v>
      </c>
      <c r="I189" t="str">
        <f t="shared" ca="1" si="15"/>
        <v>Yes</v>
      </c>
      <c r="N189" s="57">
        <v>41817</v>
      </c>
      <c r="O189" s="56">
        <v>20.399999999999999</v>
      </c>
      <c r="P189" s="59">
        <v>42182</v>
      </c>
      <c r="Q189" s="32">
        <v>0</v>
      </c>
      <c r="R189" s="59">
        <v>42182</v>
      </c>
      <c r="S189" s="19">
        <v>0</v>
      </c>
      <c r="T189" s="59">
        <v>41452</v>
      </c>
      <c r="U189" s="19">
        <v>2</v>
      </c>
    </row>
    <row r="190" spans="1:21" x14ac:dyDescent="0.75">
      <c r="A190" s="59">
        <f t="shared" si="12"/>
        <v>41453</v>
      </c>
      <c r="B190" s="19">
        <f t="shared" si="13"/>
        <v>3.4</v>
      </c>
      <c r="C190" s="41">
        <f t="shared" ca="1" si="16"/>
        <v>0.34</v>
      </c>
      <c r="D190" s="41">
        <f ca="1">IF(Energy!$N$3, C190, IF(C190 &gt; 0, MAX(Energy!W190- Energy!N190, 0) / (Energy!I190 + Energy!M190) *C190, 0))</f>
        <v>0.33999999999999997</v>
      </c>
      <c r="E190" s="41" t="b">
        <f ca="1">IF(Main!$C$25="Solar", IF(Energy!W190-Energy!N190&gt;=0, TRUE, FALSE), TRUE)</f>
        <v>1</v>
      </c>
      <c r="F190" s="41">
        <f t="shared" ca="1" si="14"/>
        <v>0.18893036929237336</v>
      </c>
      <c r="G190" s="6">
        <f ca="1">IF(A190&gt;=$B$7,IF(E190,IF(H189-$B$6/1000&gt;0,IF($B$6/1000&gt;$B$9*24*60*60,$B$9*24*60*60,$B$6/1000),H189),($B$6/1000)*(-Energy!W190+Energy!N190)/Energy!N190),0)</f>
        <v>0.219</v>
      </c>
      <c r="H190" s="6">
        <f t="shared" ca="1" si="17"/>
        <v>10.252297764311713</v>
      </c>
      <c r="I190" t="str">
        <f t="shared" ca="1" si="15"/>
        <v>Yes</v>
      </c>
      <c r="N190" s="57">
        <v>41818</v>
      </c>
      <c r="O190" s="56">
        <v>20.399999999999999</v>
      </c>
      <c r="P190" s="59">
        <v>42183</v>
      </c>
      <c r="Q190" s="32">
        <v>0</v>
      </c>
      <c r="R190" s="59">
        <v>42183</v>
      </c>
      <c r="S190" s="19">
        <v>0</v>
      </c>
      <c r="T190" s="59">
        <v>41453</v>
      </c>
      <c r="U190" s="19">
        <v>3.4</v>
      </c>
    </row>
    <row r="191" spans="1:21" x14ac:dyDescent="0.75">
      <c r="A191" s="59">
        <f t="shared" si="12"/>
        <v>41454</v>
      </c>
      <c r="B191" s="19">
        <f t="shared" si="13"/>
        <v>0</v>
      </c>
      <c r="C191" s="41">
        <f t="shared" ca="1" si="16"/>
        <v>0</v>
      </c>
      <c r="D191" s="41">
        <f ca="1">IF(Energy!$N$3, C191, IF(C191 &gt; 0, MAX(Energy!W191- Energy!N191, 0) / (Energy!I191 + Energy!M191) *C191, 0))</f>
        <v>0</v>
      </c>
      <c r="E191" s="41" t="b">
        <f ca="1">IF(Main!$C$25="Solar", IF(Energy!W191-Energy!N191&gt;=0, TRUE, FALSE), TRUE)</f>
        <v>1</v>
      </c>
      <c r="F191" s="41">
        <f t="shared" ca="1" si="14"/>
        <v>0</v>
      </c>
      <c r="G191" s="6">
        <f ca="1">IF(A191&gt;=$B$7,IF(E191,IF(H190-$B$6/1000&gt;0,IF($B$6/1000&gt;$B$9*24*60*60,$B$9*24*60*60,$B$6/1000),H190),($B$6/1000)*(-Energy!W191+Energy!N191)/Energy!N191),0)</f>
        <v>0.219</v>
      </c>
      <c r="H191" s="6">
        <f t="shared" ca="1" si="17"/>
        <v>10.033297764311714</v>
      </c>
      <c r="I191" t="str">
        <f t="shared" ca="1" si="15"/>
        <v>Yes</v>
      </c>
      <c r="N191" s="57">
        <v>41819</v>
      </c>
      <c r="O191" s="56">
        <v>0.6</v>
      </c>
      <c r="P191" s="59">
        <v>42184</v>
      </c>
      <c r="Q191" s="32">
        <v>0</v>
      </c>
      <c r="R191" s="59">
        <v>42184</v>
      </c>
      <c r="S191" s="19">
        <v>0</v>
      </c>
      <c r="T191" s="59">
        <v>41454</v>
      </c>
      <c r="U191" s="19">
        <v>0</v>
      </c>
    </row>
    <row r="192" spans="1:21" x14ac:dyDescent="0.75">
      <c r="A192" s="59">
        <f t="shared" si="12"/>
        <v>41455</v>
      </c>
      <c r="B192" s="19">
        <f t="shared" si="13"/>
        <v>0</v>
      </c>
      <c r="C192" s="41">
        <f t="shared" ca="1" si="16"/>
        <v>0</v>
      </c>
      <c r="D192" s="41">
        <f ca="1">IF(Energy!$N$3, C192, IF(C192 &gt; 0, MAX(Energy!W192- Energy!N192, 0) / (Energy!I192 + Energy!M192) *C192, 0))</f>
        <v>0</v>
      </c>
      <c r="E192" s="41" t="b">
        <f ca="1">IF(Main!$C$25="Solar", IF(Energy!W192-Energy!N192&gt;=0, TRUE, FALSE), TRUE)</f>
        <v>1</v>
      </c>
      <c r="F192" s="41">
        <f t="shared" ca="1" si="14"/>
        <v>0</v>
      </c>
      <c r="G192" s="6">
        <f ca="1">IF(A192&gt;=$B$7,IF(E192,IF(H191-$B$6/1000&gt;0,IF($B$6/1000&gt;$B$9*24*60*60,$B$9*24*60*60,$B$6/1000),H191),($B$6/1000)*(-Energy!W192+Energy!N192)/Energy!N192),0)</f>
        <v>0.219</v>
      </c>
      <c r="H192" s="6">
        <f t="shared" ca="1" si="17"/>
        <v>9.8142977643117142</v>
      </c>
      <c r="I192" t="str">
        <f t="shared" ca="1" si="15"/>
        <v>Yes</v>
      </c>
      <c r="N192" s="57">
        <v>41820</v>
      </c>
      <c r="O192" s="56">
        <v>0</v>
      </c>
      <c r="P192" s="59">
        <v>42185</v>
      </c>
      <c r="Q192" s="32">
        <v>0</v>
      </c>
      <c r="R192" s="59">
        <v>42185</v>
      </c>
      <c r="S192" s="19">
        <v>0</v>
      </c>
      <c r="T192" s="59">
        <v>41455</v>
      </c>
      <c r="U192" s="19">
        <v>0</v>
      </c>
    </row>
    <row r="193" spans="1:21" x14ac:dyDescent="0.75">
      <c r="A193" s="59">
        <f t="shared" si="12"/>
        <v>41456</v>
      </c>
      <c r="B193" s="19">
        <f t="shared" si="13"/>
        <v>1.6</v>
      </c>
      <c r="C193" s="41">
        <f t="shared" ca="1" si="16"/>
        <v>0.16</v>
      </c>
      <c r="D193" s="41">
        <f ca="1">IF(Energy!$N$3, C193, IF(C193 &gt; 0, MAX(Energy!W193- Energy!N193, 0) / (Energy!I193 + Energy!M193) *C193, 0))</f>
        <v>0.16000000000000003</v>
      </c>
      <c r="E193" s="41" t="b">
        <f ca="1">IF(Main!$C$25="Solar", IF(Energy!W193-Energy!N193&gt;=0, TRUE, FALSE), TRUE)</f>
        <v>1</v>
      </c>
      <c r="F193" s="41">
        <f t="shared" ca="1" si="14"/>
        <v>8.8908409078763961E-2</v>
      </c>
      <c r="G193" s="6">
        <f ca="1">IF(A193&gt;=$B$7,IF(E193,IF(H192-$B$6/1000&gt;0,IF($B$6/1000&gt;$B$9*24*60*60,$B$9*24*60*60,$B$6/1000),H192),($B$6/1000)*(-Energy!W193+Energy!N193)/Energy!N193),0)</f>
        <v>0.219</v>
      </c>
      <c r="H193" s="6">
        <f t="shared" ca="1" si="17"/>
        <v>9.7552977643117149</v>
      </c>
      <c r="I193" t="str">
        <f t="shared" ca="1" si="15"/>
        <v>Yes</v>
      </c>
      <c r="N193" s="57">
        <v>41821</v>
      </c>
      <c r="O193" s="56">
        <v>0</v>
      </c>
      <c r="P193" s="59">
        <v>42186</v>
      </c>
      <c r="Q193" s="32">
        <v>0</v>
      </c>
      <c r="R193" s="59">
        <v>42186</v>
      </c>
      <c r="S193" s="19">
        <v>0</v>
      </c>
      <c r="T193" s="59">
        <v>41456</v>
      </c>
      <c r="U193" s="19">
        <v>1.6</v>
      </c>
    </row>
    <row r="194" spans="1:21" x14ac:dyDescent="0.75">
      <c r="A194" s="59">
        <f t="shared" si="12"/>
        <v>41457</v>
      </c>
      <c r="B194" s="19">
        <f t="shared" si="13"/>
        <v>0.2</v>
      </c>
      <c r="C194" s="41">
        <f t="shared" ca="1" si="16"/>
        <v>0.02</v>
      </c>
      <c r="D194" s="41">
        <f ca="1">IF(Energy!$N$3, C194, IF(C194 &gt; 0, MAX(Energy!W194- Energy!N194, 0) / (Energy!I194 + Energy!M194) *C194, 0))</f>
        <v>2.0000000000000014E-2</v>
      </c>
      <c r="E194" s="41" t="b">
        <f ca="1">IF(Main!$C$25="Solar", IF(Energy!W194-Energy!N194&gt;=0, TRUE, FALSE), TRUE)</f>
        <v>1</v>
      </c>
      <c r="F194" s="41">
        <f t="shared" ca="1" si="14"/>
        <v>1.11135511348455E-2</v>
      </c>
      <c r="G194" s="6">
        <f ca="1">IF(A194&gt;=$B$7,IF(E194,IF(H193-$B$6/1000&gt;0,IF($B$6/1000&gt;$B$9*24*60*60,$B$9*24*60*60,$B$6/1000),H193),($B$6/1000)*(-Energy!W194+Energy!N194)/Energy!N194),0)</f>
        <v>0.219</v>
      </c>
      <c r="H194" s="6">
        <f t="shared" ca="1" si="17"/>
        <v>9.5562977643117151</v>
      </c>
      <c r="I194" t="str">
        <f t="shared" ca="1" si="15"/>
        <v>Yes</v>
      </c>
      <c r="N194" s="57">
        <v>41822</v>
      </c>
      <c r="O194" s="56">
        <v>1.8</v>
      </c>
      <c r="P194" s="59">
        <v>42187</v>
      </c>
      <c r="Q194" s="32">
        <v>0</v>
      </c>
      <c r="R194" s="59">
        <v>42187</v>
      </c>
      <c r="S194" s="19">
        <v>0</v>
      </c>
      <c r="T194" s="59">
        <v>41457</v>
      </c>
      <c r="U194" s="19">
        <v>0.2</v>
      </c>
    </row>
    <row r="195" spans="1:21" x14ac:dyDescent="0.75">
      <c r="A195" s="59">
        <f t="shared" si="12"/>
        <v>41458</v>
      </c>
      <c r="B195" s="19">
        <f t="shared" si="13"/>
        <v>0</v>
      </c>
      <c r="C195" s="41">
        <f t="shared" ca="1" si="16"/>
        <v>0</v>
      </c>
      <c r="D195" s="41">
        <f ca="1">IF(Energy!$N$3, C195, IF(C195 &gt; 0, MAX(Energy!W195- Energy!N195, 0) / (Energy!I195 + Energy!M195) *C195, 0))</f>
        <v>0</v>
      </c>
      <c r="E195" s="41" t="b">
        <f ca="1">IF(Main!$C$25="Solar", IF(Energy!W195-Energy!N195&gt;=0, TRUE, FALSE), TRUE)</f>
        <v>1</v>
      </c>
      <c r="F195" s="41">
        <f t="shared" ca="1" si="14"/>
        <v>0</v>
      </c>
      <c r="G195" s="6">
        <f ca="1">IF(A195&gt;=$B$7,IF(E195,IF(H194-$B$6/1000&gt;0,IF($B$6/1000&gt;$B$9*24*60*60,$B$9*24*60*60,$B$6/1000),H194),($B$6/1000)*(-Energy!W195+Energy!N195)/Energy!N195),0)</f>
        <v>0.219</v>
      </c>
      <c r="H195" s="6">
        <f t="shared" ca="1" si="17"/>
        <v>9.3372977643117157</v>
      </c>
      <c r="I195" t="str">
        <f t="shared" ca="1" si="15"/>
        <v>Yes</v>
      </c>
      <c r="N195" s="57">
        <v>41823</v>
      </c>
      <c r="O195" s="56">
        <v>6.2</v>
      </c>
      <c r="P195" s="59">
        <v>42188</v>
      </c>
      <c r="Q195" s="32">
        <v>0</v>
      </c>
      <c r="R195" s="59">
        <v>42188</v>
      </c>
      <c r="S195" s="19">
        <v>0</v>
      </c>
      <c r="T195" s="59">
        <v>41458</v>
      </c>
      <c r="U195" s="19">
        <v>0</v>
      </c>
    </row>
    <row r="196" spans="1:21" x14ac:dyDescent="0.75">
      <c r="A196" s="59">
        <f t="shared" si="12"/>
        <v>41459</v>
      </c>
      <c r="B196" s="19">
        <f t="shared" si="13"/>
        <v>0</v>
      </c>
      <c r="C196" s="41">
        <f t="shared" ca="1" si="16"/>
        <v>0</v>
      </c>
      <c r="D196" s="41">
        <f ca="1">IF(Energy!$N$3, C196, IF(C196 &gt; 0, MAX(Energy!W196- Energy!N196, 0) / (Energy!I196 + Energy!M196) *C196, 0))</f>
        <v>0</v>
      </c>
      <c r="E196" s="41" t="b">
        <f ca="1">IF(Main!$C$25="Solar", IF(Energy!W196-Energy!N196&gt;=0, TRUE, FALSE), TRUE)</f>
        <v>1</v>
      </c>
      <c r="F196" s="41">
        <f t="shared" ca="1" si="14"/>
        <v>0</v>
      </c>
      <c r="G196" s="6">
        <f ca="1">IF(A196&gt;=$B$7,IF(E196,IF(H195-$B$6/1000&gt;0,IF($B$6/1000&gt;$B$9*24*60*60,$B$9*24*60*60,$B$6/1000),H195),($B$6/1000)*(-Energy!W196+Energy!N196)/Energy!N196),0)</f>
        <v>0.219</v>
      </c>
      <c r="H196" s="6">
        <f t="shared" ca="1" si="17"/>
        <v>9.1182977643117162</v>
      </c>
      <c r="I196" t="str">
        <f t="shared" ca="1" si="15"/>
        <v>Yes</v>
      </c>
      <c r="N196" s="57">
        <v>41824</v>
      </c>
      <c r="O196" s="56">
        <v>9.4</v>
      </c>
      <c r="P196" s="59">
        <v>42189</v>
      </c>
      <c r="Q196" s="32">
        <v>0</v>
      </c>
      <c r="R196" s="59">
        <v>42189</v>
      </c>
      <c r="S196" s="19">
        <v>0</v>
      </c>
      <c r="T196" s="59">
        <v>41459</v>
      </c>
      <c r="U196" s="19">
        <v>0</v>
      </c>
    </row>
    <row r="197" spans="1:21" x14ac:dyDescent="0.75">
      <c r="A197" s="59">
        <f t="shared" si="12"/>
        <v>41460</v>
      </c>
      <c r="B197" s="19">
        <f t="shared" si="13"/>
        <v>0</v>
      </c>
      <c r="C197" s="41">
        <f t="shared" ca="1" si="16"/>
        <v>0</v>
      </c>
      <c r="D197" s="41">
        <f ca="1">IF(Energy!$N$3, C197, IF(C197 &gt; 0, MAX(Energy!W197- Energy!N197, 0) / (Energy!I197 + Energy!M197) *C197, 0))</f>
        <v>0</v>
      </c>
      <c r="E197" s="41" t="b">
        <f ca="1">IF(Main!$C$25="Solar", IF(Energy!W197-Energy!N197&gt;=0, TRUE, FALSE), TRUE)</f>
        <v>1</v>
      </c>
      <c r="F197" s="41">
        <f t="shared" ca="1" si="14"/>
        <v>0</v>
      </c>
      <c r="G197" s="6">
        <f ca="1">IF(A197&gt;=$B$7,IF(E197,IF(H196-$B$6/1000&gt;0,IF($B$6/1000&gt;$B$9*24*60*60,$B$9*24*60*60,$B$6/1000),H196),($B$6/1000)*(-Energy!W197+Energy!N197)/Energy!N197),0)</f>
        <v>0.219</v>
      </c>
      <c r="H197" s="6">
        <f t="shared" ca="1" si="17"/>
        <v>8.8992977643117168</v>
      </c>
      <c r="I197" t="str">
        <f t="shared" ca="1" si="15"/>
        <v>Yes</v>
      </c>
      <c r="N197" s="57">
        <v>41825</v>
      </c>
      <c r="O197" s="56">
        <v>26.6</v>
      </c>
      <c r="P197" s="59">
        <v>42190</v>
      </c>
      <c r="Q197" s="32">
        <v>0</v>
      </c>
      <c r="R197" s="59">
        <v>42190</v>
      </c>
      <c r="S197" s="19">
        <v>0</v>
      </c>
      <c r="T197" s="59">
        <v>41460</v>
      </c>
      <c r="U197" s="19">
        <v>0</v>
      </c>
    </row>
    <row r="198" spans="1:21" x14ac:dyDescent="0.75">
      <c r="A198" s="59">
        <f t="shared" si="12"/>
        <v>41461</v>
      </c>
      <c r="B198" s="19">
        <f t="shared" si="13"/>
        <v>0</v>
      </c>
      <c r="C198" s="41">
        <f t="shared" ca="1" si="16"/>
        <v>0</v>
      </c>
      <c r="D198" s="41">
        <f ca="1">IF(Energy!$N$3, C198, IF(C198 &gt; 0, MAX(Energy!W198- Energy!N198, 0) / (Energy!I198 + Energy!M198) *C198, 0))</f>
        <v>0</v>
      </c>
      <c r="E198" s="41" t="b">
        <f ca="1">IF(Main!$C$25="Solar", IF(Energy!W198-Energy!N198&gt;=0, TRUE, FALSE), TRUE)</f>
        <v>1</v>
      </c>
      <c r="F198" s="41">
        <f t="shared" ca="1" si="14"/>
        <v>0</v>
      </c>
      <c r="G198" s="6">
        <f ca="1">IF(A198&gt;=$B$7,IF(E198,IF(H197-$B$6/1000&gt;0,IF($B$6/1000&gt;$B$9*24*60*60,$B$9*24*60*60,$B$6/1000),H197),($B$6/1000)*(-Energy!W198+Energy!N198)/Energy!N198),0)</f>
        <v>0.219</v>
      </c>
      <c r="H198" s="6">
        <f t="shared" ca="1" si="17"/>
        <v>8.6802977643117174</v>
      </c>
      <c r="I198" t="str">
        <f t="shared" ca="1" si="15"/>
        <v>Yes</v>
      </c>
      <c r="N198" s="57">
        <v>41826</v>
      </c>
      <c r="O198" s="56">
        <v>13.6</v>
      </c>
      <c r="P198" s="59">
        <v>42191</v>
      </c>
      <c r="Q198" s="32">
        <v>0</v>
      </c>
      <c r="R198" s="59">
        <v>42191</v>
      </c>
      <c r="S198" s="19">
        <v>0</v>
      </c>
      <c r="T198" s="59">
        <v>41461</v>
      </c>
      <c r="U198" s="19">
        <v>0</v>
      </c>
    </row>
    <row r="199" spans="1:21" x14ac:dyDescent="0.75">
      <c r="A199" s="59">
        <f t="shared" si="12"/>
        <v>41462</v>
      </c>
      <c r="B199" s="19">
        <f t="shared" si="13"/>
        <v>0</v>
      </c>
      <c r="C199" s="41">
        <f t="shared" ca="1" si="16"/>
        <v>0</v>
      </c>
      <c r="D199" s="41">
        <f ca="1">IF(Energy!$N$3, C199, IF(C199 &gt; 0, MAX(Energy!W199- Energy!N199, 0) / (Energy!I199 + Energy!M199) *C199, 0))</f>
        <v>0</v>
      </c>
      <c r="E199" s="41" t="b">
        <f ca="1">IF(Main!$C$25="Solar", IF(Energy!W199-Energy!N199&gt;=0, TRUE, FALSE), TRUE)</f>
        <v>1</v>
      </c>
      <c r="F199" s="41">
        <f t="shared" ca="1" si="14"/>
        <v>0</v>
      </c>
      <c r="G199" s="6">
        <f ca="1">IF(A199&gt;=$B$7,IF(E199,IF(H198-$B$6/1000&gt;0,IF($B$6/1000&gt;$B$9*24*60*60,$B$9*24*60*60,$B$6/1000),H198),($B$6/1000)*(-Energy!W199+Energy!N199)/Energy!N199),0)</f>
        <v>0.219</v>
      </c>
      <c r="H199" s="6">
        <f t="shared" ca="1" si="17"/>
        <v>8.461297764311718</v>
      </c>
      <c r="I199" t="str">
        <f t="shared" ca="1" si="15"/>
        <v>Yes</v>
      </c>
      <c r="N199" s="57">
        <v>41827</v>
      </c>
      <c r="O199" s="56">
        <v>0</v>
      </c>
      <c r="P199" s="59">
        <v>42192</v>
      </c>
      <c r="Q199" s="32">
        <v>0.2</v>
      </c>
      <c r="R199" s="59">
        <v>42192</v>
      </c>
      <c r="S199" s="19">
        <v>0</v>
      </c>
      <c r="T199" s="59">
        <v>41462</v>
      </c>
      <c r="U199" s="19">
        <v>0</v>
      </c>
    </row>
    <row r="200" spans="1:21" x14ac:dyDescent="0.75">
      <c r="A200" s="59">
        <f t="shared" si="12"/>
        <v>41463</v>
      </c>
      <c r="B200" s="19">
        <f t="shared" si="13"/>
        <v>0.6</v>
      </c>
      <c r="C200" s="41">
        <f t="shared" ca="1" si="16"/>
        <v>0.06</v>
      </c>
      <c r="D200" s="41">
        <f ca="1">IF(Energy!$N$3, C200, IF(C200 &gt; 0, MAX(Energy!W200- Energy!N200, 0) / (Energy!I200 + Energy!M200) *C200, 0))</f>
        <v>5.9999999999999956E-2</v>
      </c>
      <c r="E200" s="41" t="b">
        <f ca="1">IF(Main!$C$25="Solar", IF(Energy!W200-Energy!N200&gt;=0, TRUE, FALSE), TRUE)</f>
        <v>1</v>
      </c>
      <c r="F200" s="41">
        <f t="shared" ca="1" si="14"/>
        <v>3.3340653404536458E-2</v>
      </c>
      <c r="G200" s="6">
        <f ca="1">IF(A200&gt;=$B$7,IF(E200,IF(H199-$B$6/1000&gt;0,IF($B$6/1000&gt;$B$9*24*60*60,$B$9*24*60*60,$B$6/1000),H199),($B$6/1000)*(-Energy!W200+Energy!N200)/Energy!N200),0)</f>
        <v>0.219</v>
      </c>
      <c r="H200" s="6">
        <f t="shared" ca="1" si="17"/>
        <v>8.3022977643117191</v>
      </c>
      <c r="I200" t="str">
        <f t="shared" ca="1" si="15"/>
        <v>Yes</v>
      </c>
      <c r="N200" s="57">
        <v>41828</v>
      </c>
      <c r="O200" s="56">
        <v>0</v>
      </c>
      <c r="P200" s="59">
        <v>42193</v>
      </c>
      <c r="Q200" s="32">
        <v>0</v>
      </c>
      <c r="R200" s="59">
        <v>42193</v>
      </c>
      <c r="S200" s="19">
        <v>0</v>
      </c>
      <c r="T200" s="59">
        <v>41463</v>
      </c>
      <c r="U200" s="19">
        <v>0.6</v>
      </c>
    </row>
    <row r="201" spans="1:21" x14ac:dyDescent="0.75">
      <c r="A201" s="59">
        <f t="shared" si="12"/>
        <v>41464</v>
      </c>
      <c r="B201" s="19">
        <f t="shared" si="13"/>
        <v>0.2</v>
      </c>
      <c r="C201" s="41">
        <f t="shared" ca="1" si="16"/>
        <v>0.02</v>
      </c>
      <c r="D201" s="41">
        <f ca="1">IF(Energy!$N$3, C201, IF(C201 &gt; 0, MAX(Energy!W201- Energy!N201, 0) / (Energy!I201 + Energy!M201) *C201, 0))</f>
        <v>2.0000000000000014E-2</v>
      </c>
      <c r="E201" s="41" t="b">
        <f ca="1">IF(Main!$C$25="Solar", IF(Energy!W201-Energy!N201&gt;=0, TRUE, FALSE), TRUE)</f>
        <v>1</v>
      </c>
      <c r="F201" s="41">
        <f t="shared" ca="1" si="14"/>
        <v>1.11135511348455E-2</v>
      </c>
      <c r="G201" s="6">
        <f ca="1">IF(A201&gt;=$B$7,IF(E201,IF(H200-$B$6/1000&gt;0,IF($B$6/1000&gt;$B$9*24*60*60,$B$9*24*60*60,$B$6/1000),H200),($B$6/1000)*(-Energy!W201+Energy!N201)/Energy!N201),0)</f>
        <v>0.219</v>
      </c>
      <c r="H201" s="6">
        <f t="shared" ca="1" si="17"/>
        <v>8.1032977643117192</v>
      </c>
      <c r="I201" t="str">
        <f t="shared" ca="1" si="15"/>
        <v>Yes</v>
      </c>
      <c r="N201" s="57">
        <v>41829</v>
      </c>
      <c r="O201" s="56">
        <v>0</v>
      </c>
      <c r="P201" s="59">
        <v>42194</v>
      </c>
      <c r="Q201" s="32">
        <v>1</v>
      </c>
      <c r="R201" s="59">
        <v>42194</v>
      </c>
      <c r="S201" s="19">
        <v>0</v>
      </c>
      <c r="T201" s="59">
        <v>41464</v>
      </c>
      <c r="U201" s="19">
        <v>0.2</v>
      </c>
    </row>
    <row r="202" spans="1:21" x14ac:dyDescent="0.75">
      <c r="A202" s="59">
        <f t="shared" si="12"/>
        <v>41465</v>
      </c>
      <c r="B202" s="19">
        <f t="shared" si="13"/>
        <v>3.4</v>
      </c>
      <c r="C202" s="41">
        <f t="shared" ca="1" si="16"/>
        <v>0.34</v>
      </c>
      <c r="D202" s="41">
        <f ca="1">IF(Energy!$N$3, C202, IF(C202 &gt; 0, MAX(Energy!W202- Energy!N202, 0) / (Energy!I202 + Energy!M202) *C202, 0))</f>
        <v>0.33999999999999997</v>
      </c>
      <c r="E202" s="41" t="b">
        <f ca="1">IF(Main!$C$25="Solar", IF(Energy!W202-Energy!N202&gt;=0, TRUE, FALSE), TRUE)</f>
        <v>1</v>
      </c>
      <c r="F202" s="41">
        <f t="shared" ca="1" si="14"/>
        <v>0.18893036929237336</v>
      </c>
      <c r="G202" s="6">
        <f ca="1">IF(A202&gt;=$B$7,IF(E202,IF(H201-$B$6/1000&gt;0,IF($B$6/1000&gt;$B$9*24*60*60,$B$9*24*60*60,$B$6/1000),H201),($B$6/1000)*(-Energy!W202+Energy!N202)/Energy!N202),0)</f>
        <v>0.219</v>
      </c>
      <c r="H202" s="6">
        <f t="shared" ca="1" si="17"/>
        <v>8.2242977643117197</v>
      </c>
      <c r="I202" t="str">
        <f t="shared" ca="1" si="15"/>
        <v>Yes</v>
      </c>
      <c r="N202" s="57">
        <v>41830</v>
      </c>
      <c r="O202" s="56">
        <v>0</v>
      </c>
      <c r="P202" s="59">
        <v>42195</v>
      </c>
      <c r="Q202" s="32">
        <v>1.2</v>
      </c>
      <c r="R202" s="59">
        <v>42195</v>
      </c>
      <c r="S202" s="19">
        <v>0</v>
      </c>
      <c r="T202" s="59">
        <v>41465</v>
      </c>
      <c r="U202" s="19">
        <v>3.4</v>
      </c>
    </row>
    <row r="203" spans="1:21" x14ac:dyDescent="0.75">
      <c r="A203" s="59">
        <f t="shared" si="12"/>
        <v>41466</v>
      </c>
      <c r="B203" s="19">
        <f t="shared" si="13"/>
        <v>2.8</v>
      </c>
      <c r="C203" s="41">
        <f t="shared" ca="1" si="16"/>
        <v>0.28000000000000003</v>
      </c>
      <c r="D203" s="41">
        <f ca="1">IF(Energy!$N$3, C203, IF(C203 &gt; 0, MAX(Energy!W203- Energy!N203, 0) / (Energy!I203 + Energy!M203) *C203, 0))</f>
        <v>0.27999999999999997</v>
      </c>
      <c r="E203" s="41" t="b">
        <f ca="1">IF(Main!$C$25="Solar", IF(Energy!W203-Energy!N203&gt;=0, TRUE, FALSE), TRUE)</f>
        <v>1</v>
      </c>
      <c r="F203" s="41">
        <f t="shared" ca="1" si="14"/>
        <v>0.15558971588783688</v>
      </c>
      <c r="G203" s="6">
        <f ca="1">IF(A203&gt;=$B$7,IF(E203,IF(H202-$B$6/1000&gt;0,IF($B$6/1000&gt;$B$9*24*60*60,$B$9*24*60*60,$B$6/1000),H202),($B$6/1000)*(-Energy!W203+Energy!N203)/Energy!N203),0)</f>
        <v>0.219</v>
      </c>
      <c r="H203" s="6">
        <f t="shared" ca="1" si="17"/>
        <v>8.2852977643117196</v>
      </c>
      <c r="I203" t="str">
        <f t="shared" ca="1" si="15"/>
        <v>Yes</v>
      </c>
      <c r="N203" s="57">
        <v>41831</v>
      </c>
      <c r="O203" s="56">
        <v>0</v>
      </c>
      <c r="P203" s="59">
        <v>42196</v>
      </c>
      <c r="Q203" s="32">
        <v>2.4</v>
      </c>
      <c r="R203" s="59">
        <v>42196</v>
      </c>
      <c r="S203" s="19">
        <v>10.8</v>
      </c>
      <c r="T203" s="59">
        <v>41466</v>
      </c>
      <c r="U203" s="19">
        <v>2.8</v>
      </c>
    </row>
    <row r="204" spans="1:21" x14ac:dyDescent="0.75">
      <c r="A204" s="59">
        <f t="shared" ref="A204:A267" si="18">IF($B$10="Station 1 2014", N204, IF($B$10="Station 1 2015", P204, IF($B$10="Station 2 2015", R204, T204)))</f>
        <v>41467</v>
      </c>
      <c r="B204" s="19">
        <f t="shared" ref="B204:B267" si="19">IF($B$10="Station 1 2014", O204, IF($B$10="Station 1 2015", Q204, IF($B$10="Station 2 2015", S204, U204)))</f>
        <v>0.2</v>
      </c>
      <c r="C204" s="41">
        <f t="shared" ca="1" si="16"/>
        <v>0.02</v>
      </c>
      <c r="D204" s="41">
        <f ca="1">IF(Energy!$N$3, C204, IF(C204 &gt; 0, MAX(Energy!W204- Energy!N204, 0) / (Energy!I204 + Energy!M204) *C204, 0))</f>
        <v>2.0000000000000014E-2</v>
      </c>
      <c r="E204" s="41" t="b">
        <f ca="1">IF(Main!$C$25="Solar", IF(Energy!W204-Energy!N204&gt;=0, TRUE, FALSE), TRUE)</f>
        <v>1</v>
      </c>
      <c r="F204" s="41">
        <f t="shared" ref="F204:F267" ca="1" si="20">D204/($B$8*60*60)</f>
        <v>1.11135511348455E-2</v>
      </c>
      <c r="G204" s="6">
        <f ca="1">IF(A204&gt;=$B$7,IF(E204,IF(H203-$B$6/1000&gt;0,IF($B$6/1000&gt;$B$9*24*60*60,$B$9*24*60*60,$B$6/1000),H203),($B$6/1000)*(-Energy!W204+Energy!N204)/Energy!N204),0)</f>
        <v>0.219</v>
      </c>
      <c r="H204" s="6">
        <f t="shared" ca="1" si="17"/>
        <v>8.0862977643117198</v>
      </c>
      <c r="I204" t="str">
        <f t="shared" ref="I204:I267" ca="1" si="21">IF(A204&gt;=$B$7,IF(G204&gt;=$B$6/1000, IF(E204=TRUE,"Yes","No"),"No"), "Yes")</f>
        <v>Yes</v>
      </c>
      <c r="N204" s="57">
        <v>41832</v>
      </c>
      <c r="O204" s="56">
        <v>0</v>
      </c>
      <c r="P204" s="59">
        <v>42197</v>
      </c>
      <c r="Q204" s="32">
        <v>4</v>
      </c>
      <c r="R204" s="59">
        <v>42197</v>
      </c>
      <c r="S204" s="19">
        <v>12</v>
      </c>
      <c r="T204" s="59">
        <v>41467</v>
      </c>
      <c r="U204" s="19">
        <v>0.2</v>
      </c>
    </row>
    <row r="205" spans="1:21" x14ac:dyDescent="0.75">
      <c r="A205" s="59">
        <f t="shared" si="18"/>
        <v>41468</v>
      </c>
      <c r="B205" s="19">
        <f t="shared" si="19"/>
        <v>2.2000000000000002</v>
      </c>
      <c r="C205" s="41">
        <f t="shared" ref="C205:C268" ca="1" si="22">IF(IF(B205*$B$2/1000&gt;$B$4, $B$4, B205*$B$2/1000)&gt;$B$8*24*60*60, $B$8*24*60*60, (IF(B205*$B$2/1000&gt;$B$4, $B$4, B205*$B$2/1000)))</f>
        <v>0.22000000000000003</v>
      </c>
      <c r="D205" s="41">
        <f ca="1">IF(Energy!$N$3, C205, IF(C205 &gt; 0, MAX(Energy!W205- Energy!N205, 0) / (Energy!I205 + Energy!M205) *C205, 0))</f>
        <v>0.22000000000000003</v>
      </c>
      <c r="E205" s="41" t="b">
        <f ca="1">IF(Main!$C$25="Solar", IF(Energy!W205-Energy!N205&gt;=0, TRUE, FALSE), TRUE)</f>
        <v>1</v>
      </c>
      <c r="F205" s="41">
        <f t="shared" ca="1" si="20"/>
        <v>0.12224906248330043</v>
      </c>
      <c r="G205" s="6">
        <f ca="1">IF(A205&gt;=$B$7,IF(E205,IF(H204-$B$6/1000&gt;0,IF($B$6/1000&gt;$B$9*24*60*60,$B$9*24*60*60,$B$6/1000),H204),($B$6/1000)*(-Energy!W205+Energy!N205)/Energy!N205),0)</f>
        <v>0.219</v>
      </c>
      <c r="H205" s="6">
        <f t="shared" ref="H205:H268" ca="1" si="23">IF(H204+D205-G205&gt;$B$3, $B$3, IF(H204+D205-G205&lt;0, 0, H204+D205-G205))</f>
        <v>8.087297764311721</v>
      </c>
      <c r="I205" t="str">
        <f t="shared" ca="1" si="21"/>
        <v>Yes</v>
      </c>
      <c r="N205" s="57">
        <v>41833</v>
      </c>
      <c r="O205" s="56">
        <v>0</v>
      </c>
      <c r="P205" s="59">
        <v>42198</v>
      </c>
      <c r="Q205" s="32">
        <v>0</v>
      </c>
      <c r="R205" s="59">
        <v>42198</v>
      </c>
      <c r="S205" s="19">
        <v>0</v>
      </c>
      <c r="T205" s="59">
        <v>41468</v>
      </c>
      <c r="U205" s="19">
        <v>2.2000000000000002</v>
      </c>
    </row>
    <row r="206" spans="1:21" x14ac:dyDescent="0.75">
      <c r="A206" s="59">
        <f t="shared" si="18"/>
        <v>41469</v>
      </c>
      <c r="B206" s="19">
        <f t="shared" si="19"/>
        <v>1.4</v>
      </c>
      <c r="C206" s="41">
        <f t="shared" ca="1" si="22"/>
        <v>0.14000000000000001</v>
      </c>
      <c r="D206" s="41">
        <f ca="1">IF(Energy!$N$3, C206, IF(C206 &gt; 0, MAX(Energy!W206- Energy!N206, 0) / (Energy!I206 + Energy!M206) *C206, 0))</f>
        <v>0.13999999999999999</v>
      </c>
      <c r="E206" s="41" t="b">
        <f ca="1">IF(Main!$C$25="Solar", IF(Energy!W206-Energy!N206&gt;=0, TRUE, FALSE), TRUE)</f>
        <v>1</v>
      </c>
      <c r="F206" s="41">
        <f t="shared" ca="1" si="20"/>
        <v>7.7794857943918438E-2</v>
      </c>
      <c r="G206" s="6">
        <f ca="1">IF(A206&gt;=$B$7,IF(E206,IF(H205-$B$6/1000&gt;0,IF($B$6/1000&gt;$B$9*24*60*60,$B$9*24*60*60,$B$6/1000),H205),($B$6/1000)*(-Energy!W206+Energy!N206)/Energy!N206),0)</f>
        <v>0.219</v>
      </c>
      <c r="H206" s="6">
        <f t="shared" ca="1" si="23"/>
        <v>8.0082977643117221</v>
      </c>
      <c r="I206" t="str">
        <f t="shared" ca="1" si="21"/>
        <v>Yes</v>
      </c>
      <c r="N206" s="57">
        <v>41834</v>
      </c>
      <c r="O206" s="56">
        <v>0</v>
      </c>
      <c r="P206" s="59">
        <v>42199</v>
      </c>
      <c r="Q206" s="32">
        <v>0</v>
      </c>
      <c r="R206" s="59">
        <v>42199</v>
      </c>
      <c r="S206" s="19">
        <v>0</v>
      </c>
      <c r="T206" s="59">
        <v>41469</v>
      </c>
      <c r="U206" s="19">
        <v>1.4</v>
      </c>
    </row>
    <row r="207" spans="1:21" x14ac:dyDescent="0.75">
      <c r="A207" s="59">
        <f t="shared" si="18"/>
        <v>41470</v>
      </c>
      <c r="B207" s="19">
        <f t="shared" si="19"/>
        <v>0</v>
      </c>
      <c r="C207" s="41">
        <f t="shared" ca="1" si="22"/>
        <v>0</v>
      </c>
      <c r="D207" s="41">
        <f ca="1">IF(Energy!$N$3, C207, IF(C207 &gt; 0, MAX(Energy!W207- Energy!N207, 0) / (Energy!I207 + Energy!M207) *C207, 0))</f>
        <v>0</v>
      </c>
      <c r="E207" s="41" t="b">
        <f ca="1">IF(Main!$C$25="Solar", IF(Energy!W207-Energy!N207&gt;=0, TRUE, FALSE), TRUE)</f>
        <v>1</v>
      </c>
      <c r="F207" s="41">
        <f t="shared" ca="1" si="20"/>
        <v>0</v>
      </c>
      <c r="G207" s="6">
        <f ca="1">IF(A207&gt;=$B$7,IF(E207,IF(H206-$B$6/1000&gt;0,IF($B$6/1000&gt;$B$9*24*60*60,$B$9*24*60*60,$B$6/1000),H206),($B$6/1000)*(-Energy!W207+Energy!N207)/Energy!N207),0)</f>
        <v>0.219</v>
      </c>
      <c r="H207" s="6">
        <f t="shared" ca="1" si="23"/>
        <v>7.7892977643117218</v>
      </c>
      <c r="I207" t="str">
        <f t="shared" ca="1" si="21"/>
        <v>Yes</v>
      </c>
      <c r="N207" s="57">
        <v>41835</v>
      </c>
      <c r="O207" s="56">
        <v>0</v>
      </c>
      <c r="P207" s="59">
        <v>42200</v>
      </c>
      <c r="Q207" s="32">
        <v>0</v>
      </c>
      <c r="R207" s="59">
        <v>42200</v>
      </c>
      <c r="S207" s="19">
        <v>0</v>
      </c>
      <c r="T207" s="59">
        <v>41470</v>
      </c>
      <c r="U207" s="19">
        <v>0</v>
      </c>
    </row>
    <row r="208" spans="1:21" x14ac:dyDescent="0.75">
      <c r="A208" s="59">
        <f t="shared" si="18"/>
        <v>41471</v>
      </c>
      <c r="B208" s="19">
        <f t="shared" si="19"/>
        <v>0</v>
      </c>
      <c r="C208" s="41">
        <f t="shared" ca="1" si="22"/>
        <v>0</v>
      </c>
      <c r="D208" s="41">
        <f ca="1">IF(Energy!$N$3, C208, IF(C208 &gt; 0, MAX(Energy!W208- Energy!N208, 0) / (Energy!I208 + Energy!M208) *C208, 0))</f>
        <v>0</v>
      </c>
      <c r="E208" s="41" t="b">
        <f ca="1">IF(Main!$C$25="Solar", IF(Energy!W208-Energy!N208&gt;=0, TRUE, FALSE), TRUE)</f>
        <v>1</v>
      </c>
      <c r="F208" s="41">
        <f t="shared" ca="1" si="20"/>
        <v>0</v>
      </c>
      <c r="G208" s="6">
        <f ca="1">IF(A208&gt;=$B$7,IF(E208,IF(H207-$B$6/1000&gt;0,IF($B$6/1000&gt;$B$9*24*60*60,$B$9*24*60*60,$B$6/1000),H207),($B$6/1000)*(-Energy!W208+Energy!N208)/Energy!N208),0)</f>
        <v>0.219</v>
      </c>
      <c r="H208" s="6">
        <f t="shared" ca="1" si="23"/>
        <v>7.5702977643117215</v>
      </c>
      <c r="I208" t="str">
        <f t="shared" ca="1" si="21"/>
        <v>Yes</v>
      </c>
      <c r="N208" s="57">
        <v>41836</v>
      </c>
      <c r="O208" s="56">
        <v>0</v>
      </c>
      <c r="P208" s="59">
        <v>42201</v>
      </c>
      <c r="Q208" s="32">
        <v>0</v>
      </c>
      <c r="R208" s="59">
        <v>42201</v>
      </c>
      <c r="S208" s="19">
        <v>0</v>
      </c>
      <c r="T208" s="59">
        <v>41471</v>
      </c>
      <c r="U208" s="19">
        <v>0</v>
      </c>
    </row>
    <row r="209" spans="1:21" x14ac:dyDescent="0.75">
      <c r="A209" s="59">
        <f t="shared" si="18"/>
        <v>41472</v>
      </c>
      <c r="B209" s="19">
        <f t="shared" si="19"/>
        <v>0</v>
      </c>
      <c r="C209" s="41">
        <f t="shared" ca="1" si="22"/>
        <v>0</v>
      </c>
      <c r="D209" s="41">
        <f ca="1">IF(Energy!$N$3, C209, IF(C209 &gt; 0, MAX(Energy!W209- Energy!N209, 0) / (Energy!I209 + Energy!M209) *C209, 0))</f>
        <v>0</v>
      </c>
      <c r="E209" s="41" t="b">
        <f ca="1">IF(Main!$C$25="Solar", IF(Energy!W209-Energy!N209&gt;=0, TRUE, FALSE), TRUE)</f>
        <v>1</v>
      </c>
      <c r="F209" s="41">
        <f t="shared" ca="1" si="20"/>
        <v>0</v>
      </c>
      <c r="G209" s="6">
        <f ca="1">IF(A209&gt;=$B$7,IF(E209,IF(H208-$B$6/1000&gt;0,IF($B$6/1000&gt;$B$9*24*60*60,$B$9*24*60*60,$B$6/1000),H208),($B$6/1000)*(-Energy!W209+Energy!N209)/Energy!N209),0)</f>
        <v>0.219</v>
      </c>
      <c r="H209" s="6">
        <f t="shared" ca="1" si="23"/>
        <v>7.3512977643117212</v>
      </c>
      <c r="I209" t="str">
        <f t="shared" ca="1" si="21"/>
        <v>Yes</v>
      </c>
      <c r="N209" s="57">
        <v>41837</v>
      </c>
      <c r="O209" s="56">
        <v>0</v>
      </c>
      <c r="P209" s="59">
        <v>42202</v>
      </c>
      <c r="Q209" s="32">
        <v>0</v>
      </c>
      <c r="R209" s="59">
        <v>42202</v>
      </c>
      <c r="S209" s="19">
        <v>0</v>
      </c>
      <c r="T209" s="59">
        <v>41472</v>
      </c>
      <c r="U209" s="19">
        <v>0</v>
      </c>
    </row>
    <row r="210" spans="1:21" x14ac:dyDescent="0.75">
      <c r="A210" s="59">
        <f t="shared" si="18"/>
        <v>41473</v>
      </c>
      <c r="B210" s="19">
        <f t="shared" si="19"/>
        <v>0</v>
      </c>
      <c r="C210" s="41">
        <f t="shared" ca="1" si="22"/>
        <v>0</v>
      </c>
      <c r="D210" s="41">
        <f ca="1">IF(Energy!$N$3, C210, IF(C210 &gt; 0, MAX(Energy!W210- Energy!N210, 0) / (Energy!I210 + Energy!M210) *C210, 0))</f>
        <v>0</v>
      </c>
      <c r="E210" s="41" t="b">
        <f ca="1">IF(Main!$C$25="Solar", IF(Energy!W210-Energy!N210&gt;=0, TRUE, FALSE), TRUE)</f>
        <v>1</v>
      </c>
      <c r="F210" s="41">
        <f t="shared" ca="1" si="20"/>
        <v>0</v>
      </c>
      <c r="G210" s="6">
        <f ca="1">IF(A210&gt;=$B$7,IF(E210,IF(H209-$B$6/1000&gt;0,IF($B$6/1000&gt;$B$9*24*60*60,$B$9*24*60*60,$B$6/1000),H209),($B$6/1000)*(-Energy!W210+Energy!N210)/Energy!N210),0)</f>
        <v>0.219</v>
      </c>
      <c r="H210" s="6">
        <f t="shared" ca="1" si="23"/>
        <v>7.1322977643117209</v>
      </c>
      <c r="I210" t="str">
        <f t="shared" ca="1" si="21"/>
        <v>Yes</v>
      </c>
      <c r="N210" s="57">
        <v>41838</v>
      </c>
      <c r="O210" s="56">
        <v>37</v>
      </c>
      <c r="P210" s="59">
        <v>42203</v>
      </c>
      <c r="Q210" s="32">
        <v>0</v>
      </c>
      <c r="R210" s="59">
        <v>42203</v>
      </c>
      <c r="S210" s="19">
        <v>0</v>
      </c>
      <c r="T210" s="59">
        <v>41473</v>
      </c>
      <c r="U210" s="19">
        <v>0</v>
      </c>
    </row>
    <row r="211" spans="1:21" x14ac:dyDescent="0.75">
      <c r="A211" s="59">
        <f t="shared" si="18"/>
        <v>41474</v>
      </c>
      <c r="B211" s="19">
        <f t="shared" si="19"/>
        <v>0</v>
      </c>
      <c r="C211" s="41">
        <f t="shared" ca="1" si="22"/>
        <v>0</v>
      </c>
      <c r="D211" s="41">
        <f ca="1">IF(Energy!$N$3, C211, IF(C211 &gt; 0, MAX(Energy!W211- Energy!N211, 0) / (Energy!I211 + Energy!M211) *C211, 0))</f>
        <v>0</v>
      </c>
      <c r="E211" s="41" t="b">
        <f ca="1">IF(Main!$C$25="Solar", IF(Energy!W211-Energy!N211&gt;=0, TRUE, FALSE), TRUE)</f>
        <v>1</v>
      </c>
      <c r="F211" s="41">
        <f t="shared" ca="1" si="20"/>
        <v>0</v>
      </c>
      <c r="G211" s="6">
        <f ca="1">IF(A211&gt;=$B$7,IF(E211,IF(H210-$B$6/1000&gt;0,IF($B$6/1000&gt;$B$9*24*60*60,$B$9*24*60*60,$B$6/1000),H210),($B$6/1000)*(-Energy!W211+Energy!N211)/Energy!N211),0)</f>
        <v>0.219</v>
      </c>
      <c r="H211" s="6">
        <f t="shared" ca="1" si="23"/>
        <v>6.9132977643117206</v>
      </c>
      <c r="I211" t="str">
        <f t="shared" ca="1" si="21"/>
        <v>Yes</v>
      </c>
      <c r="N211" s="57">
        <v>41839</v>
      </c>
      <c r="O211" s="56">
        <v>1.8</v>
      </c>
      <c r="P211" s="59">
        <v>42204</v>
      </c>
      <c r="Q211" s="32">
        <v>0</v>
      </c>
      <c r="R211" s="59">
        <v>42204</v>
      </c>
      <c r="S211" s="19">
        <v>0</v>
      </c>
      <c r="T211" s="59">
        <v>41474</v>
      </c>
      <c r="U211" s="19">
        <v>0</v>
      </c>
    </row>
    <row r="212" spans="1:21" x14ac:dyDescent="0.75">
      <c r="A212" s="59">
        <f t="shared" si="18"/>
        <v>41475</v>
      </c>
      <c r="B212" s="19">
        <f t="shared" si="19"/>
        <v>0</v>
      </c>
      <c r="C212" s="41">
        <f t="shared" ca="1" si="22"/>
        <v>0</v>
      </c>
      <c r="D212" s="41">
        <f ca="1">IF(Energy!$N$3, C212, IF(C212 &gt; 0, MAX(Energy!W212- Energy!N212, 0) / (Energy!I212 + Energy!M212) *C212, 0))</f>
        <v>0</v>
      </c>
      <c r="E212" s="41" t="b">
        <f ca="1">IF(Main!$C$25="Solar", IF(Energy!W212-Energy!N212&gt;=0, TRUE, FALSE), TRUE)</f>
        <v>1</v>
      </c>
      <c r="F212" s="41">
        <f t="shared" ca="1" si="20"/>
        <v>0</v>
      </c>
      <c r="G212" s="6">
        <f ca="1">IF(A212&gt;=$B$7,IF(E212,IF(H211-$B$6/1000&gt;0,IF($B$6/1000&gt;$B$9*24*60*60,$B$9*24*60*60,$B$6/1000),H211),($B$6/1000)*(-Energy!W212+Energy!N212)/Energy!N212),0)</f>
        <v>0.219</v>
      </c>
      <c r="H212" s="6">
        <f t="shared" ca="1" si="23"/>
        <v>6.6942977643117203</v>
      </c>
      <c r="I212" t="str">
        <f t="shared" ca="1" si="21"/>
        <v>Yes</v>
      </c>
      <c r="N212" s="57">
        <v>41840</v>
      </c>
      <c r="O212" s="56">
        <v>0</v>
      </c>
      <c r="P212" s="59">
        <v>42205</v>
      </c>
      <c r="Q212" s="32">
        <v>0.6</v>
      </c>
      <c r="R212" s="59">
        <v>42205</v>
      </c>
      <c r="S212" s="19">
        <v>0</v>
      </c>
      <c r="T212" s="59">
        <v>41475</v>
      </c>
      <c r="U212" s="19">
        <v>0</v>
      </c>
    </row>
    <row r="213" spans="1:21" x14ac:dyDescent="0.75">
      <c r="A213" s="59">
        <f t="shared" si="18"/>
        <v>41476</v>
      </c>
      <c r="B213" s="19">
        <f t="shared" si="19"/>
        <v>0</v>
      </c>
      <c r="C213" s="41">
        <f t="shared" ca="1" si="22"/>
        <v>0</v>
      </c>
      <c r="D213" s="41">
        <f ca="1">IF(Energy!$N$3, C213, IF(C213 &gt; 0, MAX(Energy!W213- Energy!N213, 0) / (Energy!I213 + Energy!M213) *C213, 0))</f>
        <v>0</v>
      </c>
      <c r="E213" s="41" t="b">
        <f ca="1">IF(Main!$C$25="Solar", IF(Energy!W213-Energy!N213&gt;=0, TRUE, FALSE), TRUE)</f>
        <v>1</v>
      </c>
      <c r="F213" s="41">
        <f t="shared" ca="1" si="20"/>
        <v>0</v>
      </c>
      <c r="G213" s="6">
        <f ca="1">IF(A213&gt;=$B$7,IF(E213,IF(H212-$B$6/1000&gt;0,IF($B$6/1000&gt;$B$9*24*60*60,$B$9*24*60*60,$B$6/1000),H212),($B$6/1000)*(-Energy!W213+Energy!N213)/Energy!N213),0)</f>
        <v>0.219</v>
      </c>
      <c r="H213" s="6">
        <f t="shared" ca="1" si="23"/>
        <v>6.47529776431172</v>
      </c>
      <c r="I213" t="str">
        <f t="shared" ca="1" si="21"/>
        <v>Yes</v>
      </c>
      <c r="N213" s="57">
        <v>41841</v>
      </c>
      <c r="O213" s="56">
        <v>0</v>
      </c>
      <c r="P213" s="59">
        <v>42206</v>
      </c>
      <c r="Q213" s="32">
        <v>0</v>
      </c>
      <c r="R213" s="59">
        <v>42206</v>
      </c>
      <c r="S213" s="19">
        <v>0</v>
      </c>
      <c r="T213" s="59">
        <v>41476</v>
      </c>
      <c r="U213" s="19">
        <v>0</v>
      </c>
    </row>
    <row r="214" spans="1:21" x14ac:dyDescent="0.75">
      <c r="A214" s="59">
        <f t="shared" si="18"/>
        <v>41477</v>
      </c>
      <c r="B214" s="19">
        <f t="shared" si="19"/>
        <v>0</v>
      </c>
      <c r="C214" s="41">
        <f t="shared" ca="1" si="22"/>
        <v>0</v>
      </c>
      <c r="D214" s="41">
        <f ca="1">IF(Energy!$N$3, C214, IF(C214 &gt; 0, MAX(Energy!W214- Energy!N214, 0) / (Energy!I214 + Energy!M214) *C214, 0))</f>
        <v>0</v>
      </c>
      <c r="E214" s="41" t="b">
        <f ca="1">IF(Main!$C$25="Solar", IF(Energy!W214-Energy!N214&gt;=0, TRUE, FALSE), TRUE)</f>
        <v>1</v>
      </c>
      <c r="F214" s="41">
        <f t="shared" ca="1" si="20"/>
        <v>0</v>
      </c>
      <c r="G214" s="6">
        <f ca="1">IF(A214&gt;=$B$7,IF(E214,IF(H213-$B$6/1000&gt;0,IF($B$6/1000&gt;$B$9*24*60*60,$B$9*24*60*60,$B$6/1000),H213),($B$6/1000)*(-Energy!W214+Energy!N214)/Energy!N214),0)</f>
        <v>0.219</v>
      </c>
      <c r="H214" s="6">
        <f t="shared" ca="1" si="23"/>
        <v>6.2562977643117197</v>
      </c>
      <c r="I214" t="str">
        <f t="shared" ca="1" si="21"/>
        <v>Yes</v>
      </c>
      <c r="N214" s="57">
        <v>41842</v>
      </c>
      <c r="O214" s="56">
        <v>8</v>
      </c>
      <c r="P214" s="59">
        <v>42207</v>
      </c>
      <c r="Q214" s="32">
        <v>0</v>
      </c>
      <c r="R214" s="59">
        <v>42207</v>
      </c>
      <c r="S214" s="19">
        <v>0</v>
      </c>
      <c r="T214" s="59">
        <v>41477</v>
      </c>
      <c r="U214" s="19">
        <v>0</v>
      </c>
    </row>
    <row r="215" spans="1:21" x14ac:dyDescent="0.75">
      <c r="A215" s="59">
        <f t="shared" si="18"/>
        <v>41478</v>
      </c>
      <c r="B215" s="19">
        <f t="shared" si="19"/>
        <v>0</v>
      </c>
      <c r="C215" s="41">
        <f t="shared" ca="1" si="22"/>
        <v>0</v>
      </c>
      <c r="D215" s="41">
        <f ca="1">IF(Energy!$N$3, C215, IF(C215 &gt; 0, MAX(Energy!W215- Energy!N215, 0) / (Energy!I215 + Energy!M215) *C215, 0))</f>
        <v>0</v>
      </c>
      <c r="E215" s="41" t="b">
        <f ca="1">IF(Main!$C$25="Solar", IF(Energy!W215-Energy!N215&gt;=0, TRUE, FALSE), TRUE)</f>
        <v>1</v>
      </c>
      <c r="F215" s="41">
        <f t="shared" ca="1" si="20"/>
        <v>0</v>
      </c>
      <c r="G215" s="6">
        <f ca="1">IF(A215&gt;=$B$7,IF(E215,IF(H214-$B$6/1000&gt;0,IF($B$6/1000&gt;$B$9*24*60*60,$B$9*24*60*60,$B$6/1000),H214),($B$6/1000)*(-Energy!W215+Energy!N215)/Energy!N215),0)</f>
        <v>0.219</v>
      </c>
      <c r="H215" s="6">
        <f t="shared" ca="1" si="23"/>
        <v>6.0372977643117194</v>
      </c>
      <c r="I215" t="str">
        <f t="shared" ca="1" si="21"/>
        <v>Yes</v>
      </c>
      <c r="N215" s="57">
        <v>41843</v>
      </c>
      <c r="O215" s="56">
        <v>18.2</v>
      </c>
      <c r="P215" s="59">
        <v>42208</v>
      </c>
      <c r="Q215" s="32">
        <v>8.4</v>
      </c>
      <c r="R215" s="59">
        <v>42208</v>
      </c>
      <c r="S215" s="19">
        <v>0.4</v>
      </c>
      <c r="T215" s="59">
        <v>41478</v>
      </c>
      <c r="U215" s="19">
        <v>0</v>
      </c>
    </row>
    <row r="216" spans="1:21" x14ac:dyDescent="0.75">
      <c r="A216" s="59">
        <f t="shared" si="18"/>
        <v>41479</v>
      </c>
      <c r="B216" s="19">
        <f t="shared" si="19"/>
        <v>0</v>
      </c>
      <c r="C216" s="41">
        <f t="shared" ca="1" si="22"/>
        <v>0</v>
      </c>
      <c r="D216" s="41">
        <f ca="1">IF(Energy!$N$3, C216, IF(C216 &gt; 0, MAX(Energy!W216- Energy!N216, 0) / (Energy!I216 + Energy!M216) *C216, 0))</f>
        <v>0</v>
      </c>
      <c r="E216" s="41" t="b">
        <f ca="1">IF(Main!$C$25="Solar", IF(Energy!W216-Energy!N216&gt;=0, TRUE, FALSE), TRUE)</f>
        <v>1</v>
      </c>
      <c r="F216" s="41">
        <f t="shared" ca="1" si="20"/>
        <v>0</v>
      </c>
      <c r="G216" s="6">
        <f ca="1">IF(A216&gt;=$B$7,IF(E216,IF(H215-$B$6/1000&gt;0,IF($B$6/1000&gt;$B$9*24*60*60,$B$9*24*60*60,$B$6/1000),H215),($B$6/1000)*(-Energy!W216+Energy!N216)/Energy!N216),0)</f>
        <v>0.219</v>
      </c>
      <c r="H216" s="6">
        <f t="shared" ca="1" si="23"/>
        <v>5.8182977643117191</v>
      </c>
      <c r="I216" t="str">
        <f t="shared" ca="1" si="21"/>
        <v>Yes</v>
      </c>
      <c r="N216" s="57">
        <v>41844</v>
      </c>
      <c r="O216" s="56">
        <v>0.6</v>
      </c>
      <c r="P216" s="59">
        <v>42209</v>
      </c>
      <c r="Q216" s="32">
        <v>4</v>
      </c>
      <c r="R216" s="59">
        <v>42209</v>
      </c>
      <c r="S216" s="19">
        <v>1</v>
      </c>
      <c r="T216" s="59">
        <v>41479</v>
      </c>
      <c r="U216" s="19">
        <v>0</v>
      </c>
    </row>
    <row r="217" spans="1:21" x14ac:dyDescent="0.75">
      <c r="A217" s="59">
        <f t="shared" si="18"/>
        <v>41480</v>
      </c>
      <c r="B217" s="19">
        <f t="shared" si="19"/>
        <v>0</v>
      </c>
      <c r="C217" s="41">
        <f t="shared" ca="1" si="22"/>
        <v>0</v>
      </c>
      <c r="D217" s="41">
        <f ca="1">IF(Energy!$N$3, C217, IF(C217 &gt; 0, MAX(Energy!W217- Energy!N217, 0) / (Energy!I217 + Energy!M217) *C217, 0))</f>
        <v>0</v>
      </c>
      <c r="E217" s="41" t="b">
        <f ca="1">IF(Main!$C$25="Solar", IF(Energy!W217-Energy!N217&gt;=0, TRUE, FALSE), TRUE)</f>
        <v>1</v>
      </c>
      <c r="F217" s="41">
        <f t="shared" ca="1" si="20"/>
        <v>0</v>
      </c>
      <c r="G217" s="6">
        <f ca="1">IF(A217&gt;=$B$7,IF(E217,IF(H216-$B$6/1000&gt;0,IF($B$6/1000&gt;$B$9*24*60*60,$B$9*24*60*60,$B$6/1000),H216),($B$6/1000)*(-Energy!W217+Energy!N217)/Energy!N217),0)</f>
        <v>0.219</v>
      </c>
      <c r="H217" s="6">
        <f t="shared" ca="1" si="23"/>
        <v>5.5992977643117188</v>
      </c>
      <c r="I217" t="str">
        <f t="shared" ca="1" si="21"/>
        <v>Yes</v>
      </c>
      <c r="N217" s="57">
        <v>41845</v>
      </c>
      <c r="O217" s="56">
        <v>0</v>
      </c>
      <c r="P217" s="59">
        <v>42210</v>
      </c>
      <c r="Q217" s="32">
        <v>4.2</v>
      </c>
      <c r="R217" s="59">
        <v>42210</v>
      </c>
      <c r="S217" s="19">
        <v>10.8</v>
      </c>
      <c r="T217" s="59">
        <v>41480</v>
      </c>
      <c r="U217" s="19">
        <v>0</v>
      </c>
    </row>
    <row r="218" spans="1:21" x14ac:dyDescent="0.75">
      <c r="A218" s="59">
        <f t="shared" si="18"/>
        <v>41481</v>
      </c>
      <c r="B218" s="19">
        <f t="shared" si="19"/>
        <v>0</v>
      </c>
      <c r="C218" s="41">
        <f t="shared" ca="1" si="22"/>
        <v>0</v>
      </c>
      <c r="D218" s="41">
        <f ca="1">IF(Energy!$N$3, C218, IF(C218 &gt; 0, MAX(Energy!W218- Energy!N218, 0) / (Energy!I218 + Energy!M218) *C218, 0))</f>
        <v>0</v>
      </c>
      <c r="E218" s="41" t="b">
        <f ca="1">IF(Main!$C$25="Solar", IF(Energy!W218-Energy!N218&gt;=0, TRUE, FALSE), TRUE)</f>
        <v>1</v>
      </c>
      <c r="F218" s="41">
        <f t="shared" ca="1" si="20"/>
        <v>0</v>
      </c>
      <c r="G218" s="6">
        <f ca="1">IF(A218&gt;=$B$7,IF(E218,IF(H217-$B$6/1000&gt;0,IF($B$6/1000&gt;$B$9*24*60*60,$B$9*24*60*60,$B$6/1000),H217),($B$6/1000)*(-Energy!W218+Energy!N218)/Energy!N218),0)</f>
        <v>0.219</v>
      </c>
      <c r="H218" s="6">
        <f t="shared" ca="1" si="23"/>
        <v>5.3802977643117185</v>
      </c>
      <c r="I218" t="str">
        <f t="shared" ca="1" si="21"/>
        <v>Yes</v>
      </c>
      <c r="N218" s="57">
        <v>41846</v>
      </c>
      <c r="O218" s="56">
        <v>0</v>
      </c>
      <c r="P218" s="59">
        <v>42211</v>
      </c>
      <c r="Q218" s="32">
        <v>0</v>
      </c>
      <c r="R218" s="59">
        <v>42211</v>
      </c>
      <c r="S218" s="19">
        <v>0.6</v>
      </c>
      <c r="T218" s="59">
        <v>41481</v>
      </c>
      <c r="U218" s="19">
        <v>0</v>
      </c>
    </row>
    <row r="219" spans="1:21" x14ac:dyDescent="0.75">
      <c r="A219" s="59">
        <f t="shared" si="18"/>
        <v>41482</v>
      </c>
      <c r="B219" s="19">
        <f t="shared" si="19"/>
        <v>0</v>
      </c>
      <c r="C219" s="41">
        <f t="shared" ca="1" si="22"/>
        <v>0</v>
      </c>
      <c r="D219" s="41">
        <f ca="1">IF(Energy!$N$3, C219, IF(C219 &gt; 0, MAX(Energy!W219- Energy!N219, 0) / (Energy!I219 + Energy!M219) *C219, 0))</f>
        <v>0</v>
      </c>
      <c r="E219" s="41" t="b">
        <f ca="1">IF(Main!$C$25="Solar", IF(Energy!W219-Energy!N219&gt;=0, TRUE, FALSE), TRUE)</f>
        <v>1</v>
      </c>
      <c r="F219" s="41">
        <f t="shared" ca="1" si="20"/>
        <v>0</v>
      </c>
      <c r="G219" s="6">
        <f ca="1">IF(A219&gt;=$B$7,IF(E219,IF(H218-$B$6/1000&gt;0,IF($B$6/1000&gt;$B$9*24*60*60,$B$9*24*60*60,$B$6/1000),H218),($B$6/1000)*(-Energy!W219+Energy!N219)/Energy!N219),0)</f>
        <v>0.219</v>
      </c>
      <c r="H219" s="6">
        <f t="shared" ca="1" si="23"/>
        <v>5.1612977643117182</v>
      </c>
      <c r="I219" t="str">
        <f t="shared" ca="1" si="21"/>
        <v>Yes</v>
      </c>
      <c r="N219" s="57">
        <v>41847</v>
      </c>
      <c r="O219" s="56">
        <v>0</v>
      </c>
      <c r="P219" s="59">
        <v>42212</v>
      </c>
      <c r="Q219" s="32">
        <v>0</v>
      </c>
      <c r="R219" s="59">
        <v>42212</v>
      </c>
      <c r="S219" s="19">
        <v>0</v>
      </c>
      <c r="T219" s="59">
        <v>41482</v>
      </c>
      <c r="U219" s="19">
        <v>0</v>
      </c>
    </row>
    <row r="220" spans="1:21" x14ac:dyDescent="0.75">
      <c r="A220" s="59">
        <f t="shared" si="18"/>
        <v>41483</v>
      </c>
      <c r="B220" s="19">
        <f t="shared" si="19"/>
        <v>0</v>
      </c>
      <c r="C220" s="41">
        <f t="shared" ca="1" si="22"/>
        <v>0</v>
      </c>
      <c r="D220" s="41">
        <f ca="1">IF(Energy!$N$3, C220, IF(C220 &gt; 0, MAX(Energy!W220- Energy!N220, 0) / (Energy!I220 + Energy!M220) *C220, 0))</f>
        <v>0</v>
      </c>
      <c r="E220" s="41" t="b">
        <f ca="1">IF(Main!$C$25="Solar", IF(Energy!W220-Energy!N220&gt;=0, TRUE, FALSE), TRUE)</f>
        <v>1</v>
      </c>
      <c r="F220" s="41">
        <f t="shared" ca="1" si="20"/>
        <v>0</v>
      </c>
      <c r="G220" s="6">
        <f ca="1">IF(A220&gt;=$B$7,IF(E220,IF(H219-$B$6/1000&gt;0,IF($B$6/1000&gt;$B$9*24*60*60,$B$9*24*60*60,$B$6/1000),H219),($B$6/1000)*(-Energy!W220+Energy!N220)/Energy!N220),0)</f>
        <v>0.219</v>
      </c>
      <c r="H220" s="6">
        <f t="shared" ca="1" si="23"/>
        <v>4.9422977643117179</v>
      </c>
      <c r="I220" t="str">
        <f t="shared" ca="1" si="21"/>
        <v>Yes</v>
      </c>
      <c r="N220" s="57">
        <v>41848</v>
      </c>
      <c r="O220" s="56">
        <v>0</v>
      </c>
      <c r="P220" s="59">
        <v>42213</v>
      </c>
      <c r="Q220" s="32">
        <v>0</v>
      </c>
      <c r="R220" s="59">
        <v>42213</v>
      </c>
      <c r="S220" s="19">
        <v>0</v>
      </c>
      <c r="T220" s="59">
        <v>41483</v>
      </c>
      <c r="U220" s="19">
        <v>0</v>
      </c>
    </row>
    <row r="221" spans="1:21" x14ac:dyDescent="0.75">
      <c r="A221" s="59">
        <f t="shared" si="18"/>
        <v>41484</v>
      </c>
      <c r="B221" s="19">
        <f t="shared" si="19"/>
        <v>0</v>
      </c>
      <c r="C221" s="41">
        <f t="shared" ca="1" si="22"/>
        <v>0</v>
      </c>
      <c r="D221" s="41">
        <f ca="1">IF(Energy!$N$3, C221, IF(C221 &gt; 0, MAX(Energy!W221- Energy!N221, 0) / (Energy!I221 + Energy!M221) *C221, 0))</f>
        <v>0</v>
      </c>
      <c r="E221" s="41" t="b">
        <f ca="1">IF(Main!$C$25="Solar", IF(Energy!W221-Energy!N221&gt;=0, TRUE, FALSE), TRUE)</f>
        <v>1</v>
      </c>
      <c r="F221" s="41">
        <f t="shared" ca="1" si="20"/>
        <v>0</v>
      </c>
      <c r="G221" s="6">
        <f ca="1">IF(A221&gt;=$B$7,IF(E221,IF(H220-$B$6/1000&gt;0,IF($B$6/1000&gt;$B$9*24*60*60,$B$9*24*60*60,$B$6/1000),H220),($B$6/1000)*(-Energy!W221+Energy!N221)/Energy!N221),0)</f>
        <v>0.219</v>
      </c>
      <c r="H221" s="6">
        <f t="shared" ca="1" si="23"/>
        <v>4.7232977643117176</v>
      </c>
      <c r="I221" t="str">
        <f t="shared" ca="1" si="21"/>
        <v>Yes</v>
      </c>
      <c r="N221" s="57">
        <v>41849</v>
      </c>
      <c r="O221" s="56">
        <v>0</v>
      </c>
      <c r="P221" s="59">
        <v>42214</v>
      </c>
      <c r="Q221" s="32">
        <v>0</v>
      </c>
      <c r="R221" s="59">
        <v>42214</v>
      </c>
      <c r="S221" s="19">
        <v>0</v>
      </c>
      <c r="T221" s="59">
        <v>41484</v>
      </c>
      <c r="U221" s="19">
        <v>0</v>
      </c>
    </row>
    <row r="222" spans="1:21" x14ac:dyDescent="0.75">
      <c r="A222" s="59">
        <f t="shared" si="18"/>
        <v>41485</v>
      </c>
      <c r="B222" s="19">
        <f t="shared" si="19"/>
        <v>0</v>
      </c>
      <c r="C222" s="41">
        <f t="shared" ca="1" si="22"/>
        <v>0</v>
      </c>
      <c r="D222" s="41">
        <f ca="1">IF(Energy!$N$3, C222, IF(C222 &gt; 0, MAX(Energy!W222- Energy!N222, 0) / (Energy!I222 + Energy!M222) *C222, 0))</f>
        <v>0</v>
      </c>
      <c r="E222" s="41" t="b">
        <f ca="1">IF(Main!$C$25="Solar", IF(Energy!W222-Energy!N222&gt;=0, TRUE, FALSE), TRUE)</f>
        <v>1</v>
      </c>
      <c r="F222" s="41">
        <f t="shared" ca="1" si="20"/>
        <v>0</v>
      </c>
      <c r="G222" s="6">
        <f ca="1">IF(A222&gt;=$B$7,IF(E222,IF(H221-$B$6/1000&gt;0,IF($B$6/1000&gt;$B$9*24*60*60,$B$9*24*60*60,$B$6/1000),H221),($B$6/1000)*(-Energy!W222+Energy!N222)/Energy!N222),0)</f>
        <v>0.219</v>
      </c>
      <c r="H222" s="6">
        <f t="shared" ca="1" si="23"/>
        <v>4.5042977643117172</v>
      </c>
      <c r="I222" t="str">
        <f t="shared" ca="1" si="21"/>
        <v>Yes</v>
      </c>
      <c r="N222" s="57">
        <v>41850</v>
      </c>
      <c r="O222" s="56">
        <v>0</v>
      </c>
      <c r="P222" s="59">
        <v>42215</v>
      </c>
      <c r="Q222" s="32">
        <v>0</v>
      </c>
      <c r="R222" s="59">
        <v>42215</v>
      </c>
      <c r="S222" s="19">
        <v>0</v>
      </c>
      <c r="T222" s="59">
        <v>41485</v>
      </c>
      <c r="U222" s="19">
        <v>0</v>
      </c>
    </row>
    <row r="223" spans="1:21" x14ac:dyDescent="0.75">
      <c r="A223" s="59">
        <f t="shared" si="18"/>
        <v>41486</v>
      </c>
      <c r="B223" s="19">
        <f t="shared" si="19"/>
        <v>5.4</v>
      </c>
      <c r="C223" s="41">
        <f t="shared" ca="1" si="22"/>
        <v>0.54</v>
      </c>
      <c r="D223" s="41">
        <f ca="1">IF(Energy!$N$3, C223, IF(C223 &gt; 0, MAX(Energy!W223- Energy!N223, 0) / (Energy!I223 + Energy!M223) *C223, 0))</f>
        <v>0.53999999999999992</v>
      </c>
      <c r="E223" s="41" t="b">
        <f ca="1">IF(Main!$C$25="Solar", IF(Energy!W223-Energy!N223&gt;=0, TRUE, FALSE), TRUE)</f>
        <v>1</v>
      </c>
      <c r="F223" s="41">
        <f t="shared" ca="1" si="20"/>
        <v>0.30006588064082829</v>
      </c>
      <c r="G223" s="6">
        <f ca="1">IF(A223&gt;=$B$7,IF(E223,IF(H222-$B$6/1000&gt;0,IF($B$6/1000&gt;$B$9*24*60*60,$B$9*24*60*60,$B$6/1000),H222),($B$6/1000)*(-Energy!W223+Energy!N223)/Energy!N223),0)</f>
        <v>0.219</v>
      </c>
      <c r="H223" s="6">
        <f t="shared" ca="1" si="23"/>
        <v>4.825297764311717</v>
      </c>
      <c r="I223" t="str">
        <f t="shared" ca="1" si="21"/>
        <v>Yes</v>
      </c>
      <c r="N223" s="57">
        <v>41851</v>
      </c>
      <c r="O223" s="56">
        <v>0</v>
      </c>
      <c r="P223" s="59">
        <v>42216</v>
      </c>
      <c r="Q223" s="32">
        <v>0</v>
      </c>
      <c r="R223" s="59">
        <v>42216</v>
      </c>
      <c r="S223" s="19">
        <v>0</v>
      </c>
      <c r="T223" s="59">
        <v>41486</v>
      </c>
      <c r="U223" s="19">
        <v>5.4</v>
      </c>
    </row>
    <row r="224" spans="1:21" x14ac:dyDescent="0.75">
      <c r="A224" s="59">
        <f t="shared" si="18"/>
        <v>41487</v>
      </c>
      <c r="B224" s="19">
        <f t="shared" si="19"/>
        <v>0.4</v>
      </c>
      <c r="C224" s="41">
        <f t="shared" ca="1" si="22"/>
        <v>0.04</v>
      </c>
      <c r="D224" s="41">
        <f ca="1">IF(Energy!$N$3, C224, IF(C224 &gt; 0, MAX(Energy!W224- Energy!N224, 0) / (Energy!I224 + Energy!M224) *C224, 0))</f>
        <v>4.0000000000000029E-2</v>
      </c>
      <c r="E224" s="41" t="b">
        <f ca="1">IF(Main!$C$25="Solar", IF(Energy!W224-Energy!N224&gt;=0, TRUE, FALSE), TRUE)</f>
        <v>1</v>
      </c>
      <c r="F224" s="41">
        <f t="shared" ca="1" si="20"/>
        <v>2.2227102269691001E-2</v>
      </c>
      <c r="G224" s="6">
        <f ca="1">IF(A224&gt;=$B$7,IF(E224,IF(H223-$B$6/1000&gt;0,IF($B$6/1000&gt;$B$9*24*60*60,$B$9*24*60*60,$B$6/1000),H223),($B$6/1000)*(-Energy!W224+Energy!N224)/Energy!N224),0)</f>
        <v>0.219</v>
      </c>
      <c r="H224" s="6">
        <f t="shared" ca="1" si="23"/>
        <v>4.6462977643117167</v>
      </c>
      <c r="I224" t="str">
        <f t="shared" ca="1" si="21"/>
        <v>Yes</v>
      </c>
      <c r="N224" s="57">
        <v>41852</v>
      </c>
      <c r="O224" s="56">
        <v>0</v>
      </c>
      <c r="P224" s="59">
        <v>42217</v>
      </c>
      <c r="Q224" s="32">
        <v>0</v>
      </c>
      <c r="R224" s="59">
        <v>42217</v>
      </c>
      <c r="S224" s="19">
        <v>0</v>
      </c>
      <c r="T224" s="59">
        <v>41487</v>
      </c>
      <c r="U224" s="19">
        <v>0.4</v>
      </c>
    </row>
    <row r="225" spans="1:21" x14ac:dyDescent="0.75">
      <c r="A225" s="59">
        <f t="shared" si="18"/>
        <v>41488</v>
      </c>
      <c r="B225" s="19">
        <f t="shared" si="19"/>
        <v>0</v>
      </c>
      <c r="C225" s="41">
        <f t="shared" ca="1" si="22"/>
        <v>0</v>
      </c>
      <c r="D225" s="41">
        <f ca="1">IF(Energy!$N$3, C225, IF(C225 &gt; 0, MAX(Energy!W225- Energy!N225, 0) / (Energy!I225 + Energy!M225) *C225, 0))</f>
        <v>0</v>
      </c>
      <c r="E225" s="41" t="b">
        <f ca="1">IF(Main!$C$25="Solar", IF(Energy!W225-Energy!N225&gt;=0, TRUE, FALSE), TRUE)</f>
        <v>1</v>
      </c>
      <c r="F225" s="41">
        <f t="shared" ca="1" si="20"/>
        <v>0</v>
      </c>
      <c r="G225" s="6">
        <f ca="1">IF(A225&gt;=$B$7,IF(E225,IF(H224-$B$6/1000&gt;0,IF($B$6/1000&gt;$B$9*24*60*60,$B$9*24*60*60,$B$6/1000),H224),($B$6/1000)*(-Energy!W225+Energy!N225)/Energy!N225),0)</f>
        <v>0.219</v>
      </c>
      <c r="H225" s="6">
        <f t="shared" ca="1" si="23"/>
        <v>4.4272977643117164</v>
      </c>
      <c r="I225" t="str">
        <f t="shared" ca="1" si="21"/>
        <v>Yes</v>
      </c>
      <c r="N225" s="57">
        <v>41853</v>
      </c>
      <c r="O225" s="56">
        <v>0</v>
      </c>
      <c r="P225" s="59">
        <v>42218</v>
      </c>
      <c r="Q225" s="32">
        <v>0</v>
      </c>
      <c r="R225" s="59">
        <v>42218</v>
      </c>
      <c r="S225" s="19">
        <v>0</v>
      </c>
      <c r="T225" s="59">
        <v>41488</v>
      </c>
      <c r="U225" s="19">
        <v>0</v>
      </c>
    </row>
    <row r="226" spans="1:21" x14ac:dyDescent="0.75">
      <c r="A226" s="59">
        <f t="shared" si="18"/>
        <v>41489</v>
      </c>
      <c r="B226" s="19">
        <f t="shared" si="19"/>
        <v>0</v>
      </c>
      <c r="C226" s="41">
        <f t="shared" ca="1" si="22"/>
        <v>0</v>
      </c>
      <c r="D226" s="41">
        <f ca="1">IF(Energy!$N$3, C226, IF(C226 &gt; 0, MAX(Energy!W226- Energy!N226, 0) / (Energy!I226 + Energy!M226) *C226, 0))</f>
        <v>0</v>
      </c>
      <c r="E226" s="41" t="b">
        <f ca="1">IF(Main!$C$25="Solar", IF(Energy!W226-Energy!N226&gt;=0, TRUE, FALSE), TRUE)</f>
        <v>1</v>
      </c>
      <c r="F226" s="41">
        <f t="shared" ca="1" si="20"/>
        <v>0</v>
      </c>
      <c r="G226" s="6">
        <f ca="1">IF(A226&gt;=$B$7,IF(E226,IF(H225-$B$6/1000&gt;0,IF($B$6/1000&gt;$B$9*24*60*60,$B$9*24*60*60,$B$6/1000),H225),($B$6/1000)*(-Energy!W226+Energy!N226)/Energy!N226),0)</f>
        <v>0.219</v>
      </c>
      <c r="H226" s="6">
        <f t="shared" ca="1" si="23"/>
        <v>4.2082977643117161</v>
      </c>
      <c r="I226" t="str">
        <f t="shared" ca="1" si="21"/>
        <v>Yes</v>
      </c>
      <c r="N226" s="57">
        <v>41854</v>
      </c>
      <c r="O226" s="56">
        <v>0</v>
      </c>
      <c r="P226" s="59">
        <v>42219</v>
      </c>
      <c r="Q226" s="32">
        <v>0</v>
      </c>
      <c r="R226" s="59">
        <v>42219</v>
      </c>
      <c r="S226" s="19">
        <v>0</v>
      </c>
      <c r="T226" s="59">
        <v>41489</v>
      </c>
      <c r="U226" s="19">
        <v>0</v>
      </c>
    </row>
    <row r="227" spans="1:21" x14ac:dyDescent="0.75">
      <c r="A227" s="59">
        <f t="shared" si="18"/>
        <v>41490</v>
      </c>
      <c r="B227" s="19">
        <f t="shared" si="19"/>
        <v>0</v>
      </c>
      <c r="C227" s="41">
        <f t="shared" ca="1" si="22"/>
        <v>0</v>
      </c>
      <c r="D227" s="41">
        <f ca="1">IF(Energy!$N$3, C227, IF(C227 &gt; 0, MAX(Energy!W227- Energy!N227, 0) / (Energy!I227 + Energy!M227) *C227, 0))</f>
        <v>0</v>
      </c>
      <c r="E227" s="41" t="b">
        <f ca="1">IF(Main!$C$25="Solar", IF(Energy!W227-Energy!N227&gt;=0, TRUE, FALSE), TRUE)</f>
        <v>1</v>
      </c>
      <c r="F227" s="41">
        <f t="shared" ca="1" si="20"/>
        <v>0</v>
      </c>
      <c r="G227" s="6">
        <f ca="1">IF(A227&gt;=$B$7,IF(E227,IF(H226-$B$6/1000&gt;0,IF($B$6/1000&gt;$B$9*24*60*60,$B$9*24*60*60,$B$6/1000),H226),($B$6/1000)*(-Energy!W227+Energy!N227)/Energy!N227),0)</f>
        <v>0.219</v>
      </c>
      <c r="H227" s="6">
        <f t="shared" ca="1" si="23"/>
        <v>3.9892977643117162</v>
      </c>
      <c r="I227" t="str">
        <f t="shared" ca="1" si="21"/>
        <v>Yes</v>
      </c>
      <c r="N227" s="57">
        <v>41855</v>
      </c>
      <c r="O227" s="56">
        <v>0</v>
      </c>
      <c r="P227" s="59">
        <v>42220</v>
      </c>
      <c r="Q227" s="32">
        <v>0</v>
      </c>
      <c r="R227" s="59">
        <v>42220</v>
      </c>
      <c r="S227" s="19">
        <v>6.6</v>
      </c>
      <c r="T227" s="59">
        <v>41490</v>
      </c>
      <c r="U227" s="19">
        <v>0</v>
      </c>
    </row>
    <row r="228" spans="1:21" x14ac:dyDescent="0.75">
      <c r="A228" s="59">
        <f t="shared" si="18"/>
        <v>41491</v>
      </c>
      <c r="B228" s="19">
        <f t="shared" si="19"/>
        <v>0</v>
      </c>
      <c r="C228" s="41">
        <f t="shared" ca="1" si="22"/>
        <v>0</v>
      </c>
      <c r="D228" s="41">
        <f ca="1">IF(Energy!$N$3, C228, IF(C228 &gt; 0, MAX(Energy!W228- Energy!N228, 0) / (Energy!I228 + Energy!M228) *C228, 0))</f>
        <v>0</v>
      </c>
      <c r="E228" s="41" t="b">
        <f ca="1">IF(Main!$C$25="Solar", IF(Energy!W228-Energy!N228&gt;=0, TRUE, FALSE), TRUE)</f>
        <v>1</v>
      </c>
      <c r="F228" s="41">
        <f t="shared" ca="1" si="20"/>
        <v>0</v>
      </c>
      <c r="G228" s="6">
        <f ca="1">IF(A228&gt;=$B$7,IF(E228,IF(H227-$B$6/1000&gt;0,IF($B$6/1000&gt;$B$9*24*60*60,$B$9*24*60*60,$B$6/1000),H227),($B$6/1000)*(-Energy!W228+Energy!N228)/Energy!N228),0)</f>
        <v>0.219</v>
      </c>
      <c r="H228" s="6">
        <f t="shared" ca="1" si="23"/>
        <v>3.7702977643117164</v>
      </c>
      <c r="I228" t="str">
        <f t="shared" ca="1" si="21"/>
        <v>Yes</v>
      </c>
      <c r="N228" s="57">
        <v>41856</v>
      </c>
      <c r="O228" s="56">
        <v>0</v>
      </c>
      <c r="P228" s="59">
        <v>42221</v>
      </c>
      <c r="Q228" s="32">
        <v>0</v>
      </c>
      <c r="R228" s="59">
        <v>42221</v>
      </c>
      <c r="S228" s="19">
        <v>4.8</v>
      </c>
      <c r="T228" s="59">
        <v>41491</v>
      </c>
      <c r="U228" s="19">
        <v>0</v>
      </c>
    </row>
    <row r="229" spans="1:21" x14ac:dyDescent="0.75">
      <c r="A229" s="59">
        <f t="shared" si="18"/>
        <v>41492</v>
      </c>
      <c r="B229" s="19">
        <f t="shared" si="19"/>
        <v>0</v>
      </c>
      <c r="C229" s="41">
        <f t="shared" ca="1" si="22"/>
        <v>0</v>
      </c>
      <c r="D229" s="41">
        <f ca="1">IF(Energy!$N$3, C229, IF(C229 &gt; 0, MAX(Energy!W229- Energy!N229, 0) / (Energy!I229 + Energy!M229) *C229, 0))</f>
        <v>0</v>
      </c>
      <c r="E229" s="41" t="b">
        <f ca="1">IF(Main!$C$25="Solar", IF(Energy!W229-Energy!N229&gt;=0, TRUE, FALSE), TRUE)</f>
        <v>1</v>
      </c>
      <c r="F229" s="41">
        <f t="shared" ca="1" si="20"/>
        <v>0</v>
      </c>
      <c r="G229" s="6">
        <f ca="1">IF(A229&gt;=$B$7,IF(E229,IF(H228-$B$6/1000&gt;0,IF($B$6/1000&gt;$B$9*24*60*60,$B$9*24*60*60,$B$6/1000),H228),($B$6/1000)*(-Energy!W229+Energy!N229)/Energy!N229),0)</f>
        <v>0.219</v>
      </c>
      <c r="H229" s="6">
        <f t="shared" ca="1" si="23"/>
        <v>3.5512977643117165</v>
      </c>
      <c r="I229" t="str">
        <f t="shared" ca="1" si="21"/>
        <v>Yes</v>
      </c>
      <c r="N229" s="57">
        <v>41857</v>
      </c>
      <c r="O229" s="56">
        <v>0</v>
      </c>
      <c r="P229" s="59">
        <v>42222</v>
      </c>
      <c r="Q229" s="32">
        <v>3.2</v>
      </c>
      <c r="R229" s="59">
        <v>42222</v>
      </c>
      <c r="S229" s="19">
        <v>0</v>
      </c>
      <c r="T229" s="59">
        <v>41492</v>
      </c>
      <c r="U229" s="19">
        <v>0</v>
      </c>
    </row>
    <row r="230" spans="1:21" x14ac:dyDescent="0.75">
      <c r="A230" s="59">
        <f t="shared" si="18"/>
        <v>41493</v>
      </c>
      <c r="B230" s="19">
        <f t="shared" si="19"/>
        <v>0</v>
      </c>
      <c r="C230" s="41">
        <f t="shared" ca="1" si="22"/>
        <v>0</v>
      </c>
      <c r="D230" s="41">
        <f ca="1">IF(Energy!$N$3, C230, IF(C230 &gt; 0, MAX(Energy!W230- Energy!N230, 0) / (Energy!I230 + Energy!M230) *C230, 0))</f>
        <v>0</v>
      </c>
      <c r="E230" s="41" t="b">
        <f ca="1">IF(Main!$C$25="Solar", IF(Energy!W230-Energy!N230&gt;=0, TRUE, FALSE), TRUE)</f>
        <v>1</v>
      </c>
      <c r="F230" s="41">
        <f t="shared" ca="1" si="20"/>
        <v>0</v>
      </c>
      <c r="G230" s="6">
        <f ca="1">IF(A230&gt;=$B$7,IF(E230,IF(H229-$B$6/1000&gt;0,IF($B$6/1000&gt;$B$9*24*60*60,$B$9*24*60*60,$B$6/1000),H229),($B$6/1000)*(-Energy!W230+Energy!N230)/Energy!N230),0)</f>
        <v>0.219</v>
      </c>
      <c r="H230" s="6">
        <f t="shared" ca="1" si="23"/>
        <v>3.3322977643117166</v>
      </c>
      <c r="I230" t="str">
        <f t="shared" ca="1" si="21"/>
        <v>Yes</v>
      </c>
      <c r="N230" s="57">
        <v>41858</v>
      </c>
      <c r="O230" s="56">
        <v>0</v>
      </c>
      <c r="P230" s="59">
        <v>42223</v>
      </c>
      <c r="Q230" s="32">
        <v>14.6</v>
      </c>
      <c r="R230" s="59">
        <v>42223</v>
      </c>
      <c r="S230" s="19">
        <v>0.2</v>
      </c>
      <c r="T230" s="59">
        <v>41493</v>
      </c>
      <c r="U230" s="19">
        <v>0</v>
      </c>
    </row>
    <row r="231" spans="1:21" x14ac:dyDescent="0.75">
      <c r="A231" s="59">
        <f t="shared" si="18"/>
        <v>41494</v>
      </c>
      <c r="B231" s="19">
        <f t="shared" si="19"/>
        <v>0</v>
      </c>
      <c r="C231" s="41">
        <f t="shared" ca="1" si="22"/>
        <v>0</v>
      </c>
      <c r="D231" s="41">
        <f ca="1">IF(Energy!$N$3, C231, IF(C231 &gt; 0, MAX(Energy!W231- Energy!N231, 0) / (Energy!I231 + Energy!M231) *C231, 0))</f>
        <v>0</v>
      </c>
      <c r="E231" s="41" t="b">
        <f ca="1">IF(Main!$C$25="Solar", IF(Energy!W231-Energy!N231&gt;=0, TRUE, FALSE), TRUE)</f>
        <v>1</v>
      </c>
      <c r="F231" s="41">
        <f t="shared" ca="1" si="20"/>
        <v>0</v>
      </c>
      <c r="G231" s="6">
        <f ca="1">IF(A231&gt;=$B$7,IF(E231,IF(H230-$B$6/1000&gt;0,IF($B$6/1000&gt;$B$9*24*60*60,$B$9*24*60*60,$B$6/1000),H230),($B$6/1000)*(-Energy!W231+Energy!N231)/Energy!N231),0)</f>
        <v>0.219</v>
      </c>
      <c r="H231" s="6">
        <f t="shared" ca="1" si="23"/>
        <v>3.1132977643117168</v>
      </c>
      <c r="I231" t="str">
        <f t="shared" ca="1" si="21"/>
        <v>Yes</v>
      </c>
      <c r="N231" s="57">
        <v>41859</v>
      </c>
      <c r="O231" s="56">
        <v>0</v>
      </c>
      <c r="P231" s="59">
        <v>42224</v>
      </c>
      <c r="Q231" s="32">
        <v>24.4</v>
      </c>
      <c r="R231" s="59">
        <v>42224</v>
      </c>
      <c r="S231" s="19">
        <v>5</v>
      </c>
      <c r="T231" s="59">
        <v>41494</v>
      </c>
      <c r="U231" s="19">
        <v>0</v>
      </c>
    </row>
    <row r="232" spans="1:21" x14ac:dyDescent="0.75">
      <c r="A232" s="59">
        <f t="shared" si="18"/>
        <v>41495</v>
      </c>
      <c r="B232" s="19">
        <f t="shared" si="19"/>
        <v>0</v>
      </c>
      <c r="C232" s="41">
        <f t="shared" ca="1" si="22"/>
        <v>0</v>
      </c>
      <c r="D232" s="41">
        <f ca="1">IF(Energy!$N$3, C232, IF(C232 &gt; 0, MAX(Energy!W232- Energy!N232, 0) / (Energy!I232 + Energy!M232) *C232, 0))</f>
        <v>0</v>
      </c>
      <c r="E232" s="41" t="b">
        <f ca="1">IF(Main!$C$25="Solar", IF(Energy!W232-Energy!N232&gt;=0, TRUE, FALSE), TRUE)</f>
        <v>1</v>
      </c>
      <c r="F232" s="41">
        <f t="shared" ca="1" si="20"/>
        <v>0</v>
      </c>
      <c r="G232" s="6">
        <f ca="1">IF(A232&gt;=$B$7,IF(E232,IF(H231-$B$6/1000&gt;0,IF($B$6/1000&gt;$B$9*24*60*60,$B$9*24*60*60,$B$6/1000),H231),($B$6/1000)*(-Energy!W232+Energy!N232)/Energy!N232),0)</f>
        <v>0.219</v>
      </c>
      <c r="H232" s="6">
        <f t="shared" ca="1" si="23"/>
        <v>2.8942977643117169</v>
      </c>
      <c r="I232" t="str">
        <f t="shared" ca="1" si="21"/>
        <v>Yes</v>
      </c>
      <c r="N232" s="57">
        <v>41860</v>
      </c>
      <c r="O232" s="56">
        <v>0</v>
      </c>
      <c r="P232" s="59">
        <v>42225</v>
      </c>
      <c r="Q232" s="32">
        <v>1.8</v>
      </c>
      <c r="R232" s="59">
        <v>42225</v>
      </c>
      <c r="S232" s="19">
        <v>1</v>
      </c>
      <c r="T232" s="59">
        <v>41495</v>
      </c>
      <c r="U232" s="19">
        <v>0</v>
      </c>
    </row>
    <row r="233" spans="1:21" x14ac:dyDescent="0.75">
      <c r="A233" s="59">
        <f t="shared" si="18"/>
        <v>41496</v>
      </c>
      <c r="B233" s="19">
        <f t="shared" si="19"/>
        <v>0</v>
      </c>
      <c r="C233" s="41">
        <f t="shared" ca="1" si="22"/>
        <v>0</v>
      </c>
      <c r="D233" s="41">
        <f ca="1">IF(Energy!$N$3, C233, IF(C233 &gt; 0, MAX(Energy!W233- Energy!N233, 0) / (Energy!I233 + Energy!M233) *C233, 0))</f>
        <v>0</v>
      </c>
      <c r="E233" s="41" t="b">
        <f ca="1">IF(Main!$C$25="Solar", IF(Energy!W233-Energy!N233&gt;=0, TRUE, FALSE), TRUE)</f>
        <v>1</v>
      </c>
      <c r="F233" s="41">
        <f t="shared" ca="1" si="20"/>
        <v>0</v>
      </c>
      <c r="G233" s="6">
        <f ca="1">IF(A233&gt;=$B$7,IF(E233,IF(H232-$B$6/1000&gt;0,IF($B$6/1000&gt;$B$9*24*60*60,$B$9*24*60*60,$B$6/1000),H232),($B$6/1000)*(-Energy!W233+Energy!N233)/Energy!N233),0)</f>
        <v>0.219</v>
      </c>
      <c r="H233" s="6">
        <f t="shared" ca="1" si="23"/>
        <v>2.6752977643117171</v>
      </c>
      <c r="I233" t="str">
        <f t="shared" ca="1" si="21"/>
        <v>Yes</v>
      </c>
      <c r="N233" s="57">
        <v>41861</v>
      </c>
      <c r="O233" s="56">
        <v>0</v>
      </c>
      <c r="P233" s="59">
        <v>42226</v>
      </c>
      <c r="Q233" s="32">
        <v>0</v>
      </c>
      <c r="R233" s="59">
        <v>42226</v>
      </c>
      <c r="S233" s="19">
        <v>0</v>
      </c>
      <c r="T233" s="59">
        <v>41496</v>
      </c>
      <c r="U233" s="19">
        <v>0</v>
      </c>
    </row>
    <row r="234" spans="1:21" x14ac:dyDescent="0.75">
      <c r="A234" s="59">
        <f t="shared" si="18"/>
        <v>41497</v>
      </c>
      <c r="B234" s="19">
        <f t="shared" si="19"/>
        <v>0.4</v>
      </c>
      <c r="C234" s="41">
        <f t="shared" ca="1" si="22"/>
        <v>0.04</v>
      </c>
      <c r="D234" s="41">
        <f ca="1">IF(Energy!$N$3, C234, IF(C234 &gt; 0, MAX(Energy!W234- Energy!N234, 0) / (Energy!I234 + Energy!M234) *C234, 0))</f>
        <v>4.0000000000000029E-2</v>
      </c>
      <c r="E234" s="41" t="b">
        <f ca="1">IF(Main!$C$25="Solar", IF(Energy!W234-Energy!N234&gt;=0, TRUE, FALSE), TRUE)</f>
        <v>1</v>
      </c>
      <c r="F234" s="41">
        <f t="shared" ca="1" si="20"/>
        <v>2.2227102269691001E-2</v>
      </c>
      <c r="G234" s="6">
        <f ca="1">IF(A234&gt;=$B$7,IF(E234,IF(H233-$B$6/1000&gt;0,IF($B$6/1000&gt;$B$9*24*60*60,$B$9*24*60*60,$B$6/1000),H233),($B$6/1000)*(-Energy!W234+Energy!N234)/Energy!N234),0)</f>
        <v>0.219</v>
      </c>
      <c r="H234" s="6">
        <f t="shared" ca="1" si="23"/>
        <v>2.4962977643117172</v>
      </c>
      <c r="I234" t="str">
        <f t="shared" ca="1" si="21"/>
        <v>Yes</v>
      </c>
      <c r="N234" s="57">
        <v>41862</v>
      </c>
      <c r="O234" s="56">
        <v>0</v>
      </c>
      <c r="P234" s="59">
        <v>42227</v>
      </c>
      <c r="Q234" s="32">
        <v>0</v>
      </c>
      <c r="R234" s="59">
        <v>42227</v>
      </c>
      <c r="S234" s="19">
        <v>0</v>
      </c>
      <c r="T234" s="59">
        <v>41497</v>
      </c>
      <c r="U234" s="19">
        <v>0.4</v>
      </c>
    </row>
    <row r="235" spans="1:21" x14ac:dyDescent="0.75">
      <c r="A235" s="59">
        <f t="shared" si="18"/>
        <v>41498</v>
      </c>
      <c r="B235" s="19">
        <f t="shared" si="19"/>
        <v>4.4000000000000004</v>
      </c>
      <c r="C235" s="41">
        <f t="shared" ca="1" si="22"/>
        <v>0.44000000000000006</v>
      </c>
      <c r="D235" s="41">
        <f ca="1">IF(Energy!$N$3, C235, IF(C235 &gt; 0, MAX(Energy!W235- Energy!N235, 0) / (Energy!I235 + Energy!M235) *C235, 0))</f>
        <v>0.44000000000000006</v>
      </c>
      <c r="E235" s="41" t="b">
        <f ca="1">IF(Main!$C$25="Solar", IF(Energy!W235-Energy!N235&gt;=0, TRUE, FALSE), TRUE)</f>
        <v>1</v>
      </c>
      <c r="F235" s="41">
        <f t="shared" ca="1" si="20"/>
        <v>0.24449812496660087</v>
      </c>
      <c r="G235" s="6">
        <f ca="1">IF(A235&gt;=$B$7,IF(E235,IF(H234-$B$6/1000&gt;0,IF($B$6/1000&gt;$B$9*24*60*60,$B$9*24*60*60,$B$6/1000),H234),($B$6/1000)*(-Energy!W235+Energy!N235)/Energy!N235),0)</f>
        <v>0.219</v>
      </c>
      <c r="H235" s="6">
        <f t="shared" ca="1" si="23"/>
        <v>2.7172977643117173</v>
      </c>
      <c r="I235" t="str">
        <f t="shared" ca="1" si="21"/>
        <v>Yes</v>
      </c>
      <c r="N235" s="57">
        <v>41863</v>
      </c>
      <c r="O235" s="56">
        <v>0</v>
      </c>
      <c r="P235" s="59">
        <v>42228</v>
      </c>
      <c r="Q235" s="32">
        <v>0</v>
      </c>
      <c r="R235" s="59">
        <v>42228</v>
      </c>
      <c r="S235" s="19">
        <v>0</v>
      </c>
      <c r="T235" s="59">
        <v>41498</v>
      </c>
      <c r="U235" s="19">
        <v>4.4000000000000004</v>
      </c>
    </row>
    <row r="236" spans="1:21" x14ac:dyDescent="0.75">
      <c r="A236" s="59">
        <f t="shared" si="18"/>
        <v>41499</v>
      </c>
      <c r="B236" s="19">
        <f t="shared" si="19"/>
        <v>1</v>
      </c>
      <c r="C236" s="41">
        <f t="shared" ca="1" si="22"/>
        <v>0.1</v>
      </c>
      <c r="D236" s="41">
        <f ca="1">IF(Energy!$N$3, C236, IF(C236 &gt; 0, MAX(Energy!W236- Energy!N236, 0) / (Energy!I236 + Energy!M236) *C236, 0))</f>
        <v>9.9999999999999978E-2</v>
      </c>
      <c r="E236" s="41" t="b">
        <f ca="1">IF(Main!$C$25="Solar", IF(Energy!W236-Energy!N236&gt;=0, TRUE, FALSE), TRUE)</f>
        <v>1</v>
      </c>
      <c r="F236" s="41">
        <f t="shared" ca="1" si="20"/>
        <v>5.5567755674227455E-2</v>
      </c>
      <c r="G236" s="6">
        <f ca="1">IF(A236&gt;=$B$7,IF(E236,IF(H235-$B$6/1000&gt;0,IF($B$6/1000&gt;$B$9*24*60*60,$B$9*24*60*60,$B$6/1000),H235),($B$6/1000)*(-Energy!W236+Energy!N236)/Energy!N236),0)</f>
        <v>0.219</v>
      </c>
      <c r="H236" s="6">
        <f t="shared" ca="1" si="23"/>
        <v>2.5982977643117176</v>
      </c>
      <c r="I236" t="str">
        <f t="shared" ca="1" si="21"/>
        <v>Yes</v>
      </c>
      <c r="N236" s="57">
        <v>41864</v>
      </c>
      <c r="O236" s="56">
        <v>0</v>
      </c>
      <c r="P236" s="59">
        <v>42229</v>
      </c>
      <c r="Q236" s="32">
        <v>0</v>
      </c>
      <c r="R236" s="59">
        <v>42229</v>
      </c>
      <c r="S236" s="19">
        <v>0</v>
      </c>
      <c r="T236" s="59">
        <v>41499</v>
      </c>
      <c r="U236" s="19">
        <v>1</v>
      </c>
    </row>
    <row r="237" spans="1:21" x14ac:dyDescent="0.75">
      <c r="A237" s="59">
        <f t="shared" si="18"/>
        <v>41500</v>
      </c>
      <c r="B237" s="19">
        <f t="shared" si="19"/>
        <v>0.4</v>
      </c>
      <c r="C237" s="41">
        <f t="shared" ca="1" si="22"/>
        <v>0.04</v>
      </c>
      <c r="D237" s="41">
        <f ca="1">IF(Energy!$N$3, C237, IF(C237 &gt; 0, MAX(Energy!W237- Energy!N237, 0) / (Energy!I237 + Energy!M237) *C237, 0))</f>
        <v>4.0000000000000029E-2</v>
      </c>
      <c r="E237" s="41" t="b">
        <f ca="1">IF(Main!$C$25="Solar", IF(Energy!W237-Energy!N237&gt;=0, TRUE, FALSE), TRUE)</f>
        <v>1</v>
      </c>
      <c r="F237" s="41">
        <f t="shared" ca="1" si="20"/>
        <v>2.2227102269691001E-2</v>
      </c>
      <c r="G237" s="6">
        <f ca="1">IF(A237&gt;=$B$7,IF(E237,IF(H236-$B$6/1000&gt;0,IF($B$6/1000&gt;$B$9*24*60*60,$B$9*24*60*60,$B$6/1000),H236),($B$6/1000)*(-Energy!W237+Energy!N237)/Energy!N237),0)</f>
        <v>0.219</v>
      </c>
      <c r="H237" s="6">
        <f t="shared" ca="1" si="23"/>
        <v>2.4192977643117177</v>
      </c>
      <c r="I237" t="str">
        <f t="shared" ca="1" si="21"/>
        <v>Yes</v>
      </c>
      <c r="N237" s="57">
        <v>41865</v>
      </c>
      <c r="O237" s="56">
        <v>0</v>
      </c>
      <c r="P237" s="59">
        <v>42230</v>
      </c>
      <c r="Q237" s="32">
        <v>0</v>
      </c>
      <c r="R237" s="59">
        <v>42230</v>
      </c>
      <c r="S237" s="19">
        <v>9.8000000000000007</v>
      </c>
      <c r="T237" s="59">
        <v>41500</v>
      </c>
      <c r="U237" s="19">
        <v>0.4</v>
      </c>
    </row>
    <row r="238" spans="1:21" x14ac:dyDescent="0.75">
      <c r="A238" s="59">
        <f t="shared" si="18"/>
        <v>41501</v>
      </c>
      <c r="B238" s="19">
        <f t="shared" si="19"/>
        <v>8.4</v>
      </c>
      <c r="C238" s="41">
        <f t="shared" ca="1" si="22"/>
        <v>0.84</v>
      </c>
      <c r="D238" s="41">
        <f ca="1">IF(Energy!$N$3, C238, IF(C238 &gt; 0, MAX(Energy!W238- Energy!N238, 0) / (Energy!I238 + Energy!M238) *C238, 0))</f>
        <v>0.84</v>
      </c>
      <c r="E238" s="41" t="b">
        <f ca="1">IF(Main!$C$25="Solar", IF(Energy!W238-Energy!N238&gt;=0, TRUE, FALSE), TRUE)</f>
        <v>1</v>
      </c>
      <c r="F238" s="41">
        <f t="shared" ca="1" si="20"/>
        <v>0.46676914766351069</v>
      </c>
      <c r="G238" s="6">
        <f ca="1">IF(A238&gt;=$B$7,IF(E238,IF(H237-$B$6/1000&gt;0,IF($B$6/1000&gt;$B$9*24*60*60,$B$9*24*60*60,$B$6/1000),H237),($B$6/1000)*(-Energy!W238+Energy!N238)/Energy!N238),0)</f>
        <v>0.219</v>
      </c>
      <c r="H238" s="6">
        <f t="shared" ca="1" si="23"/>
        <v>3.0402977643117177</v>
      </c>
      <c r="I238" t="str">
        <f t="shared" ca="1" si="21"/>
        <v>Yes</v>
      </c>
      <c r="N238" s="57">
        <v>41866</v>
      </c>
      <c r="O238" s="56">
        <v>0</v>
      </c>
      <c r="P238" s="59">
        <v>42231</v>
      </c>
      <c r="Q238" s="32">
        <v>0</v>
      </c>
      <c r="R238" s="59">
        <v>42231</v>
      </c>
      <c r="S238" s="19">
        <v>3</v>
      </c>
      <c r="T238" s="59">
        <v>41501</v>
      </c>
      <c r="U238" s="19">
        <v>8.4</v>
      </c>
    </row>
    <row r="239" spans="1:21" x14ac:dyDescent="0.75">
      <c r="A239" s="59">
        <f t="shared" si="18"/>
        <v>41502</v>
      </c>
      <c r="B239" s="19">
        <f t="shared" si="19"/>
        <v>4.4000000000000004</v>
      </c>
      <c r="C239" s="41">
        <f t="shared" ca="1" si="22"/>
        <v>0.44000000000000006</v>
      </c>
      <c r="D239" s="41">
        <f ca="1">IF(Energy!$N$3, C239, IF(C239 &gt; 0, MAX(Energy!W239- Energy!N239, 0) / (Energy!I239 + Energy!M239) *C239, 0))</f>
        <v>0.44000000000000006</v>
      </c>
      <c r="E239" s="41" t="b">
        <f ca="1">IF(Main!$C$25="Solar", IF(Energy!W239-Energy!N239&gt;=0, TRUE, FALSE), TRUE)</f>
        <v>1</v>
      </c>
      <c r="F239" s="41">
        <f t="shared" ca="1" si="20"/>
        <v>0.24449812496660087</v>
      </c>
      <c r="G239" s="6">
        <f ca="1">IF(A239&gt;=$B$7,IF(E239,IF(H238-$B$6/1000&gt;0,IF($B$6/1000&gt;$B$9*24*60*60,$B$9*24*60*60,$B$6/1000),H238),($B$6/1000)*(-Energy!W239+Energy!N239)/Energy!N239),0)</f>
        <v>0.219</v>
      </c>
      <c r="H239" s="6">
        <f t="shared" ca="1" si="23"/>
        <v>3.2612977643117178</v>
      </c>
      <c r="I239" t="str">
        <f t="shared" ca="1" si="21"/>
        <v>Yes</v>
      </c>
      <c r="N239" s="57">
        <v>41867</v>
      </c>
      <c r="O239" s="56">
        <v>0</v>
      </c>
      <c r="P239" s="59">
        <v>42232</v>
      </c>
      <c r="Q239" s="32">
        <v>0</v>
      </c>
      <c r="R239" s="59">
        <v>42232</v>
      </c>
      <c r="S239" s="19">
        <v>0</v>
      </c>
      <c r="T239" s="59">
        <v>41502</v>
      </c>
      <c r="U239" s="19">
        <v>4.4000000000000004</v>
      </c>
    </row>
    <row r="240" spans="1:21" x14ac:dyDescent="0.75">
      <c r="A240" s="59">
        <f t="shared" si="18"/>
        <v>41503</v>
      </c>
      <c r="B240" s="19">
        <f t="shared" si="19"/>
        <v>4.4000000000000004</v>
      </c>
      <c r="C240" s="41">
        <f t="shared" ca="1" si="22"/>
        <v>0.44000000000000006</v>
      </c>
      <c r="D240" s="41">
        <f ca="1">IF(Energy!$N$3, C240, IF(C240 &gt; 0, MAX(Energy!W240- Energy!N240, 0) / (Energy!I240 + Energy!M240) *C240, 0))</f>
        <v>0.44000000000000006</v>
      </c>
      <c r="E240" s="41" t="b">
        <f ca="1">IF(Main!$C$25="Solar", IF(Energy!W240-Energy!N240&gt;=0, TRUE, FALSE), TRUE)</f>
        <v>1</v>
      </c>
      <c r="F240" s="41">
        <f t="shared" ca="1" si="20"/>
        <v>0.24449812496660087</v>
      </c>
      <c r="G240" s="6">
        <f ca="1">IF(A240&gt;=$B$7,IF(E240,IF(H239-$B$6/1000&gt;0,IF($B$6/1000&gt;$B$9*24*60*60,$B$9*24*60*60,$B$6/1000),H239),($B$6/1000)*(-Energy!W240+Energy!N240)/Energy!N240),0)</f>
        <v>0.219</v>
      </c>
      <c r="H240" s="6">
        <f t="shared" ca="1" si="23"/>
        <v>3.4822977643117179</v>
      </c>
      <c r="I240" t="str">
        <f t="shared" ca="1" si="21"/>
        <v>Yes</v>
      </c>
      <c r="N240" s="57">
        <v>41868</v>
      </c>
      <c r="O240" s="56">
        <v>0</v>
      </c>
      <c r="P240" s="59">
        <v>42233</v>
      </c>
      <c r="Q240" s="32">
        <v>0</v>
      </c>
      <c r="R240" s="59">
        <v>42233</v>
      </c>
      <c r="S240" s="19">
        <v>0</v>
      </c>
      <c r="T240" s="59">
        <v>41503</v>
      </c>
      <c r="U240" s="19">
        <v>4.4000000000000004</v>
      </c>
    </row>
    <row r="241" spans="1:21" x14ac:dyDescent="0.75">
      <c r="A241" s="59">
        <f t="shared" si="18"/>
        <v>41504</v>
      </c>
      <c r="B241" s="19">
        <f t="shared" si="19"/>
        <v>14.8</v>
      </c>
      <c r="C241" s="41">
        <f t="shared" ca="1" si="22"/>
        <v>1.48</v>
      </c>
      <c r="D241" s="41">
        <f ca="1">IF(Energy!$N$3, C241, IF(C241 &gt; 0, MAX(Energy!W241- Energy!N241, 0) / (Energy!I241 + Energy!M241) *C241, 0))</f>
        <v>1.48</v>
      </c>
      <c r="E241" s="41" t="b">
        <f ca="1">IF(Main!$C$25="Solar", IF(Energy!W241-Energy!N241&gt;=0, TRUE, FALSE), TRUE)</f>
        <v>1</v>
      </c>
      <c r="F241" s="41">
        <f t="shared" ca="1" si="20"/>
        <v>0.82240278397856648</v>
      </c>
      <c r="G241" s="6">
        <f ca="1">IF(A241&gt;=$B$7,IF(E241,IF(H240-$B$6/1000&gt;0,IF($B$6/1000&gt;$B$9*24*60*60,$B$9*24*60*60,$B$6/1000),H240),($B$6/1000)*(-Energy!W241+Energy!N241)/Energy!N241),0)</f>
        <v>0.219</v>
      </c>
      <c r="H241" s="6">
        <f t="shared" ca="1" si="23"/>
        <v>4.7432977643117171</v>
      </c>
      <c r="I241" t="str">
        <f t="shared" ca="1" si="21"/>
        <v>Yes</v>
      </c>
      <c r="N241" s="57">
        <v>41869</v>
      </c>
      <c r="O241" s="56">
        <v>0</v>
      </c>
      <c r="P241" s="59">
        <v>42234</v>
      </c>
      <c r="Q241" s="32">
        <v>0</v>
      </c>
      <c r="R241" s="59">
        <v>42234</v>
      </c>
      <c r="S241" s="19">
        <v>0</v>
      </c>
      <c r="T241" s="59">
        <v>41504</v>
      </c>
      <c r="U241" s="19">
        <v>14.8</v>
      </c>
    </row>
    <row r="242" spans="1:21" x14ac:dyDescent="0.75">
      <c r="A242" s="59">
        <f t="shared" si="18"/>
        <v>41505</v>
      </c>
      <c r="B242" s="19">
        <f t="shared" si="19"/>
        <v>5.6</v>
      </c>
      <c r="C242" s="41">
        <f t="shared" ca="1" si="22"/>
        <v>0.56000000000000005</v>
      </c>
      <c r="D242" s="41">
        <f ca="1">IF(Energy!$N$3, C242, IF(C242 &gt; 0, MAX(Energy!W242- Energy!N242, 0) / (Energy!I242 + Energy!M242) *C242, 0))</f>
        <v>0.55999999999999994</v>
      </c>
      <c r="E242" s="41" t="b">
        <f ca="1">IF(Main!$C$25="Solar", IF(Energy!W242-Energy!N242&gt;=0, TRUE, FALSE), TRUE)</f>
        <v>1</v>
      </c>
      <c r="F242" s="41">
        <f t="shared" ca="1" si="20"/>
        <v>0.31117943177567375</v>
      </c>
      <c r="G242" s="6">
        <f ca="1">IF(A242&gt;=$B$7,IF(E242,IF(H241-$B$6/1000&gt;0,IF($B$6/1000&gt;$B$9*24*60*60,$B$9*24*60*60,$B$6/1000),H241),($B$6/1000)*(-Energy!W242+Energy!N242)/Energy!N242),0)</f>
        <v>0.219</v>
      </c>
      <c r="H242" s="6">
        <f t="shared" ca="1" si="23"/>
        <v>5.0842977643117164</v>
      </c>
      <c r="I242" t="str">
        <f t="shared" ca="1" si="21"/>
        <v>Yes</v>
      </c>
      <c r="N242" s="57">
        <v>41870</v>
      </c>
      <c r="O242" s="56">
        <v>0</v>
      </c>
      <c r="P242" s="59">
        <v>42235</v>
      </c>
      <c r="Q242" s="32">
        <v>0</v>
      </c>
      <c r="R242" s="59">
        <v>42235</v>
      </c>
      <c r="S242" s="19">
        <v>0</v>
      </c>
      <c r="T242" s="59">
        <v>41505</v>
      </c>
      <c r="U242" s="19">
        <v>5.6</v>
      </c>
    </row>
    <row r="243" spans="1:21" x14ac:dyDescent="0.75">
      <c r="A243" s="59">
        <f t="shared" si="18"/>
        <v>41506</v>
      </c>
      <c r="B243" s="19">
        <f t="shared" si="19"/>
        <v>1.2</v>
      </c>
      <c r="C243" s="41">
        <f t="shared" ca="1" si="22"/>
        <v>0.12</v>
      </c>
      <c r="D243" s="41">
        <f ca="1">IF(Energy!$N$3, C243, IF(C243 &gt; 0, MAX(Energy!W243- Energy!N243, 0) / (Energy!I243 + Energy!M243) *C243, 0))</f>
        <v>0.12</v>
      </c>
      <c r="E243" s="41" t="b">
        <f ca="1">IF(Main!$C$25="Solar", IF(Energy!W243-Energy!N243&gt;=0, TRUE, FALSE), TRUE)</f>
        <v>1</v>
      </c>
      <c r="F243" s="41">
        <f t="shared" ca="1" si="20"/>
        <v>6.6681306809072957E-2</v>
      </c>
      <c r="G243" s="6">
        <f ca="1">IF(A243&gt;=$B$7,IF(E243,IF(H242-$B$6/1000&gt;0,IF($B$6/1000&gt;$B$9*24*60*60,$B$9*24*60*60,$B$6/1000),H242),($B$6/1000)*(-Energy!W243+Energy!N243)/Energy!N243),0)</f>
        <v>0.219</v>
      </c>
      <c r="H243" s="6">
        <f t="shared" ca="1" si="23"/>
        <v>4.9852977643117162</v>
      </c>
      <c r="I243" t="str">
        <f t="shared" ca="1" si="21"/>
        <v>Yes</v>
      </c>
      <c r="N243" s="57">
        <v>41871</v>
      </c>
      <c r="O243" s="56">
        <v>0</v>
      </c>
      <c r="P243" s="59">
        <v>42236</v>
      </c>
      <c r="Q243" s="32">
        <v>0</v>
      </c>
      <c r="R243" s="59">
        <v>42236</v>
      </c>
      <c r="S243" s="19">
        <v>0</v>
      </c>
      <c r="T243" s="59">
        <v>41506</v>
      </c>
      <c r="U243" s="19">
        <v>1.2</v>
      </c>
    </row>
    <row r="244" spans="1:21" x14ac:dyDescent="0.75">
      <c r="A244" s="59">
        <f t="shared" si="18"/>
        <v>41507</v>
      </c>
      <c r="B244" s="19">
        <f t="shared" si="19"/>
        <v>0.4</v>
      </c>
      <c r="C244" s="41">
        <f t="shared" ca="1" si="22"/>
        <v>0.04</v>
      </c>
      <c r="D244" s="41">
        <f ca="1">IF(Energy!$N$3, C244, IF(C244 &gt; 0, MAX(Energy!W244- Energy!N244, 0) / (Energy!I244 + Energy!M244) *C244, 0))</f>
        <v>4.0000000000000029E-2</v>
      </c>
      <c r="E244" s="41" t="b">
        <f ca="1">IF(Main!$C$25="Solar", IF(Energy!W244-Energy!N244&gt;=0, TRUE, FALSE), TRUE)</f>
        <v>1</v>
      </c>
      <c r="F244" s="41">
        <f t="shared" ca="1" si="20"/>
        <v>2.2227102269691001E-2</v>
      </c>
      <c r="G244" s="6">
        <f ca="1">IF(A244&gt;=$B$7,IF(E244,IF(H243-$B$6/1000&gt;0,IF($B$6/1000&gt;$B$9*24*60*60,$B$9*24*60*60,$B$6/1000),H243),($B$6/1000)*(-Energy!W244+Energy!N244)/Energy!N244),0)</f>
        <v>0.219</v>
      </c>
      <c r="H244" s="6">
        <f t="shared" ca="1" si="23"/>
        <v>4.806297764311716</v>
      </c>
      <c r="I244" t="str">
        <f t="shared" ca="1" si="21"/>
        <v>Yes</v>
      </c>
      <c r="N244" s="57">
        <v>41872</v>
      </c>
      <c r="O244" s="56">
        <v>0</v>
      </c>
      <c r="P244" s="59">
        <v>42237</v>
      </c>
      <c r="Q244" s="32">
        <v>0</v>
      </c>
      <c r="R244" s="59">
        <v>42237</v>
      </c>
      <c r="S244" s="19">
        <v>0</v>
      </c>
      <c r="T244" s="59">
        <v>41507</v>
      </c>
      <c r="U244" s="19">
        <v>0.4</v>
      </c>
    </row>
    <row r="245" spans="1:21" x14ac:dyDescent="0.75">
      <c r="A245" s="59">
        <f t="shared" si="18"/>
        <v>41508</v>
      </c>
      <c r="B245" s="19">
        <f t="shared" si="19"/>
        <v>0.6</v>
      </c>
      <c r="C245" s="41">
        <f t="shared" ca="1" si="22"/>
        <v>0.06</v>
      </c>
      <c r="D245" s="41">
        <f ca="1">IF(Energy!$N$3, C245, IF(C245 &gt; 0, MAX(Energy!W245- Energy!N245, 0) / (Energy!I245 + Energy!M245) *C245, 0))</f>
        <v>5.9999999999999956E-2</v>
      </c>
      <c r="E245" s="41" t="b">
        <f ca="1">IF(Main!$C$25="Solar", IF(Energy!W245-Energy!N245&gt;=0, TRUE, FALSE), TRUE)</f>
        <v>1</v>
      </c>
      <c r="F245" s="41">
        <f t="shared" ca="1" si="20"/>
        <v>3.3340653404536458E-2</v>
      </c>
      <c r="G245" s="6">
        <f ca="1">IF(A245&gt;=$B$7,IF(E245,IF(H244-$B$6/1000&gt;0,IF($B$6/1000&gt;$B$9*24*60*60,$B$9*24*60*60,$B$6/1000),H244),($B$6/1000)*(-Energy!W245+Energy!N245)/Energy!N245),0)</f>
        <v>0.219</v>
      </c>
      <c r="H245" s="6">
        <f t="shared" ca="1" si="23"/>
        <v>4.6472977643117153</v>
      </c>
      <c r="I245" t="str">
        <f t="shared" ca="1" si="21"/>
        <v>Yes</v>
      </c>
      <c r="N245" s="57">
        <v>41873</v>
      </c>
      <c r="O245" s="56">
        <v>0</v>
      </c>
      <c r="P245" s="59">
        <v>42238</v>
      </c>
      <c r="Q245" s="32">
        <v>0</v>
      </c>
      <c r="R245" s="59">
        <v>42238</v>
      </c>
      <c r="S245" s="19">
        <v>0</v>
      </c>
      <c r="T245" s="59">
        <v>41508</v>
      </c>
      <c r="U245" s="19">
        <v>0.6</v>
      </c>
    </row>
    <row r="246" spans="1:21" x14ac:dyDescent="0.75">
      <c r="A246" s="59">
        <f t="shared" si="18"/>
        <v>41509</v>
      </c>
      <c r="B246" s="19">
        <f t="shared" si="19"/>
        <v>5.2</v>
      </c>
      <c r="C246" s="41">
        <f t="shared" ca="1" si="22"/>
        <v>0.52</v>
      </c>
      <c r="D246" s="41">
        <f ca="1">IF(Energy!$N$3, C246, IF(C246 &gt; 0, MAX(Energy!W246- Energy!N246, 0) / (Energy!I246 + Energy!M246) *C246, 0))</f>
        <v>0.51999999999999991</v>
      </c>
      <c r="E246" s="41" t="b">
        <f ca="1">IF(Main!$C$25="Solar", IF(Energy!W246-Energy!N246&gt;=0, TRUE, FALSE), TRUE)</f>
        <v>1</v>
      </c>
      <c r="F246" s="41">
        <f t="shared" ca="1" si="20"/>
        <v>0.28895232950598276</v>
      </c>
      <c r="G246" s="6">
        <f ca="1">IF(A246&gt;=$B$7,IF(E246,IF(H245-$B$6/1000&gt;0,IF($B$6/1000&gt;$B$9*24*60*60,$B$9*24*60*60,$B$6/1000),H245),($B$6/1000)*(-Energy!W246+Energy!N246)/Energy!N246),0)</f>
        <v>0.219</v>
      </c>
      <c r="H246" s="6">
        <f t="shared" ca="1" si="23"/>
        <v>4.9482977643117145</v>
      </c>
      <c r="I246" t="str">
        <f t="shared" ca="1" si="21"/>
        <v>Yes</v>
      </c>
      <c r="N246" s="57">
        <v>41874</v>
      </c>
      <c r="O246" s="56">
        <v>0</v>
      </c>
      <c r="P246" s="59">
        <v>42239</v>
      </c>
      <c r="Q246" s="32">
        <v>0</v>
      </c>
      <c r="R246" s="59">
        <v>42239</v>
      </c>
      <c r="S246" s="19">
        <v>0</v>
      </c>
      <c r="T246" s="59">
        <v>41509</v>
      </c>
      <c r="U246" s="19">
        <v>5.2</v>
      </c>
    </row>
    <row r="247" spans="1:21" x14ac:dyDescent="0.75">
      <c r="A247" s="59">
        <f t="shared" si="18"/>
        <v>41510</v>
      </c>
      <c r="B247" s="19">
        <f t="shared" si="19"/>
        <v>1.4</v>
      </c>
      <c r="C247" s="41">
        <f t="shared" ca="1" si="22"/>
        <v>0.14000000000000001</v>
      </c>
      <c r="D247" s="41">
        <f ca="1">IF(Energy!$N$3, C247, IF(C247 &gt; 0, MAX(Energy!W247- Energy!N247, 0) / (Energy!I247 + Energy!M247) *C247, 0))</f>
        <v>0.13999999999999999</v>
      </c>
      <c r="E247" s="41" t="b">
        <f ca="1">IF(Main!$C$25="Solar", IF(Energy!W247-Energy!N247&gt;=0, TRUE, FALSE), TRUE)</f>
        <v>1</v>
      </c>
      <c r="F247" s="41">
        <f t="shared" ca="1" si="20"/>
        <v>7.7794857943918438E-2</v>
      </c>
      <c r="G247" s="6">
        <f ca="1">IF(A247&gt;=$B$7,IF(E247,IF(H246-$B$6/1000&gt;0,IF($B$6/1000&gt;$B$9*24*60*60,$B$9*24*60*60,$B$6/1000),H246),($B$6/1000)*(-Energy!W247+Energy!N247)/Energy!N247),0)</f>
        <v>0.219</v>
      </c>
      <c r="H247" s="6">
        <f t="shared" ca="1" si="23"/>
        <v>4.8692977643117139</v>
      </c>
      <c r="I247" t="str">
        <f t="shared" ca="1" si="21"/>
        <v>Yes</v>
      </c>
      <c r="N247" s="57">
        <v>41875</v>
      </c>
      <c r="O247" s="56">
        <v>0</v>
      </c>
      <c r="P247" s="59">
        <v>42240</v>
      </c>
      <c r="Q247" s="32">
        <v>0</v>
      </c>
      <c r="R247" s="59">
        <v>42240</v>
      </c>
      <c r="S247" s="19">
        <v>0</v>
      </c>
      <c r="T247" s="59">
        <v>41510</v>
      </c>
      <c r="U247" s="19">
        <v>1.4</v>
      </c>
    </row>
    <row r="248" spans="1:21" x14ac:dyDescent="0.75">
      <c r="A248" s="59">
        <f t="shared" si="18"/>
        <v>41511</v>
      </c>
      <c r="B248" s="19">
        <f t="shared" si="19"/>
        <v>0</v>
      </c>
      <c r="C248" s="41">
        <f t="shared" ca="1" si="22"/>
        <v>0</v>
      </c>
      <c r="D248" s="41">
        <f ca="1">IF(Energy!$N$3, C248, IF(C248 &gt; 0, MAX(Energy!W248- Energy!N248, 0) / (Energy!I248 + Energy!M248) *C248, 0))</f>
        <v>0</v>
      </c>
      <c r="E248" s="41" t="b">
        <f ca="1">IF(Main!$C$25="Solar", IF(Energy!W248-Energy!N248&gt;=0, TRUE, FALSE), TRUE)</f>
        <v>1</v>
      </c>
      <c r="F248" s="41">
        <f t="shared" ca="1" si="20"/>
        <v>0</v>
      </c>
      <c r="G248" s="6">
        <f ca="1">IF(A248&gt;=$B$7,IF(E248,IF(H247-$B$6/1000&gt;0,IF($B$6/1000&gt;$B$9*24*60*60,$B$9*24*60*60,$B$6/1000),H247),($B$6/1000)*(-Energy!W248+Energy!N248)/Energy!N248),0)</f>
        <v>0.219</v>
      </c>
      <c r="H248" s="6">
        <f t="shared" ca="1" si="23"/>
        <v>4.6502977643117136</v>
      </c>
      <c r="I248" t="str">
        <f t="shared" ca="1" si="21"/>
        <v>Yes</v>
      </c>
      <c r="N248" s="57">
        <v>41876</v>
      </c>
      <c r="O248" s="56">
        <v>0</v>
      </c>
      <c r="P248" s="59">
        <v>42241</v>
      </c>
      <c r="Q248" s="32">
        <v>0</v>
      </c>
      <c r="R248" s="59">
        <v>42241</v>
      </c>
      <c r="S248" s="19">
        <v>0</v>
      </c>
      <c r="T248" s="59">
        <v>41511</v>
      </c>
      <c r="U248" s="19">
        <v>0</v>
      </c>
    </row>
    <row r="249" spans="1:21" x14ac:dyDescent="0.75">
      <c r="A249" s="59">
        <f t="shared" si="18"/>
        <v>41512</v>
      </c>
      <c r="B249" s="19">
        <f t="shared" si="19"/>
        <v>0</v>
      </c>
      <c r="C249" s="41">
        <f t="shared" ca="1" si="22"/>
        <v>0</v>
      </c>
      <c r="D249" s="41">
        <f ca="1">IF(Energy!$N$3, C249, IF(C249 &gt; 0, MAX(Energy!W249- Energy!N249, 0) / (Energy!I249 + Energy!M249) *C249, 0))</f>
        <v>0</v>
      </c>
      <c r="E249" s="41" t="b">
        <f ca="1">IF(Main!$C$25="Solar", IF(Energy!W249-Energy!N249&gt;=0, TRUE, FALSE), TRUE)</f>
        <v>1</v>
      </c>
      <c r="F249" s="41">
        <f t="shared" ca="1" si="20"/>
        <v>0</v>
      </c>
      <c r="G249" s="6">
        <f ca="1">IF(A249&gt;=$B$7,IF(E249,IF(H248-$B$6/1000&gt;0,IF($B$6/1000&gt;$B$9*24*60*60,$B$9*24*60*60,$B$6/1000),H248),($B$6/1000)*(-Energy!W249+Energy!N249)/Energy!N249),0)</f>
        <v>0.219</v>
      </c>
      <c r="H249" s="6">
        <f t="shared" ca="1" si="23"/>
        <v>4.4312977643117133</v>
      </c>
      <c r="I249" t="str">
        <f t="shared" ca="1" si="21"/>
        <v>Yes</v>
      </c>
      <c r="N249" s="57">
        <v>41877</v>
      </c>
      <c r="O249" s="56">
        <v>0</v>
      </c>
      <c r="P249" s="59">
        <v>42242</v>
      </c>
      <c r="Q249" s="32">
        <v>0</v>
      </c>
      <c r="R249" s="59">
        <v>42242</v>
      </c>
      <c r="S249" s="19">
        <v>0</v>
      </c>
      <c r="T249" s="59">
        <v>41512</v>
      </c>
      <c r="U249" s="19">
        <v>0</v>
      </c>
    </row>
    <row r="250" spans="1:21" x14ac:dyDescent="0.75">
      <c r="A250" s="59">
        <f t="shared" si="18"/>
        <v>41513</v>
      </c>
      <c r="B250" s="19">
        <f t="shared" si="19"/>
        <v>0.4</v>
      </c>
      <c r="C250" s="41">
        <f t="shared" ca="1" si="22"/>
        <v>0.04</v>
      </c>
      <c r="D250" s="41">
        <f ca="1">IF(Energy!$N$3, C250, IF(C250 &gt; 0, MAX(Energy!W250- Energy!N250, 0) / (Energy!I250 + Energy!M250) *C250, 0))</f>
        <v>4.0000000000000029E-2</v>
      </c>
      <c r="E250" s="41" t="b">
        <f ca="1">IF(Main!$C$25="Solar", IF(Energy!W250-Energy!N250&gt;=0, TRUE, FALSE), TRUE)</f>
        <v>1</v>
      </c>
      <c r="F250" s="41">
        <f t="shared" ca="1" si="20"/>
        <v>2.2227102269691001E-2</v>
      </c>
      <c r="G250" s="6">
        <f ca="1">IF(A250&gt;=$B$7,IF(E250,IF(H249-$B$6/1000&gt;0,IF($B$6/1000&gt;$B$9*24*60*60,$B$9*24*60*60,$B$6/1000),H249),($B$6/1000)*(-Energy!W250+Energy!N250)/Energy!N250),0)</f>
        <v>0.219</v>
      </c>
      <c r="H250" s="6">
        <f t="shared" ca="1" si="23"/>
        <v>4.252297764311713</v>
      </c>
      <c r="I250" t="str">
        <f t="shared" ca="1" si="21"/>
        <v>Yes</v>
      </c>
      <c r="N250" s="57">
        <v>41878</v>
      </c>
      <c r="O250" s="56">
        <v>0</v>
      </c>
      <c r="P250" s="59">
        <v>42243</v>
      </c>
      <c r="Q250" s="32">
        <v>2.8</v>
      </c>
      <c r="R250" s="59">
        <v>42243</v>
      </c>
      <c r="S250" s="19">
        <v>3</v>
      </c>
      <c r="T250" s="59">
        <v>41513</v>
      </c>
      <c r="U250" s="19">
        <v>0.4</v>
      </c>
    </row>
    <row r="251" spans="1:21" x14ac:dyDescent="0.75">
      <c r="A251" s="59">
        <f t="shared" si="18"/>
        <v>41514</v>
      </c>
      <c r="B251" s="19">
        <f t="shared" si="19"/>
        <v>1.2</v>
      </c>
      <c r="C251" s="41">
        <f t="shared" ca="1" si="22"/>
        <v>0.12</v>
      </c>
      <c r="D251" s="41">
        <f ca="1">IF(Energy!$N$3, C251, IF(C251 &gt; 0, MAX(Energy!W251- Energy!N251, 0) / (Energy!I251 + Energy!M251) *C251, 0))</f>
        <v>0.12</v>
      </c>
      <c r="E251" s="41" t="b">
        <f ca="1">IF(Main!$C$25="Solar", IF(Energy!W251-Energy!N251&gt;=0, TRUE, FALSE), TRUE)</f>
        <v>1</v>
      </c>
      <c r="F251" s="41">
        <f t="shared" ca="1" si="20"/>
        <v>6.6681306809072957E-2</v>
      </c>
      <c r="G251" s="6">
        <f ca="1">IF(A251&gt;=$B$7,IF(E251,IF(H250-$B$6/1000&gt;0,IF($B$6/1000&gt;$B$9*24*60*60,$B$9*24*60*60,$B$6/1000),H250),($B$6/1000)*(-Energy!W251+Energy!N251)/Energy!N251),0)</f>
        <v>0.219</v>
      </c>
      <c r="H251" s="6">
        <f t="shared" ca="1" si="23"/>
        <v>4.1532977643117128</v>
      </c>
      <c r="I251" t="str">
        <f t="shared" ca="1" si="21"/>
        <v>Yes</v>
      </c>
      <c r="N251" s="57">
        <v>41879</v>
      </c>
      <c r="O251" s="56">
        <v>0.4</v>
      </c>
      <c r="P251" s="59">
        <v>42244</v>
      </c>
      <c r="Q251" s="32">
        <v>10.4</v>
      </c>
      <c r="R251" s="59">
        <v>42244</v>
      </c>
      <c r="S251" s="19">
        <v>6.8</v>
      </c>
      <c r="T251" s="59">
        <v>41514</v>
      </c>
      <c r="U251" s="19">
        <v>1.2</v>
      </c>
    </row>
    <row r="252" spans="1:21" x14ac:dyDescent="0.75">
      <c r="A252" s="59">
        <f t="shared" si="18"/>
        <v>41515</v>
      </c>
      <c r="B252" s="19">
        <f t="shared" si="19"/>
        <v>4</v>
      </c>
      <c r="C252" s="41">
        <f t="shared" ca="1" si="22"/>
        <v>0.4</v>
      </c>
      <c r="D252" s="41">
        <f ca="1">IF(Energy!$N$3, C252, IF(C252 &gt; 0, MAX(Energy!W252- Energy!N252, 0) / (Energy!I252 + Energy!M252) *C252, 0))</f>
        <v>0.39999999999999991</v>
      </c>
      <c r="E252" s="41" t="b">
        <f ca="1">IF(Main!$C$25="Solar", IF(Energy!W252-Energy!N252&gt;=0, TRUE, FALSE), TRUE)</f>
        <v>1</v>
      </c>
      <c r="F252" s="41">
        <f t="shared" ca="1" si="20"/>
        <v>0.22227102269690982</v>
      </c>
      <c r="G252" s="6">
        <f ca="1">IF(A252&gt;=$B$7,IF(E252,IF(H251-$B$6/1000&gt;0,IF($B$6/1000&gt;$B$9*24*60*60,$B$9*24*60*60,$B$6/1000),H251),($B$6/1000)*(-Energy!W252+Energy!N252)/Energy!N252),0)</f>
        <v>0.219</v>
      </c>
      <c r="H252" s="6">
        <f t="shared" ca="1" si="23"/>
        <v>4.3342977643117129</v>
      </c>
      <c r="I252" t="str">
        <f t="shared" ca="1" si="21"/>
        <v>Yes</v>
      </c>
      <c r="N252" s="57">
        <v>41880</v>
      </c>
      <c r="O252" s="56">
        <v>7.8</v>
      </c>
      <c r="P252" s="59">
        <v>42245</v>
      </c>
      <c r="Q252" s="32">
        <v>33.4</v>
      </c>
      <c r="R252" s="59">
        <v>42245</v>
      </c>
      <c r="S252" s="19">
        <v>16.2</v>
      </c>
      <c r="T252" s="59">
        <v>41515</v>
      </c>
      <c r="U252" s="19">
        <v>4</v>
      </c>
    </row>
    <row r="253" spans="1:21" x14ac:dyDescent="0.75">
      <c r="A253" s="59">
        <f t="shared" si="18"/>
        <v>41516</v>
      </c>
      <c r="B253" s="19">
        <f t="shared" si="19"/>
        <v>0</v>
      </c>
      <c r="C253" s="41">
        <f t="shared" ca="1" si="22"/>
        <v>0</v>
      </c>
      <c r="D253" s="41">
        <f ca="1">IF(Energy!$N$3, C253, IF(C253 &gt; 0, MAX(Energy!W253- Energy!N253, 0) / (Energy!I253 + Energy!M253) *C253, 0))</f>
        <v>0</v>
      </c>
      <c r="E253" s="41" t="b">
        <f ca="1">IF(Main!$C$25="Solar", IF(Energy!W253-Energy!N253&gt;=0, TRUE, FALSE), TRUE)</f>
        <v>1</v>
      </c>
      <c r="F253" s="41">
        <f t="shared" ca="1" si="20"/>
        <v>0</v>
      </c>
      <c r="G253" s="6">
        <f ca="1">IF(A253&gt;=$B$7,IF(E253,IF(H252-$B$6/1000&gt;0,IF($B$6/1000&gt;$B$9*24*60*60,$B$9*24*60*60,$B$6/1000),H252),($B$6/1000)*(-Energy!W253+Energy!N253)/Energy!N253),0)</f>
        <v>0.219</v>
      </c>
      <c r="H253" s="6">
        <f t="shared" ca="1" si="23"/>
        <v>4.1152977643117126</v>
      </c>
      <c r="I253" t="str">
        <f t="shared" ca="1" si="21"/>
        <v>Yes</v>
      </c>
      <c r="N253" s="57">
        <v>41881</v>
      </c>
      <c r="O253" s="56">
        <v>3.6</v>
      </c>
      <c r="P253" s="59">
        <v>42246</v>
      </c>
      <c r="Q253" s="32">
        <v>26</v>
      </c>
      <c r="R253" s="59">
        <v>42246</v>
      </c>
      <c r="S253" s="19">
        <v>6.2</v>
      </c>
      <c r="T253" s="59">
        <v>41516</v>
      </c>
      <c r="U253" s="19">
        <v>0</v>
      </c>
    </row>
    <row r="254" spans="1:21" x14ac:dyDescent="0.75">
      <c r="A254" s="59">
        <f t="shared" si="18"/>
        <v>41517</v>
      </c>
      <c r="B254" s="19">
        <f t="shared" si="19"/>
        <v>0</v>
      </c>
      <c r="C254" s="41">
        <f t="shared" ca="1" si="22"/>
        <v>0</v>
      </c>
      <c r="D254" s="41">
        <f ca="1">IF(Energy!$N$3, C254, IF(C254 &gt; 0, MAX(Energy!W254- Energy!N254, 0) / (Energy!I254 + Energy!M254) *C254, 0))</f>
        <v>0</v>
      </c>
      <c r="E254" s="41" t="b">
        <f ca="1">IF(Main!$C$25="Solar", IF(Energy!W254-Energy!N254&gt;=0, TRUE, FALSE), TRUE)</f>
        <v>1</v>
      </c>
      <c r="F254" s="41">
        <f t="shared" ca="1" si="20"/>
        <v>0</v>
      </c>
      <c r="G254" s="6">
        <f ca="1">IF(A254&gt;=$B$7,IF(E254,IF(H253-$B$6/1000&gt;0,IF($B$6/1000&gt;$B$9*24*60*60,$B$9*24*60*60,$B$6/1000),H253),($B$6/1000)*(-Energy!W254+Energy!N254)/Energy!N254),0)</f>
        <v>0.219</v>
      </c>
      <c r="H254" s="6">
        <f t="shared" ca="1" si="23"/>
        <v>3.8962977643117127</v>
      </c>
      <c r="I254" t="str">
        <f t="shared" ca="1" si="21"/>
        <v>Yes</v>
      </c>
      <c r="N254" s="57">
        <v>41882</v>
      </c>
      <c r="O254" s="56">
        <v>10.6</v>
      </c>
      <c r="P254" s="59">
        <v>42247</v>
      </c>
      <c r="Q254" s="32">
        <v>6</v>
      </c>
      <c r="R254" s="59">
        <v>42247</v>
      </c>
      <c r="S254" s="19">
        <v>14.2</v>
      </c>
      <c r="T254" s="59">
        <v>41517</v>
      </c>
      <c r="U254" s="19">
        <v>0</v>
      </c>
    </row>
    <row r="255" spans="1:21" x14ac:dyDescent="0.75">
      <c r="A255" s="59">
        <f t="shared" si="18"/>
        <v>41518</v>
      </c>
      <c r="B255" s="19">
        <f t="shared" si="19"/>
        <v>0</v>
      </c>
      <c r="C255" s="41">
        <f t="shared" ca="1" si="22"/>
        <v>0</v>
      </c>
      <c r="D255" s="41">
        <f ca="1">IF(Energy!$N$3, C255, IF(C255 &gt; 0, MAX(Energy!W255- Energy!N255, 0) / (Energy!I255 + Energy!M255) *C255, 0))</f>
        <v>0</v>
      </c>
      <c r="E255" s="41" t="b">
        <f ca="1">IF(Main!$C$25="Solar", IF(Energy!W255-Energy!N255&gt;=0, TRUE, FALSE), TRUE)</f>
        <v>1</v>
      </c>
      <c r="F255" s="41">
        <f t="shared" ca="1" si="20"/>
        <v>0</v>
      </c>
      <c r="G255" s="6">
        <f ca="1">IF(A255&gt;=$B$7,IF(E255,IF(H254-$B$6/1000&gt;0,IF($B$6/1000&gt;$B$9*24*60*60,$B$9*24*60*60,$B$6/1000),H254),($B$6/1000)*(-Energy!W255+Energy!N255)/Energy!N255),0)</f>
        <v>0.219</v>
      </c>
      <c r="H255" s="6">
        <f t="shared" ca="1" si="23"/>
        <v>3.6772977643117128</v>
      </c>
      <c r="I255" t="str">
        <f t="shared" ca="1" si="21"/>
        <v>Yes</v>
      </c>
      <c r="N255" s="57">
        <v>41883</v>
      </c>
      <c r="O255" s="56">
        <v>3.2</v>
      </c>
      <c r="P255" s="59">
        <v>42248</v>
      </c>
      <c r="Q255" s="32">
        <v>15.8</v>
      </c>
      <c r="R255" s="59">
        <v>42248</v>
      </c>
      <c r="S255" s="19">
        <v>1.6</v>
      </c>
      <c r="T255" s="59">
        <v>41518</v>
      </c>
      <c r="U255" s="19">
        <v>0</v>
      </c>
    </row>
    <row r="256" spans="1:21" x14ac:dyDescent="0.75">
      <c r="A256" s="59">
        <f t="shared" si="18"/>
        <v>41519</v>
      </c>
      <c r="B256" s="19">
        <f t="shared" si="19"/>
        <v>0</v>
      </c>
      <c r="C256" s="41">
        <f t="shared" ca="1" si="22"/>
        <v>0</v>
      </c>
      <c r="D256" s="41">
        <f ca="1">IF(Energy!$N$3, C256, IF(C256 &gt; 0, MAX(Energy!W256- Energy!N256, 0) / (Energy!I256 + Energy!M256) *C256, 0))</f>
        <v>0</v>
      </c>
      <c r="E256" s="41" t="b">
        <f ca="1">IF(Main!$C$25="Solar", IF(Energy!W256-Energy!N256&gt;=0, TRUE, FALSE), TRUE)</f>
        <v>1</v>
      </c>
      <c r="F256" s="41">
        <f t="shared" ca="1" si="20"/>
        <v>0</v>
      </c>
      <c r="G256" s="6">
        <f ca="1">IF(A256&gt;=$B$7,IF(E256,IF(H255-$B$6/1000&gt;0,IF($B$6/1000&gt;$B$9*24*60*60,$B$9*24*60*60,$B$6/1000),H255),($B$6/1000)*(-Energy!W256+Energy!N256)/Energy!N256),0)</f>
        <v>0.219</v>
      </c>
      <c r="H256" s="6">
        <f t="shared" ca="1" si="23"/>
        <v>3.458297764311713</v>
      </c>
      <c r="I256" t="str">
        <f t="shared" ca="1" si="21"/>
        <v>Yes</v>
      </c>
      <c r="N256" s="57">
        <v>41884</v>
      </c>
      <c r="O256" s="56">
        <v>6.2</v>
      </c>
      <c r="P256" s="59">
        <v>42249</v>
      </c>
      <c r="Q256" s="32">
        <v>0.8</v>
      </c>
      <c r="R256" s="59">
        <v>42249</v>
      </c>
      <c r="S256" s="19">
        <v>9.4</v>
      </c>
      <c r="T256" s="59">
        <v>41519</v>
      </c>
      <c r="U256" s="19">
        <v>0</v>
      </c>
    </row>
    <row r="257" spans="1:21" x14ac:dyDescent="0.75">
      <c r="A257" s="59">
        <f t="shared" si="18"/>
        <v>41520</v>
      </c>
      <c r="B257" s="19">
        <f t="shared" si="19"/>
        <v>4.8</v>
      </c>
      <c r="C257" s="41">
        <f t="shared" ca="1" si="22"/>
        <v>0.48</v>
      </c>
      <c r="D257" s="41">
        <f ca="1">IF(Energy!$N$3, C257, IF(C257 &gt; 0, MAX(Energy!W257- Energy!N257, 0) / (Energy!I257 + Energy!M257) *C257, 0))</f>
        <v>0.48</v>
      </c>
      <c r="E257" s="41" t="b">
        <f ca="1">IF(Main!$C$25="Solar", IF(Energy!W257-Energy!N257&gt;=0, TRUE, FALSE), TRUE)</f>
        <v>1</v>
      </c>
      <c r="F257" s="41">
        <f t="shared" ca="1" si="20"/>
        <v>0.26672522723629183</v>
      </c>
      <c r="G257" s="6">
        <f ca="1">IF(A257&gt;=$B$7,IF(E257,IF(H256-$B$6/1000&gt;0,IF($B$6/1000&gt;$B$9*24*60*60,$B$9*24*60*60,$B$6/1000),H256),($B$6/1000)*(-Energy!W257+Energy!N257)/Energy!N257),0)</f>
        <v>0.219</v>
      </c>
      <c r="H257" s="6">
        <f t="shared" ca="1" si="23"/>
        <v>3.7192977643117131</v>
      </c>
      <c r="I257" t="str">
        <f t="shared" ca="1" si="21"/>
        <v>Yes</v>
      </c>
      <c r="N257" s="57">
        <v>41885</v>
      </c>
      <c r="O257" s="56">
        <v>0</v>
      </c>
      <c r="P257" s="59">
        <v>42250</v>
      </c>
      <c r="Q257" s="32">
        <v>2.4</v>
      </c>
      <c r="R257" s="59">
        <v>42250</v>
      </c>
      <c r="S257" s="19">
        <v>0.6</v>
      </c>
      <c r="T257" s="59">
        <v>41520</v>
      </c>
      <c r="U257" s="19">
        <v>4.8</v>
      </c>
    </row>
    <row r="258" spans="1:21" x14ac:dyDescent="0.75">
      <c r="A258" s="59">
        <f t="shared" si="18"/>
        <v>41521</v>
      </c>
      <c r="B258" s="19">
        <f t="shared" si="19"/>
        <v>0</v>
      </c>
      <c r="C258" s="41">
        <f t="shared" ca="1" si="22"/>
        <v>0</v>
      </c>
      <c r="D258" s="41">
        <f ca="1">IF(Energy!$N$3, C258, IF(C258 &gt; 0, MAX(Energy!W258- Energy!N258, 0) / (Energy!I258 + Energy!M258) *C258, 0))</f>
        <v>0</v>
      </c>
      <c r="E258" s="41" t="b">
        <f ca="1">IF(Main!$C$25="Solar", IF(Energy!W258-Energy!N258&gt;=0, TRUE, FALSE), TRUE)</f>
        <v>1</v>
      </c>
      <c r="F258" s="41">
        <f t="shared" ca="1" si="20"/>
        <v>0</v>
      </c>
      <c r="G258" s="6">
        <f ca="1">IF(A258&gt;=$B$7,IF(E258,IF(H257-$B$6/1000&gt;0,IF($B$6/1000&gt;$B$9*24*60*60,$B$9*24*60*60,$B$6/1000),H257),($B$6/1000)*(-Energy!W258+Energy!N258)/Energy!N258),0)</f>
        <v>0.219</v>
      </c>
      <c r="H258" s="6">
        <f t="shared" ca="1" si="23"/>
        <v>3.5002977643117132</v>
      </c>
      <c r="I258" t="str">
        <f t="shared" ca="1" si="21"/>
        <v>Yes</v>
      </c>
      <c r="N258" s="57">
        <v>41886</v>
      </c>
      <c r="O258" s="56">
        <v>0</v>
      </c>
      <c r="P258" s="59">
        <v>42251</v>
      </c>
      <c r="Q258" s="32">
        <v>0</v>
      </c>
      <c r="R258" s="59">
        <v>42251</v>
      </c>
      <c r="S258" s="19">
        <v>0</v>
      </c>
      <c r="T258" s="59">
        <v>41521</v>
      </c>
      <c r="U258" s="19">
        <v>0</v>
      </c>
    </row>
    <row r="259" spans="1:21" x14ac:dyDescent="0.75">
      <c r="A259" s="59">
        <f t="shared" si="18"/>
        <v>41522</v>
      </c>
      <c r="B259" s="19">
        <f t="shared" si="19"/>
        <v>0</v>
      </c>
      <c r="C259" s="41">
        <f t="shared" ca="1" si="22"/>
        <v>0</v>
      </c>
      <c r="D259" s="41">
        <f ca="1">IF(Energy!$N$3, C259, IF(C259 &gt; 0, MAX(Energy!W259- Energy!N259, 0) / (Energy!I259 + Energy!M259) *C259, 0))</f>
        <v>0</v>
      </c>
      <c r="E259" s="41" t="b">
        <f ca="1">IF(Main!$C$25="Solar", IF(Energy!W259-Energy!N259&gt;=0, TRUE, FALSE), TRUE)</f>
        <v>1</v>
      </c>
      <c r="F259" s="41">
        <f t="shared" ca="1" si="20"/>
        <v>0</v>
      </c>
      <c r="G259" s="6">
        <f ca="1">IF(A259&gt;=$B$7,IF(E259,IF(H258-$B$6/1000&gt;0,IF($B$6/1000&gt;$B$9*24*60*60,$B$9*24*60*60,$B$6/1000),H258),($B$6/1000)*(-Energy!W259+Energy!N259)/Energy!N259),0)</f>
        <v>0.219</v>
      </c>
      <c r="H259" s="6">
        <f t="shared" ca="1" si="23"/>
        <v>3.2812977643117134</v>
      </c>
      <c r="I259" t="str">
        <f t="shared" ca="1" si="21"/>
        <v>Yes</v>
      </c>
      <c r="N259" s="57">
        <v>41887</v>
      </c>
      <c r="O259" s="56">
        <v>0</v>
      </c>
      <c r="P259" s="59">
        <v>42252</v>
      </c>
      <c r="Q259" s="32">
        <v>1.6</v>
      </c>
      <c r="R259" s="59">
        <v>42252</v>
      </c>
      <c r="S259" s="19">
        <v>0.2</v>
      </c>
      <c r="T259" s="59">
        <v>41522</v>
      </c>
      <c r="U259" s="19">
        <v>0</v>
      </c>
    </row>
    <row r="260" spans="1:21" x14ac:dyDescent="0.75">
      <c r="A260" s="59">
        <f t="shared" si="18"/>
        <v>41523</v>
      </c>
      <c r="B260" s="19">
        <f t="shared" si="19"/>
        <v>0</v>
      </c>
      <c r="C260" s="41">
        <f t="shared" ca="1" si="22"/>
        <v>0</v>
      </c>
      <c r="D260" s="41">
        <f ca="1">IF(Energy!$N$3, C260, IF(C260 &gt; 0, MAX(Energy!W260- Energy!N260, 0) / (Energy!I260 + Energy!M260) *C260, 0))</f>
        <v>0</v>
      </c>
      <c r="E260" s="41" t="b">
        <f ca="1">IF(Main!$C$25="Solar", IF(Energy!W260-Energy!N260&gt;=0, TRUE, FALSE), TRUE)</f>
        <v>1</v>
      </c>
      <c r="F260" s="41">
        <f t="shared" ca="1" si="20"/>
        <v>0</v>
      </c>
      <c r="G260" s="6">
        <f ca="1">IF(A260&gt;=$B$7,IF(E260,IF(H259-$B$6/1000&gt;0,IF($B$6/1000&gt;$B$9*24*60*60,$B$9*24*60*60,$B$6/1000),H259),($B$6/1000)*(-Energy!W260+Energy!N260)/Energy!N260),0)</f>
        <v>0.219</v>
      </c>
      <c r="H260" s="6">
        <f t="shared" ca="1" si="23"/>
        <v>3.0622977643117135</v>
      </c>
      <c r="I260" t="str">
        <f t="shared" ca="1" si="21"/>
        <v>Yes</v>
      </c>
      <c r="N260" s="57">
        <v>41888</v>
      </c>
      <c r="O260" s="56">
        <v>0</v>
      </c>
      <c r="P260" s="59">
        <v>42253</v>
      </c>
      <c r="Q260" s="32">
        <v>0</v>
      </c>
      <c r="R260" s="59">
        <v>42253</v>
      </c>
      <c r="S260" s="19">
        <v>0.2</v>
      </c>
      <c r="T260" s="59">
        <v>41523</v>
      </c>
      <c r="U260" s="19">
        <v>0</v>
      </c>
    </row>
    <row r="261" spans="1:21" x14ac:dyDescent="0.75">
      <c r="A261" s="59">
        <f t="shared" si="18"/>
        <v>41524</v>
      </c>
      <c r="B261" s="19">
        <f t="shared" si="19"/>
        <v>0</v>
      </c>
      <c r="C261" s="41">
        <f t="shared" ca="1" si="22"/>
        <v>0</v>
      </c>
      <c r="D261" s="41">
        <f ca="1">IF(Energy!$N$3, C261, IF(C261 &gt; 0, MAX(Energy!W261- Energy!N261, 0) / (Energy!I261 + Energy!M261) *C261, 0))</f>
        <v>0</v>
      </c>
      <c r="E261" s="41" t="b">
        <f ca="1">IF(Main!$C$25="Solar", IF(Energy!W261-Energy!N261&gt;=0, TRUE, FALSE), TRUE)</f>
        <v>1</v>
      </c>
      <c r="F261" s="41">
        <f t="shared" ca="1" si="20"/>
        <v>0</v>
      </c>
      <c r="G261" s="6">
        <f ca="1">IF(A261&gt;=$B$7,IF(E261,IF(H260-$B$6/1000&gt;0,IF($B$6/1000&gt;$B$9*24*60*60,$B$9*24*60*60,$B$6/1000),H260),($B$6/1000)*(-Energy!W261+Energy!N261)/Energy!N261),0)</f>
        <v>0.219</v>
      </c>
      <c r="H261" s="6">
        <f t="shared" ca="1" si="23"/>
        <v>2.8432977643117137</v>
      </c>
      <c r="I261" t="str">
        <f t="shared" ca="1" si="21"/>
        <v>Yes</v>
      </c>
      <c r="N261" s="57">
        <v>41889</v>
      </c>
      <c r="O261" s="56">
        <v>0</v>
      </c>
      <c r="P261" s="59">
        <v>42254</v>
      </c>
      <c r="Q261" s="32">
        <v>29.6</v>
      </c>
      <c r="R261" s="59">
        <v>42254</v>
      </c>
      <c r="S261" s="19">
        <v>4</v>
      </c>
      <c r="T261" s="59">
        <v>41524</v>
      </c>
      <c r="U261" s="19">
        <v>0</v>
      </c>
    </row>
    <row r="262" spans="1:21" x14ac:dyDescent="0.75">
      <c r="A262" s="59">
        <f t="shared" si="18"/>
        <v>41525</v>
      </c>
      <c r="B262" s="19">
        <f t="shared" si="19"/>
        <v>0</v>
      </c>
      <c r="C262" s="41">
        <f t="shared" ca="1" si="22"/>
        <v>0</v>
      </c>
      <c r="D262" s="41">
        <f ca="1">IF(Energy!$N$3, C262, IF(C262 &gt; 0, MAX(Energy!W262- Energy!N262, 0) / (Energy!I262 + Energy!M262) *C262, 0))</f>
        <v>0</v>
      </c>
      <c r="E262" s="41" t="b">
        <f ca="1">IF(Main!$C$25="Solar", IF(Energy!W262-Energy!N262&gt;=0, TRUE, FALSE), TRUE)</f>
        <v>1</v>
      </c>
      <c r="F262" s="41">
        <f t="shared" ca="1" si="20"/>
        <v>0</v>
      </c>
      <c r="G262" s="6">
        <f ca="1">IF(A262&gt;=$B$7,IF(E262,IF(H261-$B$6/1000&gt;0,IF($B$6/1000&gt;$B$9*24*60*60,$B$9*24*60*60,$B$6/1000),H261),($B$6/1000)*(-Energy!W262+Energy!N262)/Energy!N262),0)</f>
        <v>0.219</v>
      </c>
      <c r="H262" s="6">
        <f t="shared" ca="1" si="23"/>
        <v>2.6242977643117138</v>
      </c>
      <c r="I262" t="str">
        <f t="shared" ca="1" si="21"/>
        <v>Yes</v>
      </c>
      <c r="N262" s="57">
        <v>41890</v>
      </c>
      <c r="O262" s="56">
        <v>0</v>
      </c>
      <c r="P262" s="59">
        <v>42255</v>
      </c>
      <c r="Q262" s="32">
        <v>13</v>
      </c>
      <c r="R262" s="59">
        <v>42255</v>
      </c>
      <c r="S262" s="19">
        <v>0</v>
      </c>
      <c r="T262" s="59">
        <v>41525</v>
      </c>
      <c r="U262" s="19">
        <v>0</v>
      </c>
    </row>
    <row r="263" spans="1:21" x14ac:dyDescent="0.75">
      <c r="A263" s="59">
        <f t="shared" si="18"/>
        <v>41526</v>
      </c>
      <c r="B263" s="19">
        <f t="shared" si="19"/>
        <v>0</v>
      </c>
      <c r="C263" s="41">
        <f t="shared" ca="1" si="22"/>
        <v>0</v>
      </c>
      <c r="D263" s="41">
        <f ca="1">IF(Energy!$N$3, C263, IF(C263 &gt; 0, MAX(Energy!W263- Energy!N263, 0) / (Energy!I263 + Energy!M263) *C263, 0))</f>
        <v>0</v>
      </c>
      <c r="E263" s="41" t="b">
        <f ca="1">IF(Main!$C$25="Solar", IF(Energy!W263-Energy!N263&gt;=0, TRUE, FALSE), TRUE)</f>
        <v>1</v>
      </c>
      <c r="F263" s="41">
        <f t="shared" ca="1" si="20"/>
        <v>0</v>
      </c>
      <c r="G263" s="6">
        <f ca="1">IF(A263&gt;=$B$7,IF(E263,IF(H262-$B$6/1000&gt;0,IF($B$6/1000&gt;$B$9*24*60*60,$B$9*24*60*60,$B$6/1000),H262),($B$6/1000)*(-Energy!W263+Energy!N263)/Energy!N263),0)</f>
        <v>0.219</v>
      </c>
      <c r="H263" s="6">
        <f t="shared" ca="1" si="23"/>
        <v>2.4052977643117139</v>
      </c>
      <c r="I263" t="str">
        <f t="shared" ca="1" si="21"/>
        <v>Yes</v>
      </c>
      <c r="N263" s="57">
        <v>41891</v>
      </c>
      <c r="O263" s="56">
        <v>0</v>
      </c>
      <c r="P263" s="59">
        <v>42256</v>
      </c>
      <c r="Q263" s="32">
        <v>1.4</v>
      </c>
      <c r="R263" s="59">
        <v>42256</v>
      </c>
      <c r="S263" s="19">
        <v>0</v>
      </c>
      <c r="T263" s="59">
        <v>41526</v>
      </c>
      <c r="U263" s="19">
        <v>0</v>
      </c>
    </row>
    <row r="264" spans="1:21" x14ac:dyDescent="0.75">
      <c r="A264" s="59">
        <f t="shared" si="18"/>
        <v>41527</v>
      </c>
      <c r="B264" s="19">
        <f t="shared" si="19"/>
        <v>0</v>
      </c>
      <c r="C264" s="41">
        <f t="shared" ca="1" si="22"/>
        <v>0</v>
      </c>
      <c r="D264" s="41">
        <f ca="1">IF(Energy!$N$3, C264, IF(C264 &gt; 0, MAX(Energy!W264- Energy!N264, 0) / (Energy!I264 + Energy!M264) *C264, 0))</f>
        <v>0</v>
      </c>
      <c r="E264" s="41" t="b">
        <f ca="1">IF(Main!$C$25="Solar", IF(Energy!W264-Energy!N264&gt;=0, TRUE, FALSE), TRUE)</f>
        <v>1</v>
      </c>
      <c r="F264" s="41">
        <f t="shared" ca="1" si="20"/>
        <v>0</v>
      </c>
      <c r="G264" s="6">
        <f ca="1">IF(A264&gt;=$B$7,IF(E264,IF(H263-$B$6/1000&gt;0,IF($B$6/1000&gt;$B$9*24*60*60,$B$9*24*60*60,$B$6/1000),H263),($B$6/1000)*(-Energy!W264+Energy!N264)/Energy!N264),0)</f>
        <v>0.219</v>
      </c>
      <c r="H264" s="6">
        <f t="shared" ca="1" si="23"/>
        <v>2.1862977643117141</v>
      </c>
      <c r="I264" t="str">
        <f t="shared" ca="1" si="21"/>
        <v>Yes</v>
      </c>
      <c r="N264" s="57">
        <v>41892</v>
      </c>
      <c r="O264" s="56">
        <v>0</v>
      </c>
      <c r="P264" s="59">
        <v>42257</v>
      </c>
      <c r="Q264" s="32">
        <v>0</v>
      </c>
      <c r="R264" s="59">
        <v>42257</v>
      </c>
      <c r="S264" s="19">
        <v>0</v>
      </c>
      <c r="T264" s="59">
        <v>41527</v>
      </c>
      <c r="U264" s="19">
        <v>0</v>
      </c>
    </row>
    <row r="265" spans="1:21" x14ac:dyDescent="0.75">
      <c r="A265" s="59">
        <f t="shared" si="18"/>
        <v>41528</v>
      </c>
      <c r="B265" s="19">
        <f t="shared" si="19"/>
        <v>0</v>
      </c>
      <c r="C265" s="41">
        <f t="shared" ca="1" si="22"/>
        <v>0</v>
      </c>
      <c r="D265" s="41">
        <f ca="1">IF(Energy!$N$3, C265, IF(C265 &gt; 0, MAX(Energy!W265- Energy!N265, 0) / (Energy!I265 + Energy!M265) *C265, 0))</f>
        <v>0</v>
      </c>
      <c r="E265" s="41" t="b">
        <f ca="1">IF(Main!$C$25="Solar", IF(Energy!W265-Energy!N265&gt;=0, TRUE, FALSE), TRUE)</f>
        <v>1</v>
      </c>
      <c r="F265" s="41">
        <f t="shared" ca="1" si="20"/>
        <v>0</v>
      </c>
      <c r="G265" s="6">
        <f ca="1">IF(A265&gt;=$B$7,IF(E265,IF(H264-$B$6/1000&gt;0,IF($B$6/1000&gt;$B$9*24*60*60,$B$9*24*60*60,$B$6/1000),H264),($B$6/1000)*(-Energy!W265+Energy!N265)/Energy!N265),0)</f>
        <v>0.219</v>
      </c>
      <c r="H265" s="6">
        <f t="shared" ca="1" si="23"/>
        <v>1.967297764311714</v>
      </c>
      <c r="I265" t="str">
        <f t="shared" ca="1" si="21"/>
        <v>Yes</v>
      </c>
      <c r="N265" s="57">
        <v>41893</v>
      </c>
      <c r="O265" s="56">
        <v>0</v>
      </c>
      <c r="P265" s="59">
        <v>42258</v>
      </c>
      <c r="Q265" s="32">
        <v>0</v>
      </c>
      <c r="R265" s="59">
        <v>42258</v>
      </c>
      <c r="S265" s="19">
        <v>0</v>
      </c>
      <c r="T265" s="59">
        <v>41528</v>
      </c>
      <c r="U265" s="19">
        <v>0</v>
      </c>
    </row>
    <row r="266" spans="1:21" x14ac:dyDescent="0.75">
      <c r="A266" s="59">
        <f t="shared" si="18"/>
        <v>41529</v>
      </c>
      <c r="B266" s="19">
        <f t="shared" si="19"/>
        <v>0</v>
      </c>
      <c r="C266" s="41">
        <f t="shared" ca="1" si="22"/>
        <v>0</v>
      </c>
      <c r="D266" s="41">
        <f ca="1">IF(Energy!$N$3, C266, IF(C266 &gt; 0, MAX(Energy!W266- Energy!N266, 0) / (Energy!I266 + Energy!M266) *C266, 0))</f>
        <v>0</v>
      </c>
      <c r="E266" s="41" t="b">
        <f ca="1">IF(Main!$C$25="Solar", IF(Energy!W266-Energy!N266&gt;=0, TRUE, FALSE), TRUE)</f>
        <v>1</v>
      </c>
      <c r="F266" s="41">
        <f t="shared" ca="1" si="20"/>
        <v>0</v>
      </c>
      <c r="G266" s="6">
        <f ca="1">IF(A266&gt;=$B$7,IF(E266,IF(H265-$B$6/1000&gt;0,IF($B$6/1000&gt;$B$9*24*60*60,$B$9*24*60*60,$B$6/1000),H265),($B$6/1000)*(-Energy!W266+Energy!N266)/Energy!N266),0)</f>
        <v>0.219</v>
      </c>
      <c r="H266" s="6">
        <f t="shared" ca="1" si="23"/>
        <v>1.7482977643117139</v>
      </c>
      <c r="I266" t="str">
        <f t="shared" ca="1" si="21"/>
        <v>Yes</v>
      </c>
      <c r="N266" s="57">
        <v>41894</v>
      </c>
      <c r="O266" s="56">
        <v>0</v>
      </c>
      <c r="P266" s="59">
        <v>42259</v>
      </c>
      <c r="Q266" s="32">
        <v>0</v>
      </c>
      <c r="R266" s="59">
        <v>42259</v>
      </c>
      <c r="S266" s="19">
        <v>0</v>
      </c>
      <c r="T266" s="59">
        <v>41529</v>
      </c>
      <c r="U266" s="19">
        <v>0</v>
      </c>
    </row>
    <row r="267" spans="1:21" x14ac:dyDescent="0.75">
      <c r="A267" s="59">
        <f t="shared" si="18"/>
        <v>41530</v>
      </c>
      <c r="B267" s="19">
        <f t="shared" si="19"/>
        <v>0</v>
      </c>
      <c r="C267" s="41">
        <f t="shared" ca="1" si="22"/>
        <v>0</v>
      </c>
      <c r="D267" s="41">
        <f ca="1">IF(Energy!$N$3, C267, IF(C267 &gt; 0, MAX(Energy!W267- Energy!N267, 0) / (Energy!I267 + Energy!M267) *C267, 0))</f>
        <v>0</v>
      </c>
      <c r="E267" s="41" t="b">
        <f ca="1">IF(Main!$C$25="Solar", IF(Energy!W267-Energy!N267&gt;=0, TRUE, FALSE), TRUE)</f>
        <v>1</v>
      </c>
      <c r="F267" s="41">
        <f t="shared" ca="1" si="20"/>
        <v>0</v>
      </c>
      <c r="G267" s="6">
        <f ca="1">IF(A267&gt;=$B$7,IF(E267,IF(H266-$B$6/1000&gt;0,IF($B$6/1000&gt;$B$9*24*60*60,$B$9*24*60*60,$B$6/1000),H266),($B$6/1000)*(-Energy!W267+Energy!N267)/Energy!N267),0)</f>
        <v>0.219</v>
      </c>
      <c r="H267" s="6">
        <f t="shared" ca="1" si="23"/>
        <v>1.5292977643117138</v>
      </c>
      <c r="I267" t="str">
        <f t="shared" ca="1" si="21"/>
        <v>Yes</v>
      </c>
      <c r="N267" s="57">
        <v>41895</v>
      </c>
      <c r="O267" s="56">
        <v>0</v>
      </c>
      <c r="P267" s="59">
        <v>42260</v>
      </c>
      <c r="Q267" s="32">
        <v>0</v>
      </c>
      <c r="R267" s="59">
        <v>42260</v>
      </c>
      <c r="S267" s="19">
        <v>0</v>
      </c>
      <c r="T267" s="59">
        <v>41530</v>
      </c>
      <c r="U267" s="19">
        <v>0</v>
      </c>
    </row>
    <row r="268" spans="1:21" x14ac:dyDescent="0.75">
      <c r="A268" s="59">
        <f t="shared" ref="A268:A331" si="24">IF($B$10="Station 1 2014", N268, IF($B$10="Station 1 2015", P268, IF($B$10="Station 2 2015", R268, T268)))</f>
        <v>41531</v>
      </c>
      <c r="B268" s="19">
        <f t="shared" ref="B268:B331" si="25">IF($B$10="Station 1 2014", O268, IF($B$10="Station 1 2015", Q268, IF($B$10="Station 2 2015", S268, U268)))</f>
        <v>0</v>
      </c>
      <c r="C268" s="41">
        <f t="shared" ca="1" si="22"/>
        <v>0</v>
      </c>
      <c r="D268" s="41">
        <f ca="1">IF(Energy!$N$3, C268, IF(C268 &gt; 0, MAX(Energy!W268- Energy!N268, 0) / (Energy!I268 + Energy!M268) *C268, 0))</f>
        <v>0</v>
      </c>
      <c r="E268" s="41" t="b">
        <f ca="1">IF(Main!$C$25="Solar", IF(Energy!W268-Energy!N268&gt;=0, TRUE, FALSE), TRUE)</f>
        <v>1</v>
      </c>
      <c r="F268" s="41">
        <f t="shared" ref="F268:F331" ca="1" si="26">D268/($B$8*60*60)</f>
        <v>0</v>
      </c>
      <c r="G268" s="6">
        <f ca="1">IF(A268&gt;=$B$7,IF(E268,IF(H267-$B$6/1000&gt;0,IF($B$6/1000&gt;$B$9*24*60*60,$B$9*24*60*60,$B$6/1000),H267),($B$6/1000)*(-Energy!W268+Energy!N268)/Energy!N268),0)</f>
        <v>0.219</v>
      </c>
      <c r="H268" s="6">
        <f t="shared" ca="1" si="23"/>
        <v>1.3102977643117137</v>
      </c>
      <c r="I268" t="str">
        <f t="shared" ref="I268:I331" ca="1" si="27">IF(A268&gt;=$B$7,IF(G268&gt;=$B$6/1000, IF(E268=TRUE,"Yes","No"),"No"), "Yes")</f>
        <v>Yes</v>
      </c>
      <c r="N268" s="57">
        <v>41896</v>
      </c>
      <c r="O268" s="56">
        <v>0</v>
      </c>
      <c r="P268" s="59">
        <v>42261</v>
      </c>
      <c r="Q268" s="32">
        <v>0</v>
      </c>
      <c r="R268" s="59">
        <v>42261</v>
      </c>
      <c r="S268" s="19">
        <v>0</v>
      </c>
      <c r="T268" s="59">
        <v>41531</v>
      </c>
      <c r="U268" s="19">
        <v>0</v>
      </c>
    </row>
    <row r="269" spans="1:21" x14ac:dyDescent="0.75">
      <c r="A269" s="59">
        <f t="shared" si="24"/>
        <v>41532</v>
      </c>
      <c r="B269" s="19">
        <f t="shared" si="25"/>
        <v>0.6</v>
      </c>
      <c r="C269" s="41">
        <f t="shared" ref="C269:C332" ca="1" si="28">IF(IF(B269*$B$2/1000&gt;$B$4, $B$4, B269*$B$2/1000)&gt;$B$8*24*60*60, $B$8*24*60*60, (IF(B269*$B$2/1000&gt;$B$4, $B$4, B269*$B$2/1000)))</f>
        <v>0.06</v>
      </c>
      <c r="D269" s="41">
        <f ca="1">IF(Energy!$N$3, C269, IF(C269 &gt; 0, MAX(Energy!W269- Energy!N269, 0) / (Energy!I269 + Energy!M269) *C269, 0))</f>
        <v>5.9999999999999956E-2</v>
      </c>
      <c r="E269" s="41" t="b">
        <f ca="1">IF(Main!$C$25="Solar", IF(Energy!W269-Energy!N269&gt;=0, TRUE, FALSE), TRUE)</f>
        <v>1</v>
      </c>
      <c r="F269" s="41">
        <f t="shared" ca="1" si="26"/>
        <v>3.3340653404536458E-2</v>
      </c>
      <c r="G269" s="6">
        <f ca="1">IF(A269&gt;=$B$7,IF(E269,IF(H268-$B$6/1000&gt;0,IF($B$6/1000&gt;$B$9*24*60*60,$B$9*24*60*60,$B$6/1000),H268),($B$6/1000)*(-Energy!W269+Energy!N269)/Energy!N269),0)</f>
        <v>0.219</v>
      </c>
      <c r="H269" s="6">
        <f t="shared" ref="H269:H332" ca="1" si="29">IF(H268+D269-G269&gt;$B$3, $B$3, IF(H268+D269-G269&lt;0, 0, H268+D269-G269))</f>
        <v>1.1512977643117137</v>
      </c>
      <c r="I269" t="str">
        <f t="shared" ca="1" si="27"/>
        <v>Yes</v>
      </c>
      <c r="N269" s="57">
        <v>41897</v>
      </c>
      <c r="O269" s="56">
        <v>0</v>
      </c>
      <c r="P269" s="59">
        <v>42262</v>
      </c>
      <c r="Q269" s="32">
        <v>2</v>
      </c>
      <c r="R269" s="59">
        <v>42262</v>
      </c>
      <c r="S269" s="19">
        <v>3.2</v>
      </c>
      <c r="T269" s="59">
        <v>41532</v>
      </c>
      <c r="U269" s="19">
        <v>0.6</v>
      </c>
    </row>
    <row r="270" spans="1:21" x14ac:dyDescent="0.75">
      <c r="A270" s="59">
        <f t="shared" si="24"/>
        <v>41533</v>
      </c>
      <c r="B270" s="19">
        <f t="shared" si="25"/>
        <v>0</v>
      </c>
      <c r="C270" s="41">
        <f t="shared" ca="1" si="28"/>
        <v>0</v>
      </c>
      <c r="D270" s="41">
        <f ca="1">IF(Energy!$N$3, C270, IF(C270 &gt; 0, MAX(Energy!W270- Energy!N270, 0) / (Energy!I270 + Energy!M270) *C270, 0))</f>
        <v>0</v>
      </c>
      <c r="E270" s="41" t="b">
        <f ca="1">IF(Main!$C$25="Solar", IF(Energy!W270-Energy!N270&gt;=0, TRUE, FALSE), TRUE)</f>
        <v>1</v>
      </c>
      <c r="F270" s="41">
        <f t="shared" ca="1" si="26"/>
        <v>0</v>
      </c>
      <c r="G270" s="6">
        <f ca="1">IF(A270&gt;=$B$7,IF(E270,IF(H269-$B$6/1000&gt;0,IF($B$6/1000&gt;$B$9*24*60*60,$B$9*24*60*60,$B$6/1000),H269),($B$6/1000)*(-Energy!W270+Energy!N270)/Energy!N270),0)</f>
        <v>0.219</v>
      </c>
      <c r="H270" s="6">
        <f t="shared" ca="1" si="29"/>
        <v>0.93229776431171374</v>
      </c>
      <c r="I270" t="str">
        <f t="shared" ca="1" si="27"/>
        <v>Yes</v>
      </c>
      <c r="N270" s="57">
        <v>41898</v>
      </c>
      <c r="O270" s="56">
        <v>0</v>
      </c>
      <c r="P270" s="59">
        <v>42263</v>
      </c>
      <c r="Q270" s="32">
        <v>4</v>
      </c>
      <c r="R270" s="59">
        <v>42263</v>
      </c>
      <c r="S270" s="19">
        <v>6.4</v>
      </c>
      <c r="T270" s="59">
        <v>41533</v>
      </c>
      <c r="U270" s="19">
        <v>0</v>
      </c>
    </row>
    <row r="271" spans="1:21" x14ac:dyDescent="0.75">
      <c r="A271" s="59">
        <f t="shared" si="24"/>
        <v>41534</v>
      </c>
      <c r="B271" s="19">
        <f t="shared" si="25"/>
        <v>0.8</v>
      </c>
      <c r="C271" s="41">
        <f t="shared" ca="1" si="28"/>
        <v>0.08</v>
      </c>
      <c r="D271" s="41">
        <f ca="1">IF(Energy!$N$3, C271, IF(C271 &gt; 0, MAX(Energy!W271- Energy!N271, 0) / (Energy!I271 + Energy!M271) *C271, 0))</f>
        <v>7.9999999999999974E-2</v>
      </c>
      <c r="E271" s="41" t="b">
        <f ca="1">IF(Main!$C$25="Solar", IF(Energy!W271-Energy!N271&gt;=0, TRUE, FALSE), TRUE)</f>
        <v>1</v>
      </c>
      <c r="F271" s="41">
        <f t="shared" ca="1" si="26"/>
        <v>4.445420453938196E-2</v>
      </c>
      <c r="G271" s="6">
        <f ca="1">IF(A271&gt;=$B$7,IF(E271,IF(H270-$B$6/1000&gt;0,IF($B$6/1000&gt;$B$9*24*60*60,$B$9*24*60*60,$B$6/1000),H270),($B$6/1000)*(-Energy!W271+Energy!N271)/Energy!N271),0)</f>
        <v>0.219</v>
      </c>
      <c r="H271" s="6">
        <f t="shared" ca="1" si="29"/>
        <v>0.79329776431171373</v>
      </c>
      <c r="I271" t="str">
        <f t="shared" ca="1" si="27"/>
        <v>Yes</v>
      </c>
      <c r="N271" s="57">
        <v>41899</v>
      </c>
      <c r="O271" s="56">
        <v>0</v>
      </c>
      <c r="P271" s="59">
        <v>42264</v>
      </c>
      <c r="Q271" s="32">
        <v>2.8</v>
      </c>
      <c r="R271" s="59">
        <v>42264</v>
      </c>
      <c r="S271" s="19">
        <v>2</v>
      </c>
      <c r="T271" s="59">
        <v>41534</v>
      </c>
      <c r="U271" s="19">
        <v>0.8</v>
      </c>
    </row>
    <row r="272" spans="1:21" x14ac:dyDescent="0.75">
      <c r="A272" s="59">
        <f t="shared" si="24"/>
        <v>41535</v>
      </c>
      <c r="B272" s="19">
        <f t="shared" si="25"/>
        <v>1.2</v>
      </c>
      <c r="C272" s="41">
        <f t="shared" ca="1" si="28"/>
        <v>0.12</v>
      </c>
      <c r="D272" s="41">
        <f ca="1">IF(Energy!$N$3, C272, IF(C272 &gt; 0, MAX(Energy!W272- Energy!N272, 0) / (Energy!I272 + Energy!M272) *C272, 0))</f>
        <v>0.12</v>
      </c>
      <c r="E272" s="41" t="b">
        <f ca="1">IF(Main!$C$25="Solar", IF(Energy!W272-Energy!N272&gt;=0, TRUE, FALSE), TRUE)</f>
        <v>1</v>
      </c>
      <c r="F272" s="41">
        <f t="shared" ca="1" si="26"/>
        <v>6.6681306809072957E-2</v>
      </c>
      <c r="G272" s="6">
        <f ca="1">IF(A272&gt;=$B$7,IF(E272,IF(H271-$B$6/1000&gt;0,IF($B$6/1000&gt;$B$9*24*60*60,$B$9*24*60*60,$B$6/1000),H271),($B$6/1000)*(-Energy!W272+Energy!N272)/Energy!N272),0)</f>
        <v>0.219</v>
      </c>
      <c r="H272" s="6">
        <f t="shared" ca="1" si="29"/>
        <v>0.69429776431171375</v>
      </c>
      <c r="I272" t="str">
        <f t="shared" ca="1" si="27"/>
        <v>Yes</v>
      </c>
      <c r="N272" s="57">
        <v>41900</v>
      </c>
      <c r="O272" s="56">
        <v>26.4</v>
      </c>
      <c r="P272" s="59">
        <v>42265</v>
      </c>
      <c r="Q272" s="32">
        <v>46.4</v>
      </c>
      <c r="R272" s="59">
        <v>42265</v>
      </c>
      <c r="S272" s="19">
        <v>8.6</v>
      </c>
      <c r="T272" s="59">
        <v>41535</v>
      </c>
      <c r="U272" s="19">
        <v>1.2</v>
      </c>
    </row>
    <row r="273" spans="1:21" x14ac:dyDescent="0.75">
      <c r="A273" s="59">
        <f t="shared" si="24"/>
        <v>41536</v>
      </c>
      <c r="B273" s="19">
        <f t="shared" si="25"/>
        <v>0.8</v>
      </c>
      <c r="C273" s="41">
        <f t="shared" ca="1" si="28"/>
        <v>0.08</v>
      </c>
      <c r="D273" s="41">
        <f ca="1">IF(Energy!$N$3, C273, IF(C273 &gt; 0, MAX(Energy!W273- Energy!N273, 0) / (Energy!I273 + Energy!M273) *C273, 0))</f>
        <v>7.9999999999999974E-2</v>
      </c>
      <c r="E273" s="41" t="b">
        <f ca="1">IF(Main!$C$25="Solar", IF(Energy!W273-Energy!N273&gt;=0, TRUE, FALSE), TRUE)</f>
        <v>1</v>
      </c>
      <c r="F273" s="41">
        <f t="shared" ca="1" si="26"/>
        <v>4.445420453938196E-2</v>
      </c>
      <c r="G273" s="6">
        <f ca="1">IF(A273&gt;=$B$7,IF(E273,IF(H272-$B$6/1000&gt;0,IF($B$6/1000&gt;$B$9*24*60*60,$B$9*24*60*60,$B$6/1000),H272),($B$6/1000)*(-Energy!W273+Energy!N273)/Energy!N273),0)</f>
        <v>0.219</v>
      </c>
      <c r="H273" s="6">
        <f t="shared" ca="1" si="29"/>
        <v>0.55529776431171374</v>
      </c>
      <c r="I273" t="str">
        <f t="shared" ca="1" si="27"/>
        <v>Yes</v>
      </c>
      <c r="N273" s="57">
        <v>41901</v>
      </c>
      <c r="O273" s="56">
        <v>0.4</v>
      </c>
      <c r="P273" s="59">
        <v>42266</v>
      </c>
      <c r="Q273" s="32">
        <v>86.8</v>
      </c>
      <c r="R273" s="59">
        <v>42266</v>
      </c>
      <c r="S273" s="19">
        <v>9.8000000000000007</v>
      </c>
      <c r="T273" s="59">
        <v>41536</v>
      </c>
      <c r="U273" s="19">
        <v>0.8</v>
      </c>
    </row>
    <row r="274" spans="1:21" x14ac:dyDescent="0.75">
      <c r="A274" s="59">
        <f t="shared" si="24"/>
        <v>41537</v>
      </c>
      <c r="B274" s="19">
        <f t="shared" si="25"/>
        <v>1.4</v>
      </c>
      <c r="C274" s="41">
        <f t="shared" ca="1" si="28"/>
        <v>0.14000000000000001</v>
      </c>
      <c r="D274" s="41">
        <f ca="1">IF(Energy!$N$3, C274, IF(C274 &gt; 0, MAX(Energy!W274- Energy!N274, 0) / (Energy!I274 + Energy!M274) *C274, 0))</f>
        <v>0.13999999999999999</v>
      </c>
      <c r="E274" s="41" t="b">
        <f ca="1">IF(Main!$C$25="Solar", IF(Energy!W274-Energy!N274&gt;=0, TRUE, FALSE), TRUE)</f>
        <v>1</v>
      </c>
      <c r="F274" s="41">
        <f t="shared" ca="1" si="26"/>
        <v>7.7794857943918438E-2</v>
      </c>
      <c r="G274" s="6">
        <f ca="1">IF(A274&gt;=$B$7,IF(E274,IF(H273-$B$6/1000&gt;0,IF($B$6/1000&gt;$B$9*24*60*60,$B$9*24*60*60,$B$6/1000),H273),($B$6/1000)*(-Energy!W274+Energy!N274)/Energy!N274),0)</f>
        <v>0.219</v>
      </c>
      <c r="H274" s="6">
        <f t="shared" ca="1" si="29"/>
        <v>0.47629776431171378</v>
      </c>
      <c r="I274" t="str">
        <f t="shared" ca="1" si="27"/>
        <v>Yes</v>
      </c>
      <c r="N274" s="57">
        <v>41902</v>
      </c>
      <c r="O274" s="56">
        <v>0</v>
      </c>
      <c r="P274" s="59">
        <v>42267</v>
      </c>
      <c r="Q274" s="32">
        <v>1.4</v>
      </c>
      <c r="R274" s="59">
        <v>42267</v>
      </c>
      <c r="S274" s="19">
        <v>7.4</v>
      </c>
      <c r="T274" s="59">
        <v>41537</v>
      </c>
      <c r="U274" s="19">
        <v>1.4</v>
      </c>
    </row>
    <row r="275" spans="1:21" x14ac:dyDescent="0.75">
      <c r="A275" s="59">
        <f t="shared" si="24"/>
        <v>41538</v>
      </c>
      <c r="B275" s="19">
        <f t="shared" si="25"/>
        <v>1.4</v>
      </c>
      <c r="C275" s="41">
        <f t="shared" ca="1" si="28"/>
        <v>0.14000000000000001</v>
      </c>
      <c r="D275" s="41">
        <f ca="1">IF(Energy!$N$3, C275, IF(C275 &gt; 0, MAX(Energy!W275- Energy!N275, 0) / (Energy!I275 + Energy!M275) *C275, 0))</f>
        <v>0.13999999999999999</v>
      </c>
      <c r="E275" s="41" t="b">
        <f ca="1">IF(Main!$C$25="Solar", IF(Energy!W275-Energy!N275&gt;=0, TRUE, FALSE), TRUE)</f>
        <v>1</v>
      </c>
      <c r="F275" s="41">
        <f t="shared" ca="1" si="26"/>
        <v>7.7794857943918438E-2</v>
      </c>
      <c r="G275" s="6">
        <f ca="1">IF(A275&gt;=$B$7,IF(E275,IF(H274-$B$6/1000&gt;0,IF($B$6/1000&gt;$B$9*24*60*60,$B$9*24*60*60,$B$6/1000),H274),($B$6/1000)*(-Energy!W275+Energy!N275)/Energy!N275),0)</f>
        <v>0.219</v>
      </c>
      <c r="H275" s="6">
        <f t="shared" ca="1" si="29"/>
        <v>0.39729776431171382</v>
      </c>
      <c r="I275" t="str">
        <f t="shared" ca="1" si="27"/>
        <v>Yes</v>
      </c>
      <c r="N275" s="57">
        <v>41903</v>
      </c>
      <c r="O275" s="56">
        <v>2</v>
      </c>
      <c r="P275" s="59">
        <v>42268</v>
      </c>
      <c r="Q275" s="32">
        <v>4.2</v>
      </c>
      <c r="R275" s="59">
        <v>42268</v>
      </c>
      <c r="S275" s="19">
        <v>0</v>
      </c>
      <c r="T275" s="59">
        <v>41538</v>
      </c>
      <c r="U275" s="19">
        <v>1.4</v>
      </c>
    </row>
    <row r="276" spans="1:21" x14ac:dyDescent="0.75">
      <c r="A276" s="59">
        <f t="shared" si="24"/>
        <v>41539</v>
      </c>
      <c r="B276" s="19">
        <f t="shared" si="25"/>
        <v>5</v>
      </c>
      <c r="C276" s="41">
        <f t="shared" ca="1" si="28"/>
        <v>0.5</v>
      </c>
      <c r="D276" s="41">
        <f ca="1">IF(Energy!$N$3, C276, IF(C276 &gt; 0, MAX(Energy!W276- Energy!N276, 0) / (Energy!I276 + Energy!M276) *C276, 0))</f>
        <v>0.50000000000000011</v>
      </c>
      <c r="E276" s="41" t="b">
        <f ca="1">IF(Main!$C$25="Solar", IF(Energy!W276-Energy!N276&gt;=0, TRUE, FALSE), TRUE)</f>
        <v>1</v>
      </c>
      <c r="F276" s="41">
        <f t="shared" ca="1" si="26"/>
        <v>0.27783877837113741</v>
      </c>
      <c r="G276" s="6">
        <f ca="1">IF(A276&gt;=$B$7,IF(E276,IF(H275-$B$6/1000&gt;0,IF($B$6/1000&gt;$B$9*24*60*60,$B$9*24*60*60,$B$6/1000),H275),($B$6/1000)*(-Energy!W276+Energy!N276)/Energy!N276),0)</f>
        <v>0.219</v>
      </c>
      <c r="H276" s="6">
        <f t="shared" ca="1" si="29"/>
        <v>0.67829776431171396</v>
      </c>
      <c r="I276" t="str">
        <f t="shared" ca="1" si="27"/>
        <v>Yes</v>
      </c>
      <c r="N276" s="57">
        <v>41904</v>
      </c>
      <c r="O276" s="56">
        <v>12.4</v>
      </c>
      <c r="P276" s="59">
        <v>42269</v>
      </c>
      <c r="Q276" s="32">
        <v>39.799999999999997</v>
      </c>
      <c r="R276" s="59">
        <v>42269</v>
      </c>
      <c r="S276" s="19">
        <v>0</v>
      </c>
      <c r="T276" s="59">
        <v>41539</v>
      </c>
      <c r="U276" s="19">
        <v>5</v>
      </c>
    </row>
    <row r="277" spans="1:21" x14ac:dyDescent="0.75">
      <c r="A277" s="59">
        <f t="shared" si="24"/>
        <v>41540</v>
      </c>
      <c r="B277" s="19">
        <f t="shared" si="25"/>
        <v>1.2</v>
      </c>
      <c r="C277" s="41">
        <f t="shared" ca="1" si="28"/>
        <v>0.12</v>
      </c>
      <c r="D277" s="41">
        <f ca="1">IF(Energy!$N$3, C277, IF(C277 &gt; 0, MAX(Energy!W277- Energy!N277, 0) / (Energy!I277 + Energy!M277) *C277, 0))</f>
        <v>0.12</v>
      </c>
      <c r="E277" s="41" t="b">
        <f ca="1">IF(Main!$C$25="Solar", IF(Energy!W277-Energy!N277&gt;=0, TRUE, FALSE), TRUE)</f>
        <v>1</v>
      </c>
      <c r="F277" s="41">
        <f t="shared" ca="1" si="26"/>
        <v>6.6681306809072957E-2</v>
      </c>
      <c r="G277" s="6">
        <f ca="1">IF(A277&gt;=$B$7,IF(E277,IF(H276-$B$6/1000&gt;0,IF($B$6/1000&gt;$B$9*24*60*60,$B$9*24*60*60,$B$6/1000),H276),($B$6/1000)*(-Energy!W277+Energy!N277)/Energy!N277),0)</f>
        <v>0.219</v>
      </c>
      <c r="H277" s="6">
        <f t="shared" ca="1" si="29"/>
        <v>0.57929776431171398</v>
      </c>
      <c r="I277" t="str">
        <f t="shared" ca="1" si="27"/>
        <v>Yes</v>
      </c>
      <c r="N277" s="57">
        <v>41905</v>
      </c>
      <c r="O277" s="56">
        <v>29.4</v>
      </c>
      <c r="P277" s="59">
        <v>42270</v>
      </c>
      <c r="Q277" s="32">
        <v>29.8</v>
      </c>
      <c r="R277" s="59">
        <v>42270</v>
      </c>
      <c r="S277" s="19">
        <v>8.4</v>
      </c>
      <c r="T277" s="59">
        <v>41540</v>
      </c>
      <c r="U277" s="19">
        <v>1.2</v>
      </c>
    </row>
    <row r="278" spans="1:21" x14ac:dyDescent="0.75">
      <c r="A278" s="59">
        <f t="shared" si="24"/>
        <v>41541</v>
      </c>
      <c r="B278" s="19">
        <f t="shared" si="25"/>
        <v>1.6</v>
      </c>
      <c r="C278" s="41">
        <f t="shared" ca="1" si="28"/>
        <v>0.16</v>
      </c>
      <c r="D278" s="41">
        <f ca="1">IF(Energy!$N$3, C278, IF(C278 &gt; 0, MAX(Energy!W278- Energy!N278, 0) / (Energy!I278 + Energy!M278) *C278, 0))</f>
        <v>0.16000000000000003</v>
      </c>
      <c r="E278" s="41" t="b">
        <f ca="1">IF(Main!$C$25="Solar", IF(Energy!W278-Energy!N278&gt;=0, TRUE, FALSE), TRUE)</f>
        <v>1</v>
      </c>
      <c r="F278" s="41">
        <f t="shared" ca="1" si="26"/>
        <v>8.8908409078763961E-2</v>
      </c>
      <c r="G278" s="6">
        <f ca="1">IF(A278&gt;=$B$7,IF(E278,IF(H277-$B$6/1000&gt;0,IF($B$6/1000&gt;$B$9*24*60*60,$B$9*24*60*60,$B$6/1000),H277),($B$6/1000)*(-Energy!W278+Energy!N278)/Energy!N278),0)</f>
        <v>0.219</v>
      </c>
      <c r="H278" s="6">
        <f t="shared" ca="1" si="29"/>
        <v>0.52029776431171404</v>
      </c>
      <c r="I278" t="str">
        <f t="shared" ca="1" si="27"/>
        <v>Yes</v>
      </c>
      <c r="N278" s="57">
        <v>41906</v>
      </c>
      <c r="O278" s="56">
        <v>1.6</v>
      </c>
      <c r="P278" s="59">
        <v>42271</v>
      </c>
      <c r="Q278" s="32">
        <v>11.8</v>
      </c>
      <c r="R278" s="59">
        <v>42271</v>
      </c>
      <c r="S278" s="19">
        <v>7.8</v>
      </c>
      <c r="T278" s="59">
        <v>41541</v>
      </c>
      <c r="U278" s="19">
        <v>1.6</v>
      </c>
    </row>
    <row r="279" spans="1:21" x14ac:dyDescent="0.75">
      <c r="A279" s="59">
        <f t="shared" si="24"/>
        <v>41542</v>
      </c>
      <c r="B279" s="19">
        <f t="shared" si="25"/>
        <v>0</v>
      </c>
      <c r="C279" s="41">
        <f t="shared" ca="1" si="28"/>
        <v>0</v>
      </c>
      <c r="D279" s="41">
        <f ca="1">IF(Energy!$N$3, C279, IF(C279 &gt; 0, MAX(Energy!W279- Energy!N279, 0) / (Energy!I279 + Energy!M279) *C279, 0))</f>
        <v>0</v>
      </c>
      <c r="E279" s="41" t="b">
        <f ca="1">IF(Main!$C$25="Solar", IF(Energy!W279-Energy!N279&gt;=0, TRUE, FALSE), TRUE)</f>
        <v>1</v>
      </c>
      <c r="F279" s="41">
        <f t="shared" ca="1" si="26"/>
        <v>0</v>
      </c>
      <c r="G279" s="6">
        <f ca="1">IF(A279&gt;=$B$7,IF(E279,IF(H278-$B$6/1000&gt;0,IF($B$6/1000&gt;$B$9*24*60*60,$B$9*24*60*60,$B$6/1000),H278),($B$6/1000)*(-Energy!W279+Energy!N279)/Energy!N279),0)</f>
        <v>0.219</v>
      </c>
      <c r="H279" s="6">
        <f t="shared" ca="1" si="29"/>
        <v>0.30129776431171407</v>
      </c>
      <c r="I279" t="str">
        <f t="shared" ca="1" si="27"/>
        <v>Yes</v>
      </c>
      <c r="N279" s="57">
        <v>41907</v>
      </c>
      <c r="O279" s="56">
        <v>0.6</v>
      </c>
      <c r="P279" s="59">
        <v>42272</v>
      </c>
      <c r="Q279" s="32">
        <v>1.6</v>
      </c>
      <c r="R279" s="59">
        <v>42272</v>
      </c>
      <c r="S279" s="19">
        <v>0.4</v>
      </c>
      <c r="T279" s="59">
        <v>41542</v>
      </c>
      <c r="U279" s="19">
        <v>0</v>
      </c>
    </row>
    <row r="280" spans="1:21" x14ac:dyDescent="0.75">
      <c r="A280" s="59">
        <f t="shared" si="24"/>
        <v>41543</v>
      </c>
      <c r="B280" s="19">
        <f t="shared" si="25"/>
        <v>4</v>
      </c>
      <c r="C280" s="41">
        <f t="shared" ca="1" si="28"/>
        <v>0.4</v>
      </c>
      <c r="D280" s="41">
        <f ca="1">IF(Energy!$N$3, C280, IF(C280 &gt; 0, MAX(Energy!W280- Energy!N280, 0) / (Energy!I280 + Energy!M280) *C280, 0))</f>
        <v>0.39999999999999991</v>
      </c>
      <c r="E280" s="41" t="b">
        <f ca="1">IF(Main!$C$25="Solar", IF(Energy!W280-Energy!N280&gt;=0, TRUE, FALSE), TRUE)</f>
        <v>1</v>
      </c>
      <c r="F280" s="41">
        <f t="shared" ca="1" si="26"/>
        <v>0.22227102269690982</v>
      </c>
      <c r="G280" s="6">
        <f ca="1">IF(A280&gt;=$B$7,IF(E280,IF(H279-$B$6/1000&gt;0,IF($B$6/1000&gt;$B$9*24*60*60,$B$9*24*60*60,$B$6/1000),H279),($B$6/1000)*(-Energy!W280+Energy!N280)/Energy!N280),0)</f>
        <v>0.219</v>
      </c>
      <c r="H280" s="6">
        <f t="shared" ca="1" si="29"/>
        <v>0.48229776431171401</v>
      </c>
      <c r="I280" t="str">
        <f t="shared" ca="1" si="27"/>
        <v>Yes</v>
      </c>
      <c r="N280" s="57">
        <v>41908</v>
      </c>
      <c r="O280" s="56">
        <v>8.1999999999999993</v>
      </c>
      <c r="P280" s="59">
        <v>42273</v>
      </c>
      <c r="Q280" s="32">
        <v>0</v>
      </c>
      <c r="R280" s="59">
        <v>42273</v>
      </c>
      <c r="S280" s="19">
        <v>0</v>
      </c>
      <c r="T280" s="59">
        <v>41543</v>
      </c>
      <c r="U280" s="19">
        <v>4</v>
      </c>
    </row>
    <row r="281" spans="1:21" x14ac:dyDescent="0.75">
      <c r="A281" s="59">
        <f t="shared" si="24"/>
        <v>41544</v>
      </c>
      <c r="B281" s="19">
        <f t="shared" si="25"/>
        <v>1.6</v>
      </c>
      <c r="C281" s="41">
        <f t="shared" ca="1" si="28"/>
        <v>0.16</v>
      </c>
      <c r="D281" s="41">
        <f ca="1">IF(Energy!$N$3, C281, IF(C281 &gt; 0, MAX(Energy!W281- Energy!N281, 0) / (Energy!I281 + Energy!M281) *C281, 0))</f>
        <v>0.16000000000000003</v>
      </c>
      <c r="E281" s="41" t="b">
        <f ca="1">IF(Main!$C$25="Solar", IF(Energy!W281-Energy!N281&gt;=0, TRUE, FALSE), TRUE)</f>
        <v>1</v>
      </c>
      <c r="F281" s="41">
        <f t="shared" ca="1" si="26"/>
        <v>8.8908409078763961E-2</v>
      </c>
      <c r="G281" s="6">
        <f ca="1">IF(A281&gt;=$B$7,IF(E281,IF(H280-$B$6/1000&gt;0,IF($B$6/1000&gt;$B$9*24*60*60,$B$9*24*60*60,$B$6/1000),H280),($B$6/1000)*(-Energy!W281+Energy!N281)/Energy!N281),0)</f>
        <v>0.219</v>
      </c>
      <c r="H281" s="6">
        <f t="shared" ca="1" si="29"/>
        <v>0.42329776431171406</v>
      </c>
      <c r="I281" t="str">
        <f t="shared" ca="1" si="27"/>
        <v>Yes</v>
      </c>
      <c r="N281" s="57">
        <v>41909</v>
      </c>
      <c r="O281" s="56">
        <v>0</v>
      </c>
      <c r="P281" s="59">
        <v>42274</v>
      </c>
      <c r="Q281" s="32">
        <v>0</v>
      </c>
      <c r="R281" s="59">
        <v>42274</v>
      </c>
      <c r="S281" s="19">
        <v>0</v>
      </c>
      <c r="T281" s="59">
        <v>41544</v>
      </c>
      <c r="U281" s="19">
        <v>1.6</v>
      </c>
    </row>
    <row r="282" spans="1:21" x14ac:dyDescent="0.75">
      <c r="A282" s="59">
        <f t="shared" si="24"/>
        <v>41545</v>
      </c>
      <c r="B282" s="19">
        <f t="shared" si="25"/>
        <v>11</v>
      </c>
      <c r="C282" s="41">
        <f t="shared" ca="1" si="28"/>
        <v>1.1000000000000001</v>
      </c>
      <c r="D282" s="41">
        <f ca="1">IF(Energy!$N$3, C282, IF(C282 &gt; 0, MAX(Energy!W282- Energy!N282, 0) / (Energy!I282 + Energy!M282) *C282, 0))</f>
        <v>1.1000000000000001</v>
      </c>
      <c r="E282" s="41" t="b">
        <f ca="1">IF(Main!$C$25="Solar", IF(Energy!W282-Energy!N282&gt;=0, TRUE, FALSE), TRUE)</f>
        <v>1</v>
      </c>
      <c r="F282" s="41">
        <f t="shared" ca="1" si="26"/>
        <v>0.61124531241650215</v>
      </c>
      <c r="G282" s="6">
        <f ca="1">IF(A282&gt;=$B$7,IF(E282,IF(H281-$B$6/1000&gt;0,IF($B$6/1000&gt;$B$9*24*60*60,$B$9*24*60*60,$B$6/1000),H281),($B$6/1000)*(-Energy!W282+Energy!N282)/Energy!N282),0)</f>
        <v>0.219</v>
      </c>
      <c r="H282" s="6">
        <f t="shared" ca="1" si="29"/>
        <v>1.3042977643117142</v>
      </c>
      <c r="I282" t="str">
        <f t="shared" ca="1" si="27"/>
        <v>Yes</v>
      </c>
      <c r="N282" s="57">
        <v>41910</v>
      </c>
      <c r="O282" s="56">
        <v>12.4</v>
      </c>
      <c r="P282" s="59">
        <v>42275</v>
      </c>
      <c r="Q282" s="32">
        <v>0</v>
      </c>
      <c r="R282" s="59">
        <v>42275</v>
      </c>
      <c r="S282" s="19">
        <v>0</v>
      </c>
      <c r="T282" s="59">
        <v>41545</v>
      </c>
      <c r="U282" s="19">
        <v>11</v>
      </c>
    </row>
    <row r="283" spans="1:21" x14ac:dyDescent="0.75">
      <c r="A283" s="59">
        <f t="shared" si="24"/>
        <v>41546</v>
      </c>
      <c r="B283" s="19">
        <f t="shared" si="25"/>
        <v>5</v>
      </c>
      <c r="C283" s="41">
        <f t="shared" ca="1" si="28"/>
        <v>0.5</v>
      </c>
      <c r="D283" s="41">
        <f ca="1">IF(Energy!$N$3, C283, IF(C283 &gt; 0, MAX(Energy!W283- Energy!N283, 0) / (Energy!I283 + Energy!M283) *C283, 0))</f>
        <v>0.50000000000000011</v>
      </c>
      <c r="E283" s="41" t="b">
        <f ca="1">IF(Main!$C$25="Solar", IF(Energy!W283-Energy!N283&gt;=0, TRUE, FALSE), TRUE)</f>
        <v>1</v>
      </c>
      <c r="F283" s="41">
        <f t="shared" ca="1" si="26"/>
        <v>0.27783877837113741</v>
      </c>
      <c r="G283" s="6">
        <f ca="1">IF(A283&gt;=$B$7,IF(E283,IF(H282-$B$6/1000&gt;0,IF($B$6/1000&gt;$B$9*24*60*60,$B$9*24*60*60,$B$6/1000),H282),($B$6/1000)*(-Energy!W283+Energy!N283)/Energy!N283),0)</f>
        <v>0.219</v>
      </c>
      <c r="H283" s="6">
        <f t="shared" ca="1" si="29"/>
        <v>1.5852977643117143</v>
      </c>
      <c r="I283" t="str">
        <f t="shared" ca="1" si="27"/>
        <v>Yes</v>
      </c>
      <c r="N283" s="57">
        <v>41911</v>
      </c>
      <c r="O283" s="56">
        <v>5.6</v>
      </c>
      <c r="P283" s="59">
        <v>42276</v>
      </c>
      <c r="Q283" s="32">
        <v>0</v>
      </c>
      <c r="R283" s="59">
        <v>42276</v>
      </c>
      <c r="S283" s="19">
        <v>0</v>
      </c>
      <c r="T283" s="59">
        <v>41546</v>
      </c>
      <c r="U283" s="19">
        <v>5</v>
      </c>
    </row>
    <row r="284" spans="1:21" x14ac:dyDescent="0.75">
      <c r="A284" s="59">
        <f t="shared" si="24"/>
        <v>41547</v>
      </c>
      <c r="B284" s="19">
        <f t="shared" si="25"/>
        <v>2.2000000000000002</v>
      </c>
      <c r="C284" s="41">
        <f t="shared" ca="1" si="28"/>
        <v>0.22000000000000003</v>
      </c>
      <c r="D284" s="41">
        <f ca="1">IF(Energy!$N$3, C284, IF(C284 &gt; 0, MAX(Energy!W284- Energy!N284, 0) / (Energy!I284 + Energy!M284) *C284, 0))</f>
        <v>0.22000000000000003</v>
      </c>
      <c r="E284" s="41" t="b">
        <f ca="1">IF(Main!$C$25="Solar", IF(Energy!W284-Energy!N284&gt;=0, TRUE, FALSE), TRUE)</f>
        <v>1</v>
      </c>
      <c r="F284" s="41">
        <f t="shared" ca="1" si="26"/>
        <v>0.12224906248330043</v>
      </c>
      <c r="G284" s="6">
        <f ca="1">IF(A284&gt;=$B$7,IF(E284,IF(H283-$B$6/1000&gt;0,IF($B$6/1000&gt;$B$9*24*60*60,$B$9*24*60*60,$B$6/1000),H283),($B$6/1000)*(-Energy!W284+Energy!N284)/Energy!N284),0)</f>
        <v>0.219</v>
      </c>
      <c r="H284" s="6">
        <f t="shared" ca="1" si="29"/>
        <v>1.5862977643117142</v>
      </c>
      <c r="I284" t="str">
        <f t="shared" ca="1" si="27"/>
        <v>Yes</v>
      </c>
      <c r="N284" s="57">
        <v>41912</v>
      </c>
      <c r="O284" s="56">
        <v>0</v>
      </c>
      <c r="P284" s="59">
        <v>42277</v>
      </c>
      <c r="Q284" s="32">
        <v>0</v>
      </c>
      <c r="R284" s="59">
        <v>42277</v>
      </c>
      <c r="S284" s="19">
        <v>0</v>
      </c>
      <c r="T284" s="59">
        <v>41547</v>
      </c>
      <c r="U284" s="19">
        <v>2.2000000000000002</v>
      </c>
    </row>
    <row r="285" spans="1:21" x14ac:dyDescent="0.75">
      <c r="A285" s="59">
        <f t="shared" si="24"/>
        <v>41548</v>
      </c>
      <c r="B285" s="19">
        <f t="shared" si="25"/>
        <v>0</v>
      </c>
      <c r="C285" s="41">
        <f t="shared" ca="1" si="28"/>
        <v>0</v>
      </c>
      <c r="D285" s="41">
        <f ca="1">IF(Energy!$N$3, C285, IF(C285 &gt; 0, MAX(Energy!W285- Energy!N285, 0) / (Energy!I285 + Energy!M285) *C285, 0))</f>
        <v>0</v>
      </c>
      <c r="E285" s="41" t="b">
        <f ca="1">IF(Main!$C$25="Solar", IF(Energy!W285-Energy!N285&gt;=0, TRUE, FALSE), TRUE)</f>
        <v>1</v>
      </c>
      <c r="F285" s="41">
        <f t="shared" ca="1" si="26"/>
        <v>0</v>
      </c>
      <c r="G285" s="6">
        <f ca="1">IF(A285&gt;=$B$7,IF(E285,IF(H284-$B$6/1000&gt;0,IF($B$6/1000&gt;$B$9*24*60*60,$B$9*24*60*60,$B$6/1000),H284),($B$6/1000)*(-Energy!W285+Energy!N285)/Energy!N285),0)</f>
        <v>0.219</v>
      </c>
      <c r="H285" s="6">
        <f t="shared" ca="1" si="29"/>
        <v>1.3672977643117141</v>
      </c>
      <c r="I285" t="str">
        <f t="shared" ca="1" si="27"/>
        <v>Yes</v>
      </c>
      <c r="N285" s="57">
        <v>41913</v>
      </c>
      <c r="O285" s="56">
        <v>0</v>
      </c>
      <c r="P285" s="59">
        <v>42278</v>
      </c>
      <c r="Q285" s="32">
        <v>0</v>
      </c>
      <c r="R285" s="59">
        <v>42278</v>
      </c>
      <c r="S285" s="19">
        <v>0</v>
      </c>
      <c r="T285" s="59">
        <v>41548</v>
      </c>
      <c r="U285" s="19">
        <v>0</v>
      </c>
    </row>
    <row r="286" spans="1:21" x14ac:dyDescent="0.75">
      <c r="A286" s="59">
        <f t="shared" si="24"/>
        <v>41549</v>
      </c>
      <c r="B286" s="19">
        <f t="shared" si="25"/>
        <v>0</v>
      </c>
      <c r="C286" s="41">
        <f t="shared" ca="1" si="28"/>
        <v>0</v>
      </c>
      <c r="D286" s="41">
        <f ca="1">IF(Energy!$N$3, C286, IF(C286 &gt; 0, MAX(Energy!W286- Energy!N286, 0) / (Energy!I286 + Energy!M286) *C286, 0))</f>
        <v>0</v>
      </c>
      <c r="E286" s="41" t="b">
        <f ca="1">IF(Main!$C$25="Solar", IF(Energy!W286-Energy!N286&gt;=0, TRUE, FALSE), TRUE)</f>
        <v>1</v>
      </c>
      <c r="F286" s="41">
        <f t="shared" ca="1" si="26"/>
        <v>0</v>
      </c>
      <c r="G286" s="6">
        <f ca="1">IF(A286&gt;=$B$7,IF(E286,IF(H285-$B$6/1000&gt;0,IF($B$6/1000&gt;$B$9*24*60*60,$B$9*24*60*60,$B$6/1000),H285),($B$6/1000)*(-Energy!W286+Energy!N286)/Energy!N286),0)</f>
        <v>0.219</v>
      </c>
      <c r="H286" s="6">
        <f t="shared" ca="1" si="29"/>
        <v>1.148297764311714</v>
      </c>
      <c r="I286" t="str">
        <f t="shared" ca="1" si="27"/>
        <v>Yes</v>
      </c>
      <c r="N286" s="57">
        <v>41914</v>
      </c>
      <c r="O286" s="56">
        <v>0</v>
      </c>
      <c r="P286" s="59">
        <v>42279</v>
      </c>
      <c r="Q286" s="32">
        <v>0</v>
      </c>
      <c r="R286" s="59">
        <v>42279</v>
      </c>
      <c r="S286" s="19">
        <v>0</v>
      </c>
      <c r="T286" s="59">
        <v>41549</v>
      </c>
      <c r="U286" s="19">
        <v>0</v>
      </c>
    </row>
    <row r="287" spans="1:21" x14ac:dyDescent="0.75">
      <c r="A287" s="59">
        <f t="shared" si="24"/>
        <v>41550</v>
      </c>
      <c r="B287" s="19">
        <f t="shared" si="25"/>
        <v>1.2</v>
      </c>
      <c r="C287" s="41">
        <f t="shared" ca="1" si="28"/>
        <v>0.12</v>
      </c>
      <c r="D287" s="41">
        <f ca="1">IF(Energy!$N$3, C287, IF(C287 &gt; 0, MAX(Energy!W287- Energy!N287, 0) / (Energy!I287 + Energy!M287) *C287, 0))</f>
        <v>0.12</v>
      </c>
      <c r="E287" s="41" t="b">
        <f ca="1">IF(Main!$C$25="Solar", IF(Energy!W287-Energy!N287&gt;=0, TRUE, FALSE), TRUE)</f>
        <v>1</v>
      </c>
      <c r="F287" s="41">
        <f t="shared" ca="1" si="26"/>
        <v>6.6681306809072957E-2</v>
      </c>
      <c r="G287" s="6">
        <f ca="1">IF(A287&gt;=$B$7,IF(E287,IF(H286-$B$6/1000&gt;0,IF($B$6/1000&gt;$B$9*24*60*60,$B$9*24*60*60,$B$6/1000),H286),($B$6/1000)*(-Energy!W287+Energy!N287)/Energy!N287),0)</f>
        <v>0.219</v>
      </c>
      <c r="H287" s="6">
        <f t="shared" ca="1" si="29"/>
        <v>1.0492977643117138</v>
      </c>
      <c r="I287" t="str">
        <f t="shared" ca="1" si="27"/>
        <v>Yes</v>
      </c>
      <c r="N287" s="57">
        <v>41915</v>
      </c>
      <c r="O287" s="56">
        <v>57.8</v>
      </c>
      <c r="P287" s="59">
        <v>42280</v>
      </c>
      <c r="Q287" s="32">
        <v>0</v>
      </c>
      <c r="R287" s="59">
        <v>42280</v>
      </c>
      <c r="S287" s="19">
        <v>0</v>
      </c>
      <c r="T287" s="59">
        <v>41550</v>
      </c>
      <c r="U287" s="19">
        <v>1.2</v>
      </c>
    </row>
    <row r="288" spans="1:21" x14ac:dyDescent="0.75">
      <c r="A288" s="59">
        <f t="shared" si="24"/>
        <v>41551</v>
      </c>
      <c r="B288" s="19">
        <f t="shared" si="25"/>
        <v>28.4</v>
      </c>
      <c r="C288" s="41">
        <f t="shared" ca="1" si="28"/>
        <v>2.5</v>
      </c>
      <c r="D288" s="41">
        <f ca="1">IF(Energy!$N$3, C288, IF(C288 &gt; 0, MAX(Energy!W288- Energy!N288, 0) / (Energy!I288 + Energy!M288) *C288, 0))</f>
        <v>1.4774418616540883</v>
      </c>
      <c r="E288" s="41" t="b">
        <f ca="1">IF(Main!$C$25="Solar", IF(Energy!W288-Energy!N288&gt;=0, TRUE, FALSE), TRUE)</f>
        <v>1</v>
      </c>
      <c r="F288" s="41">
        <f t="shared" ca="1" si="26"/>
        <v>0.82098128391270153</v>
      </c>
      <c r="G288" s="6">
        <f ca="1">IF(A288&gt;=$B$7,IF(E288,IF(H287-$B$6/1000&gt;0,IF($B$6/1000&gt;$B$9*24*60*60,$B$9*24*60*60,$B$6/1000),H287),($B$6/1000)*(-Energy!W288+Energy!N288)/Energy!N288),0)</f>
        <v>0.219</v>
      </c>
      <c r="H288" s="6">
        <f t="shared" ca="1" si="29"/>
        <v>2.3077396259658021</v>
      </c>
      <c r="I288" t="str">
        <f t="shared" ca="1" si="27"/>
        <v>Yes</v>
      </c>
      <c r="N288" s="57">
        <v>41916</v>
      </c>
      <c r="O288" s="56">
        <v>6</v>
      </c>
      <c r="P288" s="59">
        <v>42281</v>
      </c>
      <c r="Q288" s="32">
        <v>0</v>
      </c>
      <c r="R288" s="59">
        <v>42281</v>
      </c>
      <c r="S288" s="19">
        <v>0</v>
      </c>
      <c r="T288" s="59">
        <v>41551</v>
      </c>
      <c r="U288" s="19">
        <v>28.4</v>
      </c>
    </row>
    <row r="289" spans="1:21" x14ac:dyDescent="0.75">
      <c r="A289" s="59">
        <f t="shared" si="24"/>
        <v>41552</v>
      </c>
      <c r="B289" s="19">
        <f t="shared" si="25"/>
        <v>26</v>
      </c>
      <c r="C289" s="41">
        <f t="shared" ca="1" si="28"/>
        <v>2.5</v>
      </c>
      <c r="D289" s="41">
        <f ca="1">IF(Energy!$N$3, C289, IF(C289 &gt; 0, MAX(Energy!W289- Energy!N289, 0) / (Energy!I289 + Energy!M289) *C289, 0))</f>
        <v>0.80056505297995684</v>
      </c>
      <c r="E289" s="41" t="b">
        <f ca="1">IF(Main!$C$25="Solar", IF(Energy!W289-Energy!N289&gt;=0, TRUE, FALSE), TRUE)</f>
        <v>1</v>
      </c>
      <c r="F289" s="41">
        <f t="shared" ca="1" si="26"/>
        <v>0.4448560326531521</v>
      </c>
      <c r="G289" s="6">
        <f ca="1">IF(A289&gt;=$B$7,IF(E289,IF(H288-$B$6/1000&gt;0,IF($B$6/1000&gt;$B$9*24*60*60,$B$9*24*60*60,$B$6/1000),H288),($B$6/1000)*(-Energy!W289+Energy!N289)/Energy!N289),0)</f>
        <v>0.219</v>
      </c>
      <c r="H289" s="6">
        <f t="shared" ca="1" si="29"/>
        <v>2.8893046789457588</v>
      </c>
      <c r="I289" t="str">
        <f t="shared" ca="1" si="27"/>
        <v>Yes</v>
      </c>
      <c r="N289" s="57">
        <v>41917</v>
      </c>
      <c r="O289" s="56">
        <v>9.1999999999999993</v>
      </c>
      <c r="P289" s="59">
        <v>42282</v>
      </c>
      <c r="Q289" s="32">
        <v>0</v>
      </c>
      <c r="R289" s="59">
        <v>42282</v>
      </c>
      <c r="S289" s="19">
        <v>0</v>
      </c>
      <c r="T289" s="59">
        <v>41552</v>
      </c>
      <c r="U289" s="19">
        <v>26</v>
      </c>
    </row>
    <row r="290" spans="1:21" x14ac:dyDescent="0.75">
      <c r="A290" s="59">
        <f t="shared" si="24"/>
        <v>41553</v>
      </c>
      <c r="B290" s="19">
        <f t="shared" si="25"/>
        <v>8.8000000000000007</v>
      </c>
      <c r="C290" s="41">
        <f t="shared" ca="1" si="28"/>
        <v>0.88000000000000012</v>
      </c>
      <c r="D290" s="41">
        <f ca="1">IF(Energy!$N$3, C290, IF(C290 &gt; 0, MAX(Energy!W290- Energy!N290, 0) / (Energy!I290 + Energy!M290) *C290, 0))</f>
        <v>0.80056505297995706</v>
      </c>
      <c r="E290" s="41" t="b">
        <f ca="1">IF(Main!$C$25="Solar", IF(Energy!W290-Energy!N290&gt;=0, TRUE, FALSE), TRUE)</f>
        <v>1</v>
      </c>
      <c r="F290" s="41">
        <f t="shared" ca="1" si="26"/>
        <v>0.44485603265315221</v>
      </c>
      <c r="G290" s="6">
        <f ca="1">IF(A290&gt;=$B$7,IF(E290,IF(H289-$B$6/1000&gt;0,IF($B$6/1000&gt;$B$9*24*60*60,$B$9*24*60*60,$B$6/1000),H289),($B$6/1000)*(-Energy!W290+Energy!N290)/Energy!N290),0)</f>
        <v>0.219</v>
      </c>
      <c r="H290" s="6">
        <f t="shared" ca="1" si="29"/>
        <v>3.470869731925716</v>
      </c>
      <c r="I290" t="str">
        <f t="shared" ca="1" si="27"/>
        <v>Yes</v>
      </c>
      <c r="N290" s="57">
        <v>41918</v>
      </c>
      <c r="O290" s="56">
        <v>0.4</v>
      </c>
      <c r="P290" s="59">
        <v>42283</v>
      </c>
      <c r="Q290" s="32">
        <v>4</v>
      </c>
      <c r="R290" s="59">
        <v>42283</v>
      </c>
      <c r="S290" s="19">
        <v>2.4</v>
      </c>
      <c r="T290" s="59">
        <v>41553</v>
      </c>
      <c r="U290" s="19">
        <v>8.8000000000000007</v>
      </c>
    </row>
    <row r="291" spans="1:21" x14ac:dyDescent="0.75">
      <c r="A291" s="59">
        <f t="shared" si="24"/>
        <v>41554</v>
      </c>
      <c r="B291" s="19">
        <f t="shared" si="25"/>
        <v>10.6</v>
      </c>
      <c r="C291" s="41">
        <f t="shared" ca="1" si="28"/>
        <v>1.06</v>
      </c>
      <c r="D291" s="41">
        <f ca="1">IF(Energy!$N$3, C291, IF(C291 &gt; 0, MAX(Energy!W291- Energy!N291, 0) / (Energy!I291 + Energy!M291) *C291, 0))</f>
        <v>0.80056505297995673</v>
      </c>
      <c r="E291" s="41" t="b">
        <f ca="1">IF(Main!$C$25="Solar", IF(Energy!W291-Energy!N291&gt;=0, TRUE, FALSE), TRUE)</f>
        <v>1</v>
      </c>
      <c r="F291" s="41">
        <f t="shared" ca="1" si="26"/>
        <v>0.44485603265315199</v>
      </c>
      <c r="G291" s="6">
        <f ca="1">IF(A291&gt;=$B$7,IF(E291,IF(H290-$B$6/1000&gt;0,IF($B$6/1000&gt;$B$9*24*60*60,$B$9*24*60*60,$B$6/1000),H290),($B$6/1000)*(-Energy!W291+Energy!N291)/Energy!N291),0)</f>
        <v>0.219</v>
      </c>
      <c r="H291" s="6">
        <f t="shared" ca="1" si="29"/>
        <v>4.0524347849056728</v>
      </c>
      <c r="I291" t="str">
        <f t="shared" ca="1" si="27"/>
        <v>Yes</v>
      </c>
      <c r="N291" s="57">
        <v>41919</v>
      </c>
      <c r="O291" s="56">
        <v>0</v>
      </c>
      <c r="P291" s="59">
        <v>42284</v>
      </c>
      <c r="Q291" s="32">
        <v>15.6</v>
      </c>
      <c r="R291" s="59">
        <v>42284</v>
      </c>
      <c r="S291" s="19">
        <v>9</v>
      </c>
      <c r="T291" s="59">
        <v>41554</v>
      </c>
      <c r="U291" s="19">
        <v>10.6</v>
      </c>
    </row>
    <row r="292" spans="1:21" x14ac:dyDescent="0.75">
      <c r="A292" s="59">
        <f t="shared" si="24"/>
        <v>41555</v>
      </c>
      <c r="B292" s="19">
        <f t="shared" si="25"/>
        <v>0</v>
      </c>
      <c r="C292" s="41">
        <f t="shared" ca="1" si="28"/>
        <v>0</v>
      </c>
      <c r="D292" s="41">
        <f ca="1">IF(Energy!$N$3, C292, IF(C292 &gt; 0, MAX(Energy!W292- Energy!N292, 0) / (Energy!I292 + Energy!M292) *C292, 0))</f>
        <v>0</v>
      </c>
      <c r="E292" s="41" t="b">
        <f ca="1">IF(Main!$C$25="Solar", IF(Energy!W292-Energy!N292&gt;=0, TRUE, FALSE), TRUE)</f>
        <v>1</v>
      </c>
      <c r="F292" s="41">
        <f t="shared" ca="1" si="26"/>
        <v>0</v>
      </c>
      <c r="G292" s="6">
        <f ca="1">IF(A292&gt;=$B$7,IF(E292,IF(H291-$B$6/1000&gt;0,IF($B$6/1000&gt;$B$9*24*60*60,$B$9*24*60*60,$B$6/1000),H291),($B$6/1000)*(-Energy!W292+Energy!N292)/Energy!N292),0)</f>
        <v>0.219</v>
      </c>
      <c r="H292" s="6">
        <f t="shared" ca="1" si="29"/>
        <v>3.8334347849056729</v>
      </c>
      <c r="I292" t="str">
        <f t="shared" ca="1" si="27"/>
        <v>Yes</v>
      </c>
      <c r="N292" s="57">
        <v>41920</v>
      </c>
      <c r="O292" s="56">
        <v>1.4</v>
      </c>
      <c r="P292" s="59">
        <v>42285</v>
      </c>
      <c r="Q292" s="32">
        <v>9.1999999999999993</v>
      </c>
      <c r="R292" s="59">
        <v>42285</v>
      </c>
      <c r="S292" s="19">
        <v>1</v>
      </c>
      <c r="T292" s="59">
        <v>41555</v>
      </c>
      <c r="U292" s="19">
        <v>0</v>
      </c>
    </row>
    <row r="293" spans="1:21" x14ac:dyDescent="0.75">
      <c r="A293" s="59">
        <f t="shared" si="24"/>
        <v>41556</v>
      </c>
      <c r="B293" s="19">
        <f t="shared" si="25"/>
        <v>1.2</v>
      </c>
      <c r="C293" s="41">
        <f t="shared" ca="1" si="28"/>
        <v>0.12</v>
      </c>
      <c r="D293" s="41">
        <f ca="1">IF(Energy!$N$3, C293, IF(C293 &gt; 0, MAX(Energy!W293- Energy!N293, 0) / (Energy!I293 + Energy!M293) *C293, 0))</f>
        <v>0.12</v>
      </c>
      <c r="E293" s="41" t="b">
        <f ca="1">IF(Main!$C$25="Solar", IF(Energy!W293-Energy!N293&gt;=0, TRUE, FALSE), TRUE)</f>
        <v>1</v>
      </c>
      <c r="F293" s="41">
        <f t="shared" ca="1" si="26"/>
        <v>6.6681306809072957E-2</v>
      </c>
      <c r="G293" s="6">
        <f ca="1">IF(A293&gt;=$B$7,IF(E293,IF(H292-$B$6/1000&gt;0,IF($B$6/1000&gt;$B$9*24*60*60,$B$9*24*60*60,$B$6/1000),H292),($B$6/1000)*(-Energy!W293+Energy!N293)/Energy!N293),0)</f>
        <v>0.219</v>
      </c>
      <c r="H293" s="6">
        <f t="shared" ca="1" si="29"/>
        <v>3.7344347849056732</v>
      </c>
      <c r="I293" t="str">
        <f t="shared" ca="1" si="27"/>
        <v>Yes</v>
      </c>
      <c r="N293" s="57">
        <v>41921</v>
      </c>
      <c r="O293" s="56">
        <v>1.8</v>
      </c>
      <c r="P293" s="59">
        <v>42286</v>
      </c>
      <c r="Q293" s="32">
        <v>26.4</v>
      </c>
      <c r="R293" s="59">
        <v>42286</v>
      </c>
      <c r="S293" s="19">
        <v>15.6</v>
      </c>
      <c r="T293" s="59">
        <v>41556</v>
      </c>
      <c r="U293" s="19">
        <v>1.2</v>
      </c>
    </row>
    <row r="294" spans="1:21" x14ac:dyDescent="0.75">
      <c r="A294" s="59">
        <f t="shared" si="24"/>
        <v>41557</v>
      </c>
      <c r="B294" s="19">
        <f t="shared" si="25"/>
        <v>0</v>
      </c>
      <c r="C294" s="41">
        <f t="shared" ca="1" si="28"/>
        <v>0</v>
      </c>
      <c r="D294" s="41">
        <f ca="1">IF(Energy!$N$3, C294, IF(C294 &gt; 0, MAX(Energy!W294- Energy!N294, 0) / (Energy!I294 + Energy!M294) *C294, 0))</f>
        <v>0</v>
      </c>
      <c r="E294" s="41" t="b">
        <f ca="1">IF(Main!$C$25="Solar", IF(Energy!W294-Energy!N294&gt;=0, TRUE, FALSE), TRUE)</f>
        <v>1</v>
      </c>
      <c r="F294" s="41">
        <f t="shared" ca="1" si="26"/>
        <v>0</v>
      </c>
      <c r="G294" s="6">
        <f ca="1">IF(A294&gt;=$B$7,IF(E294,IF(H293-$B$6/1000&gt;0,IF($B$6/1000&gt;$B$9*24*60*60,$B$9*24*60*60,$B$6/1000),H293),($B$6/1000)*(-Energy!W294+Energy!N294)/Energy!N294),0)</f>
        <v>0.219</v>
      </c>
      <c r="H294" s="6">
        <f t="shared" ca="1" si="29"/>
        <v>3.5154347849056733</v>
      </c>
      <c r="I294" t="str">
        <f t="shared" ca="1" si="27"/>
        <v>Yes</v>
      </c>
      <c r="N294" s="57">
        <v>41922</v>
      </c>
      <c r="O294" s="56">
        <v>17.8</v>
      </c>
      <c r="P294" s="59">
        <v>42287</v>
      </c>
      <c r="Q294" s="32">
        <v>27</v>
      </c>
      <c r="R294" s="59">
        <v>42287</v>
      </c>
      <c r="S294" s="19">
        <v>14.4</v>
      </c>
      <c r="T294" s="59">
        <v>41557</v>
      </c>
      <c r="U294" s="19">
        <v>0</v>
      </c>
    </row>
    <row r="295" spans="1:21" x14ac:dyDescent="0.75">
      <c r="A295" s="59">
        <f t="shared" si="24"/>
        <v>41558</v>
      </c>
      <c r="B295" s="19">
        <f t="shared" si="25"/>
        <v>0</v>
      </c>
      <c r="C295" s="41">
        <f t="shared" ca="1" si="28"/>
        <v>0</v>
      </c>
      <c r="D295" s="41">
        <f ca="1">IF(Energy!$N$3, C295, IF(C295 &gt; 0, MAX(Energy!W295- Energy!N295, 0) / (Energy!I295 + Energy!M295) *C295, 0))</f>
        <v>0</v>
      </c>
      <c r="E295" s="41" t="b">
        <f ca="1">IF(Main!$C$25="Solar", IF(Energy!W295-Energy!N295&gt;=0, TRUE, FALSE), TRUE)</f>
        <v>1</v>
      </c>
      <c r="F295" s="41">
        <f t="shared" ca="1" si="26"/>
        <v>0</v>
      </c>
      <c r="G295" s="6">
        <f ca="1">IF(A295&gt;=$B$7,IF(E295,IF(H294-$B$6/1000&gt;0,IF($B$6/1000&gt;$B$9*24*60*60,$B$9*24*60*60,$B$6/1000),H294),($B$6/1000)*(-Energy!W295+Energy!N295)/Energy!N295),0)</f>
        <v>0.219</v>
      </c>
      <c r="H295" s="6">
        <f t="shared" ca="1" si="29"/>
        <v>3.2964347849056734</v>
      </c>
      <c r="I295" t="str">
        <f t="shared" ca="1" si="27"/>
        <v>Yes</v>
      </c>
      <c r="N295" s="57">
        <v>41923</v>
      </c>
      <c r="O295" s="56">
        <v>15.4</v>
      </c>
      <c r="P295" s="59">
        <v>42288</v>
      </c>
      <c r="Q295" s="32">
        <v>37.6</v>
      </c>
      <c r="R295" s="59">
        <v>42288</v>
      </c>
      <c r="S295" s="19">
        <v>7.8</v>
      </c>
      <c r="T295" s="59">
        <v>41558</v>
      </c>
      <c r="U295" s="19">
        <v>0</v>
      </c>
    </row>
    <row r="296" spans="1:21" x14ac:dyDescent="0.75">
      <c r="A296" s="59">
        <f t="shared" si="24"/>
        <v>41559</v>
      </c>
      <c r="B296" s="19">
        <f t="shared" si="25"/>
        <v>0</v>
      </c>
      <c r="C296" s="41">
        <f t="shared" ca="1" si="28"/>
        <v>0</v>
      </c>
      <c r="D296" s="41">
        <f ca="1">IF(Energy!$N$3, C296, IF(C296 &gt; 0, MAX(Energy!W296- Energy!N296, 0) / (Energy!I296 + Energy!M296) *C296, 0))</f>
        <v>0</v>
      </c>
      <c r="E296" s="41" t="b">
        <f ca="1">IF(Main!$C$25="Solar", IF(Energy!W296-Energy!N296&gt;=0, TRUE, FALSE), TRUE)</f>
        <v>1</v>
      </c>
      <c r="F296" s="41">
        <f t="shared" ca="1" si="26"/>
        <v>0</v>
      </c>
      <c r="G296" s="6">
        <f ca="1">IF(A296&gt;=$B$7,IF(E296,IF(H295-$B$6/1000&gt;0,IF($B$6/1000&gt;$B$9*24*60*60,$B$9*24*60*60,$B$6/1000),H295),($B$6/1000)*(-Energy!W296+Energy!N296)/Energy!N296),0)</f>
        <v>0.219</v>
      </c>
      <c r="H296" s="6">
        <f t="shared" ca="1" si="29"/>
        <v>3.0774347849056736</v>
      </c>
      <c r="I296" t="str">
        <f t="shared" ca="1" si="27"/>
        <v>Yes</v>
      </c>
      <c r="N296" s="57">
        <v>41924</v>
      </c>
      <c r="O296" s="56">
        <v>33</v>
      </c>
      <c r="P296" s="59">
        <v>42289</v>
      </c>
      <c r="Q296" s="32">
        <v>0.8</v>
      </c>
      <c r="R296" s="59">
        <v>42289</v>
      </c>
      <c r="S296" s="19">
        <v>6</v>
      </c>
      <c r="T296" s="59">
        <v>41559</v>
      </c>
      <c r="U296" s="19">
        <v>0</v>
      </c>
    </row>
    <row r="297" spans="1:21" x14ac:dyDescent="0.75">
      <c r="A297" s="59">
        <f t="shared" si="24"/>
        <v>41560</v>
      </c>
      <c r="B297" s="19">
        <f t="shared" si="25"/>
        <v>0</v>
      </c>
      <c r="C297" s="41">
        <f t="shared" ca="1" si="28"/>
        <v>0</v>
      </c>
      <c r="D297" s="41">
        <f ca="1">IF(Energy!$N$3, C297, IF(C297 &gt; 0, MAX(Energy!W297- Energy!N297, 0) / (Energy!I297 + Energy!M297) *C297, 0))</f>
        <v>0</v>
      </c>
      <c r="E297" s="41" t="b">
        <f ca="1">IF(Main!$C$25="Solar", IF(Energy!W297-Energy!N297&gt;=0, TRUE, FALSE), TRUE)</f>
        <v>1</v>
      </c>
      <c r="F297" s="41">
        <f t="shared" ca="1" si="26"/>
        <v>0</v>
      </c>
      <c r="G297" s="6">
        <f ca="1">IF(A297&gt;=$B$7,IF(E297,IF(H296-$B$6/1000&gt;0,IF($B$6/1000&gt;$B$9*24*60*60,$B$9*24*60*60,$B$6/1000),H296),($B$6/1000)*(-Energy!W297+Energy!N297)/Energy!N297),0)</f>
        <v>0.219</v>
      </c>
      <c r="H297" s="6">
        <f t="shared" ca="1" si="29"/>
        <v>2.8584347849056737</v>
      </c>
      <c r="I297" t="str">
        <f t="shared" ca="1" si="27"/>
        <v>Yes</v>
      </c>
      <c r="N297" s="57">
        <v>41925</v>
      </c>
      <c r="O297" s="56">
        <v>31.4</v>
      </c>
      <c r="P297" s="59">
        <v>42290</v>
      </c>
      <c r="Q297" s="32">
        <v>0.6</v>
      </c>
      <c r="R297" s="59">
        <v>42290</v>
      </c>
      <c r="S297" s="19">
        <v>0</v>
      </c>
      <c r="T297" s="59">
        <v>41560</v>
      </c>
      <c r="U297" s="19">
        <v>0</v>
      </c>
    </row>
    <row r="298" spans="1:21" x14ac:dyDescent="0.75">
      <c r="A298" s="59">
        <f t="shared" si="24"/>
        <v>41561</v>
      </c>
      <c r="B298" s="19">
        <f t="shared" si="25"/>
        <v>0</v>
      </c>
      <c r="C298" s="41">
        <f t="shared" ca="1" si="28"/>
        <v>0</v>
      </c>
      <c r="D298" s="41">
        <f ca="1">IF(Energy!$N$3, C298, IF(C298 &gt; 0, MAX(Energy!W298- Energy!N298, 0) / (Energy!I298 + Energy!M298) *C298, 0))</f>
        <v>0</v>
      </c>
      <c r="E298" s="41" t="b">
        <f ca="1">IF(Main!$C$25="Solar", IF(Energy!W298-Energy!N298&gt;=0, TRUE, FALSE), TRUE)</f>
        <v>1</v>
      </c>
      <c r="F298" s="41">
        <f t="shared" ca="1" si="26"/>
        <v>0</v>
      </c>
      <c r="G298" s="6">
        <f ca="1">IF(A298&gt;=$B$7,IF(E298,IF(H297-$B$6/1000&gt;0,IF($B$6/1000&gt;$B$9*24*60*60,$B$9*24*60*60,$B$6/1000),H297),($B$6/1000)*(-Energy!W298+Energy!N298)/Energy!N298),0)</f>
        <v>0.219</v>
      </c>
      <c r="H298" s="6">
        <f t="shared" ca="1" si="29"/>
        <v>2.6394347849056738</v>
      </c>
      <c r="I298" t="str">
        <f t="shared" ca="1" si="27"/>
        <v>Yes</v>
      </c>
      <c r="N298" s="57">
        <v>41926</v>
      </c>
      <c r="O298" s="56">
        <v>28.4</v>
      </c>
      <c r="P298" s="59">
        <v>42291</v>
      </c>
      <c r="Q298" s="32">
        <v>0</v>
      </c>
      <c r="R298" s="59">
        <v>42291</v>
      </c>
      <c r="S298" s="19">
        <v>0</v>
      </c>
      <c r="T298" s="59">
        <v>41561</v>
      </c>
      <c r="U298" s="19">
        <v>0</v>
      </c>
    </row>
    <row r="299" spans="1:21" x14ac:dyDescent="0.75">
      <c r="A299" s="59">
        <f t="shared" si="24"/>
        <v>41562</v>
      </c>
      <c r="B299" s="19">
        <f t="shared" si="25"/>
        <v>1</v>
      </c>
      <c r="C299" s="41">
        <f t="shared" ca="1" si="28"/>
        <v>0.1</v>
      </c>
      <c r="D299" s="41">
        <f ca="1">IF(Energy!$N$3, C299, IF(C299 &gt; 0, MAX(Energy!W299- Energy!N299, 0) / (Energy!I299 + Energy!M299) *C299, 0))</f>
        <v>9.9999999999999978E-2</v>
      </c>
      <c r="E299" s="41" t="b">
        <f ca="1">IF(Main!$C$25="Solar", IF(Energy!W299-Energy!N299&gt;=0, TRUE, FALSE), TRUE)</f>
        <v>1</v>
      </c>
      <c r="F299" s="41">
        <f t="shared" ca="1" si="26"/>
        <v>5.5567755674227455E-2</v>
      </c>
      <c r="G299" s="6">
        <f ca="1">IF(A299&gt;=$B$7,IF(E299,IF(H298-$B$6/1000&gt;0,IF($B$6/1000&gt;$B$9*24*60*60,$B$9*24*60*60,$B$6/1000),H298),($B$6/1000)*(-Energy!W299+Energy!N299)/Energy!N299),0)</f>
        <v>0.219</v>
      </c>
      <c r="H299" s="6">
        <f t="shared" ca="1" si="29"/>
        <v>2.5204347849056741</v>
      </c>
      <c r="I299" t="str">
        <f t="shared" ca="1" si="27"/>
        <v>Yes</v>
      </c>
      <c r="N299" s="57">
        <v>41927</v>
      </c>
      <c r="O299" s="56">
        <v>6.4</v>
      </c>
      <c r="P299" s="59">
        <v>42292</v>
      </c>
      <c r="Q299" s="32">
        <v>0</v>
      </c>
      <c r="R299" s="59">
        <v>42292</v>
      </c>
      <c r="S299" s="19">
        <v>0</v>
      </c>
      <c r="T299" s="59">
        <v>41562</v>
      </c>
      <c r="U299" s="19">
        <v>1</v>
      </c>
    </row>
    <row r="300" spans="1:21" x14ac:dyDescent="0.75">
      <c r="A300" s="59">
        <f t="shared" si="24"/>
        <v>41563</v>
      </c>
      <c r="B300" s="19">
        <f t="shared" si="25"/>
        <v>0</v>
      </c>
      <c r="C300" s="41">
        <f t="shared" ca="1" si="28"/>
        <v>0</v>
      </c>
      <c r="D300" s="41">
        <f ca="1">IF(Energy!$N$3, C300, IF(C300 &gt; 0, MAX(Energy!W300- Energy!N300, 0) / (Energy!I300 + Energy!M300) *C300, 0))</f>
        <v>0</v>
      </c>
      <c r="E300" s="41" t="b">
        <f ca="1">IF(Main!$C$25="Solar", IF(Energy!W300-Energy!N300&gt;=0, TRUE, FALSE), TRUE)</f>
        <v>1</v>
      </c>
      <c r="F300" s="41">
        <f t="shared" ca="1" si="26"/>
        <v>0</v>
      </c>
      <c r="G300" s="6">
        <f ca="1">IF(A300&gt;=$B$7,IF(E300,IF(H299-$B$6/1000&gt;0,IF($B$6/1000&gt;$B$9*24*60*60,$B$9*24*60*60,$B$6/1000),H299),($B$6/1000)*(-Energy!W300+Energy!N300)/Energy!N300),0)</f>
        <v>0.219</v>
      </c>
      <c r="H300" s="6">
        <f t="shared" ca="1" si="29"/>
        <v>2.3014347849056742</v>
      </c>
      <c r="I300" t="str">
        <f t="shared" ca="1" si="27"/>
        <v>Yes</v>
      </c>
      <c r="N300" s="57">
        <v>41928</v>
      </c>
      <c r="O300" s="56">
        <v>17.2</v>
      </c>
      <c r="P300" s="59">
        <v>42293</v>
      </c>
      <c r="Q300" s="32">
        <v>14.2</v>
      </c>
      <c r="R300" s="59">
        <v>42293</v>
      </c>
      <c r="S300" s="19">
        <v>4.8</v>
      </c>
      <c r="T300" s="59">
        <v>41563</v>
      </c>
      <c r="U300" s="19">
        <v>0</v>
      </c>
    </row>
    <row r="301" spans="1:21" x14ac:dyDescent="0.75">
      <c r="A301" s="59">
        <f t="shared" si="24"/>
        <v>41564</v>
      </c>
      <c r="B301" s="19">
        <f t="shared" si="25"/>
        <v>0</v>
      </c>
      <c r="C301" s="41">
        <f t="shared" ca="1" si="28"/>
        <v>0</v>
      </c>
      <c r="D301" s="41">
        <f ca="1">IF(Energy!$N$3, C301, IF(C301 &gt; 0, MAX(Energy!W301- Energy!N301, 0) / (Energy!I301 + Energy!M301) *C301, 0))</f>
        <v>0</v>
      </c>
      <c r="E301" s="41" t="b">
        <f ca="1">IF(Main!$C$25="Solar", IF(Energy!W301-Energy!N301&gt;=0, TRUE, FALSE), TRUE)</f>
        <v>1</v>
      </c>
      <c r="F301" s="41">
        <f t="shared" ca="1" si="26"/>
        <v>0</v>
      </c>
      <c r="G301" s="6">
        <f ca="1">IF(A301&gt;=$B$7,IF(E301,IF(H300-$B$6/1000&gt;0,IF($B$6/1000&gt;$B$9*24*60*60,$B$9*24*60*60,$B$6/1000),H300),($B$6/1000)*(-Energy!W301+Energy!N301)/Energy!N301),0)</f>
        <v>0.219</v>
      </c>
      <c r="H301" s="6">
        <f t="shared" ca="1" si="29"/>
        <v>2.0824347849056744</v>
      </c>
      <c r="I301" t="str">
        <f t="shared" ca="1" si="27"/>
        <v>Yes</v>
      </c>
      <c r="N301" s="57">
        <v>41929</v>
      </c>
      <c r="O301" s="56">
        <v>27</v>
      </c>
      <c r="P301" s="59">
        <v>42294</v>
      </c>
      <c r="Q301" s="32">
        <v>6.4</v>
      </c>
      <c r="R301" s="59">
        <v>42294</v>
      </c>
      <c r="S301" s="19">
        <v>1.8</v>
      </c>
      <c r="T301" s="59">
        <v>41564</v>
      </c>
      <c r="U301" s="19">
        <v>0</v>
      </c>
    </row>
    <row r="302" spans="1:21" x14ac:dyDescent="0.75">
      <c r="A302" s="59">
        <f t="shared" si="24"/>
        <v>41565</v>
      </c>
      <c r="B302" s="19">
        <f t="shared" si="25"/>
        <v>0</v>
      </c>
      <c r="C302" s="41">
        <f t="shared" ca="1" si="28"/>
        <v>0</v>
      </c>
      <c r="D302" s="41">
        <f ca="1">IF(Energy!$N$3, C302, IF(C302 &gt; 0, MAX(Energy!W302- Energy!N302, 0) / (Energy!I302 + Energy!M302) *C302, 0))</f>
        <v>0</v>
      </c>
      <c r="E302" s="41" t="b">
        <f ca="1">IF(Main!$C$25="Solar", IF(Energy!W302-Energy!N302&gt;=0, TRUE, FALSE), TRUE)</f>
        <v>1</v>
      </c>
      <c r="F302" s="41">
        <f t="shared" ca="1" si="26"/>
        <v>0</v>
      </c>
      <c r="G302" s="6">
        <f ca="1">IF(A302&gt;=$B$7,IF(E302,IF(H301-$B$6/1000&gt;0,IF($B$6/1000&gt;$B$9*24*60*60,$B$9*24*60*60,$B$6/1000),H301),($B$6/1000)*(-Energy!W302+Energy!N302)/Energy!N302),0)</f>
        <v>0.219</v>
      </c>
      <c r="H302" s="6">
        <f t="shared" ca="1" si="29"/>
        <v>1.8634347849056743</v>
      </c>
      <c r="I302" t="str">
        <f t="shared" ca="1" si="27"/>
        <v>Yes</v>
      </c>
      <c r="N302" s="57">
        <v>41930</v>
      </c>
      <c r="O302" s="56">
        <v>16.8</v>
      </c>
      <c r="P302" s="59">
        <v>42295</v>
      </c>
      <c r="Q302" s="32">
        <v>23.4</v>
      </c>
      <c r="R302" s="59">
        <v>42295</v>
      </c>
      <c r="S302" s="19">
        <v>3.2</v>
      </c>
      <c r="T302" s="59">
        <v>41565</v>
      </c>
      <c r="U302" s="19">
        <v>0</v>
      </c>
    </row>
    <row r="303" spans="1:21" x14ac:dyDescent="0.75">
      <c r="A303" s="59">
        <f t="shared" si="24"/>
        <v>41566</v>
      </c>
      <c r="B303" s="19">
        <f t="shared" si="25"/>
        <v>0</v>
      </c>
      <c r="C303" s="41">
        <f t="shared" ca="1" si="28"/>
        <v>0</v>
      </c>
      <c r="D303" s="41">
        <f ca="1">IF(Energy!$N$3, C303, IF(C303 &gt; 0, MAX(Energy!W303- Energy!N303, 0) / (Energy!I303 + Energy!M303) *C303, 0))</f>
        <v>0</v>
      </c>
      <c r="E303" s="41" t="b">
        <f ca="1">IF(Main!$C$25="Solar", IF(Energy!W303-Energy!N303&gt;=0, TRUE, FALSE), TRUE)</f>
        <v>1</v>
      </c>
      <c r="F303" s="41">
        <f t="shared" ca="1" si="26"/>
        <v>0</v>
      </c>
      <c r="G303" s="6">
        <f ca="1">IF(A303&gt;=$B$7,IF(E303,IF(H302-$B$6/1000&gt;0,IF($B$6/1000&gt;$B$9*24*60*60,$B$9*24*60*60,$B$6/1000),H302),($B$6/1000)*(-Energy!W303+Energy!N303)/Energy!N303),0)</f>
        <v>0.219</v>
      </c>
      <c r="H303" s="6">
        <f t="shared" ca="1" si="29"/>
        <v>1.6444347849056742</v>
      </c>
      <c r="I303" t="str">
        <f t="shared" ca="1" si="27"/>
        <v>Yes</v>
      </c>
      <c r="N303" s="57">
        <v>41931</v>
      </c>
      <c r="O303" s="56">
        <v>46.2</v>
      </c>
      <c r="P303" s="59">
        <v>42296</v>
      </c>
      <c r="Q303" s="32">
        <v>0.6</v>
      </c>
      <c r="R303" s="59">
        <v>42296</v>
      </c>
      <c r="S303" s="19">
        <v>4.2</v>
      </c>
      <c r="T303" s="59">
        <v>41566</v>
      </c>
      <c r="U303" s="19">
        <v>0</v>
      </c>
    </row>
    <row r="304" spans="1:21" x14ac:dyDescent="0.75">
      <c r="A304" s="59">
        <f t="shared" si="24"/>
        <v>41567</v>
      </c>
      <c r="B304" s="19">
        <f t="shared" si="25"/>
        <v>0</v>
      </c>
      <c r="C304" s="41">
        <f t="shared" ca="1" si="28"/>
        <v>0</v>
      </c>
      <c r="D304" s="41">
        <f ca="1">IF(Energy!$N$3, C304, IF(C304 &gt; 0, MAX(Energy!W304- Energy!N304, 0) / (Energy!I304 + Energy!M304) *C304, 0))</f>
        <v>0</v>
      </c>
      <c r="E304" s="41" t="b">
        <f ca="1">IF(Main!$C$25="Solar", IF(Energy!W304-Energy!N304&gt;=0, TRUE, FALSE), TRUE)</f>
        <v>1</v>
      </c>
      <c r="F304" s="41">
        <f t="shared" ca="1" si="26"/>
        <v>0</v>
      </c>
      <c r="G304" s="6">
        <f ca="1">IF(A304&gt;=$B$7,IF(E304,IF(H303-$B$6/1000&gt;0,IF($B$6/1000&gt;$B$9*24*60*60,$B$9*24*60*60,$B$6/1000),H303),($B$6/1000)*(-Energy!W304+Energy!N304)/Energy!N304),0)</f>
        <v>0.219</v>
      </c>
      <c r="H304" s="6">
        <f t="shared" ca="1" si="29"/>
        <v>1.4254347849056741</v>
      </c>
      <c r="I304" t="str">
        <f t="shared" ca="1" si="27"/>
        <v>Yes</v>
      </c>
      <c r="N304" s="57">
        <v>41932</v>
      </c>
      <c r="O304" s="56">
        <v>10.8</v>
      </c>
      <c r="P304" s="59">
        <v>42297</v>
      </c>
      <c r="Q304" s="32">
        <v>10.199999999999999</v>
      </c>
      <c r="R304" s="59">
        <v>42297</v>
      </c>
      <c r="S304" s="19">
        <v>0</v>
      </c>
      <c r="T304" s="59">
        <v>41567</v>
      </c>
      <c r="U304" s="19">
        <v>0</v>
      </c>
    </row>
    <row r="305" spans="1:21" x14ac:dyDescent="0.75">
      <c r="A305" s="59">
        <f t="shared" si="24"/>
        <v>41568</v>
      </c>
      <c r="B305" s="19">
        <f t="shared" si="25"/>
        <v>0</v>
      </c>
      <c r="C305" s="41">
        <f t="shared" ca="1" si="28"/>
        <v>0</v>
      </c>
      <c r="D305" s="41">
        <f ca="1">IF(Energy!$N$3, C305, IF(C305 &gt; 0, MAX(Energy!W305- Energy!N305, 0) / (Energy!I305 + Energy!M305) *C305, 0))</f>
        <v>0</v>
      </c>
      <c r="E305" s="41" t="b">
        <f ca="1">IF(Main!$C$25="Solar", IF(Energy!W305-Energy!N305&gt;=0, TRUE, FALSE), TRUE)</f>
        <v>1</v>
      </c>
      <c r="F305" s="41">
        <f t="shared" ca="1" si="26"/>
        <v>0</v>
      </c>
      <c r="G305" s="6">
        <f ca="1">IF(A305&gt;=$B$7,IF(E305,IF(H304-$B$6/1000&gt;0,IF($B$6/1000&gt;$B$9*24*60*60,$B$9*24*60*60,$B$6/1000),H304),($B$6/1000)*(-Energy!W305+Energy!N305)/Energy!N305),0)</f>
        <v>0.219</v>
      </c>
      <c r="H305" s="6">
        <f t="shared" ca="1" si="29"/>
        <v>1.206434784905674</v>
      </c>
      <c r="I305" t="str">
        <f t="shared" ca="1" si="27"/>
        <v>Yes</v>
      </c>
      <c r="N305" s="57">
        <v>41933</v>
      </c>
      <c r="O305" s="56">
        <v>40.200000000000003</v>
      </c>
      <c r="P305" s="59">
        <v>42298</v>
      </c>
      <c r="Q305" s="32">
        <v>4</v>
      </c>
      <c r="R305" s="59">
        <v>42298</v>
      </c>
      <c r="S305" s="19">
        <v>6</v>
      </c>
      <c r="T305" s="59">
        <v>41568</v>
      </c>
      <c r="U305" s="19">
        <v>0</v>
      </c>
    </row>
    <row r="306" spans="1:21" x14ac:dyDescent="0.75">
      <c r="A306" s="59">
        <f t="shared" si="24"/>
        <v>41569</v>
      </c>
      <c r="B306" s="19">
        <f t="shared" si="25"/>
        <v>0</v>
      </c>
      <c r="C306" s="41">
        <f t="shared" ca="1" si="28"/>
        <v>0</v>
      </c>
      <c r="D306" s="41">
        <f ca="1">IF(Energy!$N$3, C306, IF(C306 &gt; 0, MAX(Energy!W306- Energy!N306, 0) / (Energy!I306 + Energy!M306) *C306, 0))</f>
        <v>0</v>
      </c>
      <c r="E306" s="41" t="b">
        <f ca="1">IF(Main!$C$25="Solar", IF(Energy!W306-Energy!N306&gt;=0, TRUE, FALSE), TRUE)</f>
        <v>1</v>
      </c>
      <c r="F306" s="41">
        <f t="shared" ca="1" si="26"/>
        <v>0</v>
      </c>
      <c r="G306" s="6">
        <f ca="1">IF(A306&gt;=$B$7,IF(E306,IF(H305-$B$6/1000&gt;0,IF($B$6/1000&gt;$B$9*24*60*60,$B$9*24*60*60,$B$6/1000),H305),($B$6/1000)*(-Energy!W306+Energy!N306)/Energy!N306),0)</f>
        <v>0.219</v>
      </c>
      <c r="H306" s="6">
        <f t="shared" ca="1" si="29"/>
        <v>0.98743478490567405</v>
      </c>
      <c r="I306" t="str">
        <f t="shared" ca="1" si="27"/>
        <v>Yes</v>
      </c>
      <c r="N306" s="57">
        <v>41934</v>
      </c>
      <c r="O306" s="56">
        <v>21.4</v>
      </c>
      <c r="P306" s="59">
        <v>42299</v>
      </c>
      <c r="Q306" s="32">
        <v>9.8000000000000007</v>
      </c>
      <c r="R306" s="59">
        <v>42299</v>
      </c>
      <c r="S306" s="19">
        <v>0</v>
      </c>
      <c r="T306" s="59">
        <v>41569</v>
      </c>
      <c r="U306" s="19">
        <v>0</v>
      </c>
    </row>
    <row r="307" spans="1:21" x14ac:dyDescent="0.75">
      <c r="A307" s="59">
        <f t="shared" si="24"/>
        <v>41570</v>
      </c>
      <c r="B307" s="19">
        <f t="shared" si="25"/>
        <v>0</v>
      </c>
      <c r="C307" s="41">
        <f t="shared" ca="1" si="28"/>
        <v>0</v>
      </c>
      <c r="D307" s="41">
        <f ca="1">IF(Energy!$N$3, C307, IF(C307 &gt; 0, MAX(Energy!W307- Energy!N307, 0) / (Energy!I307 + Energy!M307) *C307, 0))</f>
        <v>0</v>
      </c>
      <c r="E307" s="41" t="b">
        <f ca="1">IF(Main!$C$25="Solar", IF(Energy!W307-Energy!N307&gt;=0, TRUE, FALSE), TRUE)</f>
        <v>1</v>
      </c>
      <c r="F307" s="41">
        <f t="shared" ca="1" si="26"/>
        <v>0</v>
      </c>
      <c r="G307" s="6">
        <f ca="1">IF(A307&gt;=$B$7,IF(E307,IF(H306-$B$6/1000&gt;0,IF($B$6/1000&gt;$B$9*24*60*60,$B$9*24*60*60,$B$6/1000),H306),($B$6/1000)*(-Energy!W307+Energy!N307)/Energy!N307),0)</f>
        <v>0.219</v>
      </c>
      <c r="H307" s="6">
        <f t="shared" ca="1" si="29"/>
        <v>0.76843478490567407</v>
      </c>
      <c r="I307" t="str">
        <f t="shared" ca="1" si="27"/>
        <v>Yes</v>
      </c>
      <c r="N307" s="57">
        <v>41935</v>
      </c>
      <c r="O307" s="56">
        <v>9.4</v>
      </c>
      <c r="P307" s="59">
        <v>42300</v>
      </c>
      <c r="Q307" s="32">
        <v>0</v>
      </c>
      <c r="R307" s="59">
        <v>42300</v>
      </c>
      <c r="S307" s="19">
        <v>0</v>
      </c>
      <c r="T307" s="59">
        <v>41570</v>
      </c>
      <c r="U307" s="19">
        <v>0</v>
      </c>
    </row>
    <row r="308" spans="1:21" x14ac:dyDescent="0.75">
      <c r="A308" s="59">
        <f t="shared" si="24"/>
        <v>41571</v>
      </c>
      <c r="B308" s="19">
        <f t="shared" si="25"/>
        <v>0</v>
      </c>
      <c r="C308" s="41">
        <f t="shared" ca="1" si="28"/>
        <v>0</v>
      </c>
      <c r="D308" s="41">
        <f ca="1">IF(Energy!$N$3, C308, IF(C308 &gt; 0, MAX(Energy!W308- Energy!N308, 0) / (Energy!I308 + Energy!M308) *C308, 0))</f>
        <v>0</v>
      </c>
      <c r="E308" s="41" t="b">
        <f ca="1">IF(Main!$C$25="Solar", IF(Energy!W308-Energy!N308&gt;=0, TRUE, FALSE), TRUE)</f>
        <v>1</v>
      </c>
      <c r="F308" s="41">
        <f t="shared" ca="1" si="26"/>
        <v>0</v>
      </c>
      <c r="G308" s="6">
        <f ca="1">IF(A308&gt;=$B$7,IF(E308,IF(H307-$B$6/1000&gt;0,IF($B$6/1000&gt;$B$9*24*60*60,$B$9*24*60*60,$B$6/1000),H307),($B$6/1000)*(-Energy!W308+Energy!N308)/Energy!N308),0)</f>
        <v>0.219</v>
      </c>
      <c r="H308" s="6">
        <f t="shared" ca="1" si="29"/>
        <v>0.5494347849056741</v>
      </c>
      <c r="I308" t="str">
        <f t="shared" ca="1" si="27"/>
        <v>Yes</v>
      </c>
      <c r="N308" s="57">
        <v>41936</v>
      </c>
      <c r="O308" s="56">
        <v>1.6</v>
      </c>
      <c r="P308" s="59">
        <v>42301</v>
      </c>
      <c r="Q308" s="32">
        <v>5.8</v>
      </c>
      <c r="R308" s="59">
        <v>42301</v>
      </c>
      <c r="S308" s="19">
        <v>0.8</v>
      </c>
      <c r="T308" s="59">
        <v>41571</v>
      </c>
      <c r="U308" s="19">
        <v>0</v>
      </c>
    </row>
    <row r="309" spans="1:21" x14ac:dyDescent="0.75">
      <c r="A309" s="59">
        <f t="shared" si="24"/>
        <v>41572</v>
      </c>
      <c r="B309" s="19">
        <f t="shared" si="25"/>
        <v>0</v>
      </c>
      <c r="C309" s="41">
        <f t="shared" ca="1" si="28"/>
        <v>0</v>
      </c>
      <c r="D309" s="41">
        <f ca="1">IF(Energy!$N$3, C309, IF(C309 &gt; 0, MAX(Energy!W309- Energy!N309, 0) / (Energy!I309 + Energy!M309) *C309, 0))</f>
        <v>0</v>
      </c>
      <c r="E309" s="41" t="b">
        <f ca="1">IF(Main!$C$25="Solar", IF(Energy!W309-Energy!N309&gt;=0, TRUE, FALSE), TRUE)</f>
        <v>1</v>
      </c>
      <c r="F309" s="41">
        <f t="shared" ca="1" si="26"/>
        <v>0</v>
      </c>
      <c r="G309" s="6">
        <f ca="1">IF(A309&gt;=$B$7,IF(E309,IF(H308-$B$6/1000&gt;0,IF($B$6/1000&gt;$B$9*24*60*60,$B$9*24*60*60,$B$6/1000),H308),($B$6/1000)*(-Energy!W309+Energy!N309)/Energy!N309),0)</f>
        <v>0.219</v>
      </c>
      <c r="H309" s="6">
        <f t="shared" ca="1" si="29"/>
        <v>0.33043478490567413</v>
      </c>
      <c r="I309" t="str">
        <f t="shared" ca="1" si="27"/>
        <v>Yes</v>
      </c>
      <c r="N309" s="57">
        <v>41937</v>
      </c>
      <c r="O309" s="56">
        <v>21.8</v>
      </c>
      <c r="P309" s="59">
        <v>42302</v>
      </c>
      <c r="Q309" s="32">
        <v>4</v>
      </c>
      <c r="R309" s="59">
        <v>42302</v>
      </c>
      <c r="S309" s="19">
        <v>0</v>
      </c>
      <c r="T309" s="59">
        <v>41572</v>
      </c>
      <c r="U309" s="19">
        <v>0</v>
      </c>
    </row>
    <row r="310" spans="1:21" x14ac:dyDescent="0.75">
      <c r="A310" s="59">
        <f t="shared" si="24"/>
        <v>41573</v>
      </c>
      <c r="B310" s="19">
        <f t="shared" si="25"/>
        <v>9.6</v>
      </c>
      <c r="C310" s="41">
        <f t="shared" ca="1" si="28"/>
        <v>0.96</v>
      </c>
      <c r="D310" s="41">
        <f ca="1">IF(Energy!$N$3, C310, IF(C310 &gt; 0, MAX(Energy!W310- Energy!N310, 0) / (Energy!I310 + Energy!M310) *C310, 0))</f>
        <v>0.96</v>
      </c>
      <c r="E310" s="41" t="b">
        <f ca="1">IF(Main!$C$25="Solar", IF(Energy!W310-Energy!N310&gt;=0, TRUE, FALSE), TRUE)</f>
        <v>1</v>
      </c>
      <c r="F310" s="41">
        <f t="shared" ca="1" si="26"/>
        <v>0.53345045447258366</v>
      </c>
      <c r="G310" s="6">
        <f ca="1">IF(A310&gt;=$B$7,IF(E310,IF(H309-$B$6/1000&gt;0,IF($B$6/1000&gt;$B$9*24*60*60,$B$9*24*60*60,$B$6/1000),H309),($B$6/1000)*(-Energy!W310+Energy!N310)/Energy!N310),0)</f>
        <v>0.219</v>
      </c>
      <c r="H310" s="6">
        <f t="shared" ca="1" si="29"/>
        <v>1.071434784905674</v>
      </c>
      <c r="I310" t="str">
        <f t="shared" ca="1" si="27"/>
        <v>Yes</v>
      </c>
      <c r="N310" s="57">
        <v>41938</v>
      </c>
      <c r="O310" s="56">
        <v>2.4</v>
      </c>
      <c r="P310" s="59">
        <v>42303</v>
      </c>
      <c r="Q310" s="32">
        <v>0</v>
      </c>
      <c r="R310" s="59">
        <v>42303</v>
      </c>
      <c r="S310" s="19">
        <v>0</v>
      </c>
      <c r="T310" s="59">
        <v>41573</v>
      </c>
      <c r="U310" s="19">
        <v>9.6</v>
      </c>
    </row>
    <row r="311" spans="1:21" x14ac:dyDescent="0.75">
      <c r="A311" s="59">
        <f t="shared" si="24"/>
        <v>41574</v>
      </c>
      <c r="B311" s="19">
        <f t="shared" si="25"/>
        <v>0</v>
      </c>
      <c r="C311" s="41">
        <f t="shared" ca="1" si="28"/>
        <v>0</v>
      </c>
      <c r="D311" s="41">
        <f ca="1">IF(Energy!$N$3, C311, IF(C311 &gt; 0, MAX(Energy!W311- Energy!N311, 0) / (Energy!I311 + Energy!M311) *C311, 0))</f>
        <v>0</v>
      </c>
      <c r="E311" s="41" t="b">
        <f ca="1">IF(Main!$C$25="Solar", IF(Energy!W311-Energy!N311&gt;=0, TRUE, FALSE), TRUE)</f>
        <v>1</v>
      </c>
      <c r="F311" s="41">
        <f t="shared" ca="1" si="26"/>
        <v>0</v>
      </c>
      <c r="G311" s="6">
        <f ca="1">IF(A311&gt;=$B$7,IF(E311,IF(H310-$B$6/1000&gt;0,IF($B$6/1000&gt;$B$9*24*60*60,$B$9*24*60*60,$B$6/1000),H310),($B$6/1000)*(-Energy!W311+Energy!N311)/Energy!N311),0)</f>
        <v>0.219</v>
      </c>
      <c r="H311" s="6">
        <f t="shared" ca="1" si="29"/>
        <v>0.85243478490567404</v>
      </c>
      <c r="I311" t="str">
        <f t="shared" ca="1" si="27"/>
        <v>Yes</v>
      </c>
      <c r="N311" s="57">
        <v>41939</v>
      </c>
      <c r="O311" s="56">
        <v>33.6</v>
      </c>
      <c r="P311" s="59">
        <v>42304</v>
      </c>
      <c r="Q311" s="32">
        <v>6.8</v>
      </c>
      <c r="R311" s="59">
        <v>42304</v>
      </c>
      <c r="S311" s="19">
        <v>6</v>
      </c>
      <c r="T311" s="59">
        <v>41574</v>
      </c>
      <c r="U311" s="19">
        <v>0</v>
      </c>
    </row>
    <row r="312" spans="1:21" x14ac:dyDescent="0.75">
      <c r="A312" s="59">
        <f t="shared" si="24"/>
        <v>41575</v>
      </c>
      <c r="B312" s="19">
        <f t="shared" si="25"/>
        <v>0</v>
      </c>
      <c r="C312" s="41">
        <f t="shared" ca="1" si="28"/>
        <v>0</v>
      </c>
      <c r="D312" s="41">
        <f ca="1">IF(Energy!$N$3, C312, IF(C312 &gt; 0, MAX(Energy!W312- Energy!N312, 0) / (Energy!I312 + Energy!M312) *C312, 0))</f>
        <v>0</v>
      </c>
      <c r="E312" s="41" t="b">
        <f ca="1">IF(Main!$C$25="Solar", IF(Energy!W312-Energy!N312&gt;=0, TRUE, FALSE), TRUE)</f>
        <v>1</v>
      </c>
      <c r="F312" s="41">
        <f t="shared" ca="1" si="26"/>
        <v>0</v>
      </c>
      <c r="G312" s="6">
        <f ca="1">IF(A312&gt;=$B$7,IF(E312,IF(H311-$B$6/1000&gt;0,IF($B$6/1000&gt;$B$9*24*60*60,$B$9*24*60*60,$B$6/1000),H311),($B$6/1000)*(-Energy!W312+Energy!N312)/Energy!N312),0)</f>
        <v>0.219</v>
      </c>
      <c r="H312" s="6">
        <f t="shared" ca="1" si="29"/>
        <v>0.63343478490567406</v>
      </c>
      <c r="I312" t="str">
        <f t="shared" ca="1" si="27"/>
        <v>Yes</v>
      </c>
      <c r="N312" s="57">
        <v>41940</v>
      </c>
      <c r="O312" s="56">
        <v>24.4</v>
      </c>
      <c r="P312" s="59">
        <v>42305</v>
      </c>
      <c r="Q312" s="32">
        <v>39</v>
      </c>
      <c r="R312" s="59">
        <v>42305</v>
      </c>
      <c r="S312" s="19">
        <v>4.8</v>
      </c>
      <c r="T312" s="59">
        <v>41575</v>
      </c>
      <c r="U312" s="19">
        <v>0</v>
      </c>
    </row>
    <row r="313" spans="1:21" x14ac:dyDescent="0.75">
      <c r="A313" s="59">
        <f t="shared" si="24"/>
        <v>41576</v>
      </c>
      <c r="B313" s="19">
        <f t="shared" si="25"/>
        <v>0</v>
      </c>
      <c r="C313" s="41">
        <f t="shared" ca="1" si="28"/>
        <v>0</v>
      </c>
      <c r="D313" s="41">
        <f ca="1">IF(Energy!$N$3, C313, IF(C313 &gt; 0, MAX(Energy!W313- Energy!N313, 0) / (Energy!I313 + Energy!M313) *C313, 0))</f>
        <v>0</v>
      </c>
      <c r="E313" s="41" t="b">
        <f ca="1">IF(Main!$C$25="Solar", IF(Energy!W313-Energy!N313&gt;=0, TRUE, FALSE), TRUE)</f>
        <v>1</v>
      </c>
      <c r="F313" s="41">
        <f t="shared" ca="1" si="26"/>
        <v>0</v>
      </c>
      <c r="G313" s="6">
        <f ca="1">IF(A313&gt;=$B$7,IF(E313,IF(H312-$B$6/1000&gt;0,IF($B$6/1000&gt;$B$9*24*60*60,$B$9*24*60*60,$B$6/1000),H312),($B$6/1000)*(-Energy!W313+Energy!N313)/Energy!N313),0)</f>
        <v>0.219</v>
      </c>
      <c r="H313" s="6">
        <f t="shared" ca="1" si="29"/>
        <v>0.41443478490567409</v>
      </c>
      <c r="I313" t="str">
        <f t="shared" ca="1" si="27"/>
        <v>Yes</v>
      </c>
      <c r="N313" s="57">
        <v>41941</v>
      </c>
      <c r="O313" s="56">
        <v>7</v>
      </c>
      <c r="P313" s="59">
        <v>42306</v>
      </c>
      <c r="Q313" s="32">
        <v>40.6</v>
      </c>
      <c r="R313" s="59">
        <v>42306</v>
      </c>
      <c r="S313" s="19">
        <v>10.199999999999999</v>
      </c>
      <c r="T313" s="59">
        <v>41576</v>
      </c>
      <c r="U313" s="19">
        <v>0</v>
      </c>
    </row>
    <row r="314" spans="1:21" x14ac:dyDescent="0.75">
      <c r="A314" s="59">
        <f t="shared" si="24"/>
        <v>41577</v>
      </c>
      <c r="B314" s="19">
        <f t="shared" si="25"/>
        <v>14.1</v>
      </c>
      <c r="C314" s="41">
        <f t="shared" ca="1" si="28"/>
        <v>1.41</v>
      </c>
      <c r="D314" s="41">
        <f ca="1">IF(Energy!$N$3, C314, IF(C314 &gt; 0, MAX(Energy!W314- Energy!N314, 0) / (Energy!I314 + Energy!M314) *C314, 0))</f>
        <v>1.41</v>
      </c>
      <c r="E314" s="41" t="b">
        <f ca="1">IF(Main!$C$25="Solar", IF(Energy!W314-Energy!N314&gt;=0, TRUE, FALSE), TRUE)</f>
        <v>1</v>
      </c>
      <c r="F314" s="41">
        <f t="shared" ca="1" si="26"/>
        <v>0.78350535500660723</v>
      </c>
      <c r="G314" s="6">
        <f ca="1">IF(A314&gt;=$B$7,IF(E314,IF(H313-$B$6/1000&gt;0,IF($B$6/1000&gt;$B$9*24*60*60,$B$9*24*60*60,$B$6/1000),H313),($B$6/1000)*(-Energy!W314+Energy!N314)/Energy!N314),0)</f>
        <v>0.219</v>
      </c>
      <c r="H314" s="6">
        <f t="shared" ca="1" si="29"/>
        <v>1.6054347849056738</v>
      </c>
      <c r="I314" t="str">
        <f t="shared" ca="1" si="27"/>
        <v>Yes</v>
      </c>
      <c r="N314" s="57">
        <v>41942</v>
      </c>
      <c r="O314" s="56">
        <v>9</v>
      </c>
      <c r="P314" s="59">
        <v>42307</v>
      </c>
      <c r="Q314" s="32">
        <v>35.4</v>
      </c>
      <c r="R314" s="59">
        <v>42307</v>
      </c>
      <c r="S314" s="19">
        <v>8</v>
      </c>
      <c r="T314" s="59">
        <v>41577</v>
      </c>
      <c r="U314" s="19">
        <v>14.1</v>
      </c>
    </row>
    <row r="315" spans="1:21" x14ac:dyDescent="0.75">
      <c r="A315" s="59">
        <f t="shared" si="24"/>
        <v>41578</v>
      </c>
      <c r="B315" s="19">
        <f t="shared" si="25"/>
        <v>2</v>
      </c>
      <c r="C315" s="41">
        <f t="shared" ca="1" si="28"/>
        <v>0.2</v>
      </c>
      <c r="D315" s="41">
        <f ca="1">IF(Energy!$N$3, C315, IF(C315 &gt; 0, MAX(Energy!W315- Energy!N315, 0) / (Energy!I315 + Energy!M315) *C315, 0))</f>
        <v>0.19999999999999996</v>
      </c>
      <c r="E315" s="41" t="b">
        <f ca="1">IF(Main!$C$25="Solar", IF(Energy!W315-Energy!N315&gt;=0, TRUE, FALSE), TRUE)</f>
        <v>1</v>
      </c>
      <c r="F315" s="41">
        <f t="shared" ca="1" si="26"/>
        <v>0.11113551134845491</v>
      </c>
      <c r="G315" s="6">
        <f ca="1">IF(A315&gt;=$B$7,IF(E315,IF(H314-$B$6/1000&gt;0,IF($B$6/1000&gt;$B$9*24*60*60,$B$9*24*60*60,$B$6/1000),H314),($B$6/1000)*(-Energy!W315+Energy!N315)/Energy!N315),0)</f>
        <v>0.219</v>
      </c>
      <c r="H315" s="6">
        <f t="shared" ca="1" si="29"/>
        <v>1.5864347849056737</v>
      </c>
      <c r="I315" t="str">
        <f t="shared" ca="1" si="27"/>
        <v>Yes</v>
      </c>
      <c r="N315" s="57">
        <v>41943</v>
      </c>
      <c r="O315" s="56">
        <v>15</v>
      </c>
      <c r="P315" s="59">
        <v>42308</v>
      </c>
      <c r="Q315" s="32">
        <v>21.2</v>
      </c>
      <c r="R315" s="59">
        <v>42308</v>
      </c>
      <c r="S315" s="19">
        <v>10</v>
      </c>
      <c r="T315" s="59">
        <v>41578</v>
      </c>
      <c r="U315" s="19">
        <v>2</v>
      </c>
    </row>
    <row r="316" spans="1:21" x14ac:dyDescent="0.75">
      <c r="A316" s="59">
        <f t="shared" si="24"/>
        <v>41579</v>
      </c>
      <c r="B316" s="19">
        <f t="shared" si="25"/>
        <v>0.8</v>
      </c>
      <c r="C316" s="41">
        <f t="shared" ca="1" si="28"/>
        <v>0.08</v>
      </c>
      <c r="D316" s="41">
        <f ca="1">IF(Energy!$N$3, C316, IF(C316 &gt; 0, MAX(Energy!W316- Energy!N316, 0) / (Energy!I316 + Energy!M316) *C316, 0))</f>
        <v>7.9999999999999974E-2</v>
      </c>
      <c r="E316" s="41" t="b">
        <f ca="1">IF(Main!$C$25="Solar", IF(Energy!W316-Energy!N316&gt;=0, TRUE, FALSE), TRUE)</f>
        <v>1</v>
      </c>
      <c r="F316" s="41">
        <f t="shared" ca="1" si="26"/>
        <v>4.445420453938196E-2</v>
      </c>
      <c r="G316" s="6">
        <f ca="1">IF(A316&gt;=$B$7,IF(E316,IF(H315-$B$6/1000&gt;0,IF($B$6/1000&gt;$B$9*24*60*60,$B$9*24*60*60,$B$6/1000),H315),($B$6/1000)*(-Energy!W316+Energy!N316)/Energy!N316),0)</f>
        <v>0.219</v>
      </c>
      <c r="H316" s="6">
        <f t="shared" ca="1" si="29"/>
        <v>1.4474347849056737</v>
      </c>
      <c r="I316" t="str">
        <f t="shared" ca="1" si="27"/>
        <v>Yes</v>
      </c>
      <c r="N316" s="57">
        <v>41944</v>
      </c>
      <c r="O316" s="56">
        <v>6.4</v>
      </c>
      <c r="P316" s="59">
        <v>42309</v>
      </c>
      <c r="Q316" s="32">
        <v>1.2</v>
      </c>
      <c r="R316" s="59">
        <v>42309</v>
      </c>
      <c r="S316" s="19">
        <v>7.6</v>
      </c>
      <c r="T316" s="59">
        <v>41579</v>
      </c>
      <c r="U316" s="19">
        <v>0.8</v>
      </c>
    </row>
    <row r="317" spans="1:21" x14ac:dyDescent="0.75">
      <c r="A317" s="59">
        <f t="shared" si="24"/>
        <v>41580</v>
      </c>
      <c r="B317" s="19">
        <f t="shared" si="25"/>
        <v>0</v>
      </c>
      <c r="C317" s="41">
        <f t="shared" ca="1" si="28"/>
        <v>0</v>
      </c>
      <c r="D317" s="41">
        <f ca="1">IF(Energy!$N$3, C317, IF(C317 &gt; 0, MAX(Energy!W317- Energy!N317, 0) / (Energy!I317 + Energy!M317) *C317, 0))</f>
        <v>0</v>
      </c>
      <c r="E317" s="41" t="b">
        <f ca="1">IF(Main!$C$25="Solar", IF(Energy!W317-Energy!N317&gt;=0, TRUE, FALSE), TRUE)</f>
        <v>1</v>
      </c>
      <c r="F317" s="41">
        <f t="shared" ca="1" si="26"/>
        <v>0</v>
      </c>
      <c r="G317" s="6">
        <f ca="1">IF(A317&gt;=$B$7,IF(E317,IF(H316-$B$6/1000&gt;0,IF($B$6/1000&gt;$B$9*24*60*60,$B$9*24*60*60,$B$6/1000),H316),($B$6/1000)*(-Energy!W317+Energy!N317)/Energy!N317),0)</f>
        <v>0.219</v>
      </c>
      <c r="H317" s="6">
        <f t="shared" ca="1" si="29"/>
        <v>1.2284347849056736</v>
      </c>
      <c r="I317" t="str">
        <f t="shared" ca="1" si="27"/>
        <v>Yes</v>
      </c>
      <c r="N317" s="57">
        <v>41945</v>
      </c>
      <c r="O317" s="56">
        <v>37.6</v>
      </c>
      <c r="P317" s="59">
        <v>42310</v>
      </c>
      <c r="Q317" s="32">
        <v>0</v>
      </c>
      <c r="R317" s="59">
        <v>42310</v>
      </c>
      <c r="S317" s="19">
        <v>0</v>
      </c>
      <c r="T317" s="59">
        <v>41580</v>
      </c>
      <c r="U317" s="19">
        <v>0</v>
      </c>
    </row>
    <row r="318" spans="1:21" x14ac:dyDescent="0.75">
      <c r="A318" s="59">
        <f t="shared" si="24"/>
        <v>41581</v>
      </c>
      <c r="B318" s="19">
        <f t="shared" si="25"/>
        <v>0</v>
      </c>
      <c r="C318" s="41">
        <f t="shared" ca="1" si="28"/>
        <v>0</v>
      </c>
      <c r="D318" s="41">
        <f ca="1">IF(Energy!$N$3, C318, IF(C318 &gt; 0, MAX(Energy!W318- Energy!N318, 0) / (Energy!I318 + Energy!M318) *C318, 0))</f>
        <v>0</v>
      </c>
      <c r="E318" s="41" t="b">
        <f ca="1">IF(Main!$C$25="Solar", IF(Energy!W318-Energy!N318&gt;=0, TRUE, FALSE), TRUE)</f>
        <v>1</v>
      </c>
      <c r="F318" s="41">
        <f t="shared" ca="1" si="26"/>
        <v>0</v>
      </c>
      <c r="G318" s="6">
        <f ca="1">IF(A318&gt;=$B$7,IF(E318,IF(H317-$B$6/1000&gt;0,IF($B$6/1000&gt;$B$9*24*60*60,$B$9*24*60*60,$B$6/1000),H317),($B$6/1000)*(-Energy!W318+Energy!N318)/Energy!N318),0)</f>
        <v>0.219</v>
      </c>
      <c r="H318" s="6">
        <f t="shared" ca="1" si="29"/>
        <v>1.0094347849056735</v>
      </c>
      <c r="I318" t="str">
        <f t="shared" ca="1" si="27"/>
        <v>Yes</v>
      </c>
      <c r="N318" s="57">
        <v>41946</v>
      </c>
      <c r="O318" s="56">
        <v>35.200000000000003</v>
      </c>
      <c r="P318" s="59">
        <v>42311</v>
      </c>
      <c r="Q318" s="32">
        <v>0</v>
      </c>
      <c r="R318" s="59">
        <v>42311</v>
      </c>
      <c r="S318" s="19">
        <v>0</v>
      </c>
      <c r="T318" s="59">
        <v>41581</v>
      </c>
      <c r="U318" s="19">
        <v>0</v>
      </c>
    </row>
    <row r="319" spans="1:21" x14ac:dyDescent="0.75">
      <c r="A319" s="59">
        <f t="shared" si="24"/>
        <v>41582</v>
      </c>
      <c r="B319" s="19">
        <f t="shared" si="25"/>
        <v>1.2</v>
      </c>
      <c r="C319" s="41">
        <f t="shared" ca="1" si="28"/>
        <v>0.12</v>
      </c>
      <c r="D319" s="41">
        <f ca="1">IF(Energy!$N$3, C319, IF(C319 &gt; 0, MAX(Energy!W319- Energy!N319, 0) / (Energy!I319 + Energy!M319) *C319, 0))</f>
        <v>0.12</v>
      </c>
      <c r="E319" s="41" t="b">
        <f ca="1">IF(Main!$C$25="Solar", IF(Energy!W319-Energy!N319&gt;=0, TRUE, FALSE), TRUE)</f>
        <v>1</v>
      </c>
      <c r="F319" s="41">
        <f t="shared" ca="1" si="26"/>
        <v>6.6681306809072957E-2</v>
      </c>
      <c r="G319" s="6">
        <f ca="1">IF(A319&gt;=$B$7,IF(E319,IF(H318-$B$6/1000&gt;0,IF($B$6/1000&gt;$B$9*24*60*60,$B$9*24*60*60,$B$6/1000),H318),($B$6/1000)*(-Energy!W319+Energy!N319)/Energy!N319),0)</f>
        <v>0.219</v>
      </c>
      <c r="H319" s="6">
        <f t="shared" ca="1" si="29"/>
        <v>0.91043478490567364</v>
      </c>
      <c r="I319" t="str">
        <f t="shared" ca="1" si="27"/>
        <v>Yes</v>
      </c>
      <c r="N319" s="57">
        <v>41947</v>
      </c>
      <c r="O319" s="56">
        <v>9</v>
      </c>
      <c r="P319" s="59">
        <v>42312</v>
      </c>
      <c r="Q319" s="32">
        <v>3.4</v>
      </c>
      <c r="R319" s="59">
        <v>42312</v>
      </c>
      <c r="S319" s="19">
        <v>4.5999999999999996</v>
      </c>
      <c r="T319" s="59">
        <v>41582</v>
      </c>
      <c r="U319" s="19">
        <v>1.2</v>
      </c>
    </row>
    <row r="320" spans="1:21" x14ac:dyDescent="0.75">
      <c r="A320" s="59">
        <f t="shared" si="24"/>
        <v>41583</v>
      </c>
      <c r="B320" s="19">
        <f t="shared" si="25"/>
        <v>3</v>
      </c>
      <c r="C320" s="41">
        <f t="shared" ca="1" si="28"/>
        <v>0.3</v>
      </c>
      <c r="D320" s="41">
        <f ca="1">IF(Energy!$N$3, C320, IF(C320 &gt; 0, MAX(Energy!W320- Energy!N320, 0) / (Energy!I320 + Energy!M320) *C320, 0))</f>
        <v>0.30000000000000004</v>
      </c>
      <c r="E320" s="41" t="b">
        <f ca="1">IF(Main!$C$25="Solar", IF(Energy!W320-Energy!N320&gt;=0, TRUE, FALSE), TRUE)</f>
        <v>1</v>
      </c>
      <c r="F320" s="41">
        <f t="shared" ca="1" si="26"/>
        <v>0.16670326702268243</v>
      </c>
      <c r="G320" s="6">
        <f ca="1">IF(A320&gt;=$B$7,IF(E320,IF(H319-$B$6/1000&gt;0,IF($B$6/1000&gt;$B$9*24*60*60,$B$9*24*60*60,$B$6/1000),H319),($B$6/1000)*(-Energy!W320+Energy!N320)/Energy!N320),0)</f>
        <v>0.219</v>
      </c>
      <c r="H320" s="6">
        <f t="shared" ca="1" si="29"/>
        <v>0.99143478490567361</v>
      </c>
      <c r="I320" t="str">
        <f t="shared" ca="1" si="27"/>
        <v>Yes</v>
      </c>
      <c r="N320" s="57">
        <v>41948</v>
      </c>
      <c r="O320" s="56">
        <v>4.4000000000000004</v>
      </c>
      <c r="P320" s="59">
        <v>42313</v>
      </c>
      <c r="Q320" s="32">
        <v>6</v>
      </c>
      <c r="R320" s="59">
        <v>42313</v>
      </c>
      <c r="S320" s="19">
        <v>2</v>
      </c>
      <c r="T320" s="59">
        <v>41583</v>
      </c>
      <c r="U320" s="19">
        <v>3</v>
      </c>
    </row>
    <row r="321" spans="1:21" x14ac:dyDescent="0.75">
      <c r="A321" s="59">
        <f t="shared" si="24"/>
        <v>41584</v>
      </c>
      <c r="B321" s="19">
        <f t="shared" si="25"/>
        <v>3.2</v>
      </c>
      <c r="C321" s="41">
        <f t="shared" ca="1" si="28"/>
        <v>0.32</v>
      </c>
      <c r="D321" s="41">
        <f ca="1">IF(Energy!$N$3, C321, IF(C321 &gt; 0, MAX(Energy!W321- Energy!N321, 0) / (Energy!I321 + Energy!M321) *C321, 0))</f>
        <v>0.32000000000000006</v>
      </c>
      <c r="E321" s="41" t="b">
        <f ca="1">IF(Main!$C$25="Solar", IF(Energy!W321-Energy!N321&gt;=0, TRUE, FALSE), TRUE)</f>
        <v>1</v>
      </c>
      <c r="F321" s="41">
        <f t="shared" ca="1" si="26"/>
        <v>0.17781681815752792</v>
      </c>
      <c r="G321" s="6">
        <f ca="1">IF(A321&gt;=$B$7,IF(E321,IF(H320-$B$6/1000&gt;0,IF($B$6/1000&gt;$B$9*24*60*60,$B$9*24*60*60,$B$6/1000),H320),($B$6/1000)*(-Energy!W321+Energy!N321)/Energy!N321),0)</f>
        <v>0.219</v>
      </c>
      <c r="H321" s="6">
        <f t="shared" ca="1" si="29"/>
        <v>1.0924347849056735</v>
      </c>
      <c r="I321" t="str">
        <f t="shared" ca="1" si="27"/>
        <v>Yes</v>
      </c>
      <c r="N321" s="57">
        <v>41949</v>
      </c>
      <c r="O321" s="56">
        <v>20.2</v>
      </c>
      <c r="P321" s="59">
        <v>42314</v>
      </c>
      <c r="Q321" s="32">
        <v>44.2</v>
      </c>
      <c r="R321" s="59">
        <v>42314</v>
      </c>
      <c r="S321" s="19">
        <v>15</v>
      </c>
      <c r="T321" s="59">
        <v>41584</v>
      </c>
      <c r="U321" s="19">
        <v>3.2</v>
      </c>
    </row>
    <row r="322" spans="1:21" x14ac:dyDescent="0.75">
      <c r="A322" s="59">
        <f t="shared" si="24"/>
        <v>41585</v>
      </c>
      <c r="B322" s="19">
        <f t="shared" si="25"/>
        <v>3.2</v>
      </c>
      <c r="C322" s="41">
        <f t="shared" ca="1" si="28"/>
        <v>0.32</v>
      </c>
      <c r="D322" s="41">
        <f ca="1">IF(Energy!$N$3, C322, IF(C322 &gt; 0, MAX(Energy!W322- Energy!N322, 0) / (Energy!I322 + Energy!M322) *C322, 0))</f>
        <v>0.32000000000000006</v>
      </c>
      <c r="E322" s="41" t="b">
        <f ca="1">IF(Main!$C$25="Solar", IF(Energy!W322-Energy!N322&gt;=0, TRUE, FALSE), TRUE)</f>
        <v>1</v>
      </c>
      <c r="F322" s="41">
        <f t="shared" ca="1" si="26"/>
        <v>0.17781681815752792</v>
      </c>
      <c r="G322" s="6">
        <f ca="1">IF(A322&gt;=$B$7,IF(E322,IF(H321-$B$6/1000&gt;0,IF($B$6/1000&gt;$B$9*24*60*60,$B$9*24*60*60,$B$6/1000),H321),($B$6/1000)*(-Energy!W322+Energy!N322)/Energy!N322),0)</f>
        <v>0.219</v>
      </c>
      <c r="H322" s="6">
        <f t="shared" ca="1" si="29"/>
        <v>1.1934347849056735</v>
      </c>
      <c r="I322" t="str">
        <f t="shared" ca="1" si="27"/>
        <v>Yes</v>
      </c>
      <c r="N322" s="57">
        <v>41950</v>
      </c>
      <c r="O322" s="56">
        <v>1.4</v>
      </c>
      <c r="P322" s="59">
        <v>42315</v>
      </c>
      <c r="Q322" s="32">
        <v>2.2000000000000002</v>
      </c>
      <c r="R322" s="59">
        <v>42315</v>
      </c>
      <c r="S322" s="19">
        <v>3.6</v>
      </c>
      <c r="T322" s="59">
        <v>41585</v>
      </c>
      <c r="U322" s="19">
        <v>3.2</v>
      </c>
    </row>
    <row r="323" spans="1:21" x14ac:dyDescent="0.75">
      <c r="A323" s="59">
        <f t="shared" si="24"/>
        <v>41586</v>
      </c>
      <c r="B323" s="19">
        <f t="shared" si="25"/>
        <v>5.6</v>
      </c>
      <c r="C323" s="41">
        <f t="shared" ca="1" si="28"/>
        <v>0.56000000000000005</v>
      </c>
      <c r="D323" s="41">
        <f ca="1">IF(Energy!$N$3, C323, IF(C323 &gt; 0, MAX(Energy!W323- Energy!N323, 0) / (Energy!I323 + Energy!M323) *C323, 0))</f>
        <v>0.55999999999999994</v>
      </c>
      <c r="E323" s="41" t="b">
        <f ca="1">IF(Main!$C$25="Solar", IF(Energy!W323-Energy!N323&gt;=0, TRUE, FALSE), TRUE)</f>
        <v>1</v>
      </c>
      <c r="F323" s="41">
        <f t="shared" ca="1" si="26"/>
        <v>0.31117943177567375</v>
      </c>
      <c r="G323" s="6">
        <f ca="1">IF(A323&gt;=$B$7,IF(E323,IF(H322-$B$6/1000&gt;0,IF($B$6/1000&gt;$B$9*24*60*60,$B$9*24*60*60,$B$6/1000),H322),($B$6/1000)*(-Energy!W323+Energy!N323)/Energy!N323),0)</f>
        <v>0.219</v>
      </c>
      <c r="H323" s="6">
        <f t="shared" ca="1" si="29"/>
        <v>1.5344347849056732</v>
      </c>
      <c r="I323" t="str">
        <f t="shared" ca="1" si="27"/>
        <v>Yes</v>
      </c>
      <c r="N323" s="57">
        <v>41951</v>
      </c>
      <c r="O323" s="56">
        <v>34</v>
      </c>
      <c r="P323" s="59">
        <v>42316</v>
      </c>
      <c r="Q323" s="32">
        <v>1.6</v>
      </c>
      <c r="R323" s="59">
        <v>42316</v>
      </c>
      <c r="S323" s="19">
        <v>4.4000000000000004</v>
      </c>
      <c r="T323" s="59">
        <v>41586</v>
      </c>
      <c r="U323" s="19">
        <v>5.6</v>
      </c>
    </row>
    <row r="324" spans="1:21" x14ac:dyDescent="0.75">
      <c r="A324" s="59">
        <f t="shared" si="24"/>
        <v>41587</v>
      </c>
      <c r="B324" s="19">
        <f t="shared" si="25"/>
        <v>0</v>
      </c>
      <c r="C324" s="41">
        <f t="shared" ca="1" si="28"/>
        <v>0</v>
      </c>
      <c r="D324" s="41">
        <f ca="1">IF(Energy!$N$3, C324, IF(C324 &gt; 0, MAX(Energy!W324- Energy!N324, 0) / (Energy!I324 + Energy!M324) *C324, 0))</f>
        <v>0</v>
      </c>
      <c r="E324" s="41" t="b">
        <f ca="1">IF(Main!$C$25="Solar", IF(Energy!W324-Energy!N324&gt;=0, TRUE, FALSE), TRUE)</f>
        <v>1</v>
      </c>
      <c r="F324" s="41">
        <f t="shared" ca="1" si="26"/>
        <v>0</v>
      </c>
      <c r="G324" s="6">
        <f ca="1">IF(A324&gt;=$B$7,IF(E324,IF(H323-$B$6/1000&gt;0,IF($B$6/1000&gt;$B$9*24*60*60,$B$9*24*60*60,$B$6/1000),H323),($B$6/1000)*(-Energy!W324+Energy!N324)/Energy!N324),0)</f>
        <v>0.219</v>
      </c>
      <c r="H324" s="6">
        <f t="shared" ca="1" si="29"/>
        <v>1.3154347849056731</v>
      </c>
      <c r="I324" t="str">
        <f t="shared" ca="1" si="27"/>
        <v>Yes</v>
      </c>
      <c r="N324" s="57">
        <v>41952</v>
      </c>
      <c r="O324" s="56">
        <v>0</v>
      </c>
      <c r="P324" s="59">
        <v>42317</v>
      </c>
      <c r="Q324" s="32">
        <v>0</v>
      </c>
      <c r="R324" s="59">
        <v>42317</v>
      </c>
      <c r="S324" s="19">
        <v>0</v>
      </c>
      <c r="T324" s="59">
        <v>41587</v>
      </c>
      <c r="U324" s="19">
        <v>0</v>
      </c>
    </row>
    <row r="325" spans="1:21" x14ac:dyDescent="0.75">
      <c r="A325" s="59">
        <f t="shared" si="24"/>
        <v>41588</v>
      </c>
      <c r="B325" s="19">
        <f t="shared" si="25"/>
        <v>0</v>
      </c>
      <c r="C325" s="41">
        <f t="shared" ca="1" si="28"/>
        <v>0</v>
      </c>
      <c r="D325" s="41">
        <f ca="1">IF(Energy!$N$3, C325, IF(C325 &gt; 0, MAX(Energy!W325- Energy!N325, 0) / (Energy!I325 + Energy!M325) *C325, 0))</f>
        <v>0</v>
      </c>
      <c r="E325" s="41" t="b">
        <f ca="1">IF(Main!$C$25="Solar", IF(Energy!W325-Energy!N325&gt;=0, TRUE, FALSE), TRUE)</f>
        <v>1</v>
      </c>
      <c r="F325" s="41">
        <f t="shared" ca="1" si="26"/>
        <v>0</v>
      </c>
      <c r="G325" s="6">
        <f ca="1">IF(A325&gt;=$B$7,IF(E325,IF(H324-$B$6/1000&gt;0,IF($B$6/1000&gt;$B$9*24*60*60,$B$9*24*60*60,$B$6/1000),H324),($B$6/1000)*(-Energy!W325+Energy!N325)/Energy!N325),0)</f>
        <v>0.219</v>
      </c>
      <c r="H325" s="6">
        <f t="shared" ca="1" si="29"/>
        <v>1.096434784905673</v>
      </c>
      <c r="I325" t="str">
        <f t="shared" ca="1" si="27"/>
        <v>Yes</v>
      </c>
      <c r="N325" s="57">
        <v>41953</v>
      </c>
      <c r="O325" s="56">
        <v>0</v>
      </c>
      <c r="P325" s="59">
        <v>42318</v>
      </c>
      <c r="Q325" s="32">
        <v>20.5</v>
      </c>
      <c r="R325" s="59">
        <v>42318</v>
      </c>
      <c r="S325" s="19">
        <v>9.6</v>
      </c>
      <c r="T325" s="59">
        <v>41588</v>
      </c>
      <c r="U325" s="19">
        <v>0</v>
      </c>
    </row>
    <row r="326" spans="1:21" x14ac:dyDescent="0.75">
      <c r="A326" s="59">
        <f t="shared" si="24"/>
        <v>41589</v>
      </c>
      <c r="B326" s="19">
        <f t="shared" si="25"/>
        <v>1.8</v>
      </c>
      <c r="C326" s="41">
        <f t="shared" ca="1" si="28"/>
        <v>0.18</v>
      </c>
      <c r="D326" s="41">
        <f ca="1">IF(Energy!$N$3, C326, IF(C326 &gt; 0, MAX(Energy!W326- Energy!N326, 0) / (Energy!I326 + Energy!M326) *C326, 0))</f>
        <v>0.17999999999999997</v>
      </c>
      <c r="E326" s="41" t="b">
        <f ca="1">IF(Main!$C$25="Solar", IF(Energy!W326-Energy!N326&gt;=0, TRUE, FALSE), TRUE)</f>
        <v>1</v>
      </c>
      <c r="F326" s="41">
        <f t="shared" ca="1" si="26"/>
        <v>0.10002196021360941</v>
      </c>
      <c r="G326" s="6">
        <f ca="1">IF(A326&gt;=$B$7,IF(E326,IF(H325-$B$6/1000&gt;0,IF($B$6/1000&gt;$B$9*24*60*60,$B$9*24*60*60,$B$6/1000),H325),($B$6/1000)*(-Energy!W326+Energy!N326)/Energy!N326),0)</f>
        <v>0.219</v>
      </c>
      <c r="H326" s="6">
        <f t="shared" ca="1" si="29"/>
        <v>1.0574347849056729</v>
      </c>
      <c r="I326" t="str">
        <f t="shared" ca="1" si="27"/>
        <v>Yes</v>
      </c>
      <c r="N326" s="57">
        <v>41954</v>
      </c>
      <c r="O326" s="56">
        <v>0</v>
      </c>
      <c r="P326" s="59">
        <v>42319</v>
      </c>
      <c r="Q326" s="32">
        <v>18.8</v>
      </c>
      <c r="R326" s="59">
        <v>42319</v>
      </c>
      <c r="S326" s="19">
        <v>1.2</v>
      </c>
      <c r="T326" s="59">
        <v>41589</v>
      </c>
      <c r="U326" s="19">
        <v>1.8</v>
      </c>
    </row>
    <row r="327" spans="1:21" x14ac:dyDescent="0.75">
      <c r="A327" s="59">
        <f t="shared" si="24"/>
        <v>41590</v>
      </c>
      <c r="B327" s="19">
        <f t="shared" si="25"/>
        <v>9.6</v>
      </c>
      <c r="C327" s="41">
        <f t="shared" ca="1" si="28"/>
        <v>0.96</v>
      </c>
      <c r="D327" s="41">
        <f ca="1">IF(Energy!$N$3, C327, IF(C327 &gt; 0, MAX(Energy!W327- Energy!N327, 0) / (Energy!I327 + Energy!M327) *C327, 0))</f>
        <v>0.96</v>
      </c>
      <c r="E327" s="41" t="b">
        <f ca="1">IF(Main!$C$25="Solar", IF(Energy!W327-Energy!N327&gt;=0, TRUE, FALSE), TRUE)</f>
        <v>1</v>
      </c>
      <c r="F327" s="41">
        <f t="shared" ca="1" si="26"/>
        <v>0.53345045447258366</v>
      </c>
      <c r="G327" s="6">
        <f ca="1">IF(A327&gt;=$B$7,IF(E327,IF(H326-$B$6/1000&gt;0,IF($B$6/1000&gt;$B$9*24*60*60,$B$9*24*60*60,$B$6/1000),H326),($B$6/1000)*(-Energy!W327+Energy!N327)/Energy!N327),0)</f>
        <v>0.219</v>
      </c>
      <c r="H327" s="6">
        <f t="shared" ca="1" si="29"/>
        <v>1.7984347849056725</v>
      </c>
      <c r="I327" t="str">
        <f t="shared" ca="1" si="27"/>
        <v>Yes</v>
      </c>
      <c r="N327" s="57">
        <v>41955</v>
      </c>
      <c r="O327" s="56">
        <v>0</v>
      </c>
      <c r="P327" s="59">
        <v>42320</v>
      </c>
      <c r="Q327" s="32">
        <v>59</v>
      </c>
      <c r="R327" s="59">
        <v>42320</v>
      </c>
      <c r="S327" s="19">
        <v>8.1999999999999993</v>
      </c>
      <c r="T327" s="59">
        <v>41590</v>
      </c>
      <c r="U327" s="19">
        <v>9.6</v>
      </c>
    </row>
    <row r="328" spans="1:21" x14ac:dyDescent="0.75">
      <c r="A328" s="59">
        <f t="shared" si="24"/>
        <v>41591</v>
      </c>
      <c r="B328" s="19">
        <f t="shared" si="25"/>
        <v>8.8000000000000007</v>
      </c>
      <c r="C328" s="41">
        <f t="shared" ca="1" si="28"/>
        <v>0.88000000000000012</v>
      </c>
      <c r="D328" s="41">
        <f ca="1">IF(Energy!$N$3, C328, IF(C328 &gt; 0, MAX(Energy!W328- Energy!N328, 0) / (Energy!I328 + Energy!M328) *C328, 0))</f>
        <v>0.88000000000000012</v>
      </c>
      <c r="E328" s="41" t="b">
        <f ca="1">IF(Main!$C$25="Solar", IF(Energy!W328-Energy!N328&gt;=0, TRUE, FALSE), TRUE)</f>
        <v>1</v>
      </c>
      <c r="F328" s="41">
        <f t="shared" ca="1" si="26"/>
        <v>0.48899624993320173</v>
      </c>
      <c r="G328" s="6">
        <f ca="1">IF(A328&gt;=$B$7,IF(E328,IF(H327-$B$6/1000&gt;0,IF($B$6/1000&gt;$B$9*24*60*60,$B$9*24*60*60,$B$6/1000),H327),($B$6/1000)*(-Energy!W328+Energy!N328)/Energy!N328),0)</f>
        <v>0.219</v>
      </c>
      <c r="H328" s="6">
        <f t="shared" ca="1" si="29"/>
        <v>2.4594347849056728</v>
      </c>
      <c r="I328" t="str">
        <f t="shared" ca="1" si="27"/>
        <v>Yes</v>
      </c>
      <c r="N328" s="57">
        <v>41956</v>
      </c>
      <c r="O328" s="56">
        <v>0</v>
      </c>
      <c r="P328" s="59">
        <v>42321</v>
      </c>
      <c r="Q328" s="32">
        <v>11.4</v>
      </c>
      <c r="R328" s="59">
        <v>42321</v>
      </c>
      <c r="S328" s="19">
        <v>0.8</v>
      </c>
      <c r="T328" s="59">
        <v>41591</v>
      </c>
      <c r="U328" s="19">
        <v>8.8000000000000007</v>
      </c>
    </row>
    <row r="329" spans="1:21" x14ac:dyDescent="0.75">
      <c r="A329" s="59">
        <f t="shared" si="24"/>
        <v>41592</v>
      </c>
      <c r="B329" s="19">
        <f t="shared" si="25"/>
        <v>1.4</v>
      </c>
      <c r="C329" s="41">
        <f t="shared" ca="1" si="28"/>
        <v>0.14000000000000001</v>
      </c>
      <c r="D329" s="41">
        <f ca="1">IF(Energy!$N$3, C329, IF(C329 &gt; 0, MAX(Energy!W329- Energy!N329, 0) / (Energy!I329 + Energy!M329) *C329, 0))</f>
        <v>0.13999999999999999</v>
      </c>
      <c r="E329" s="41" t="b">
        <f ca="1">IF(Main!$C$25="Solar", IF(Energy!W329-Energy!N329&gt;=0, TRUE, FALSE), TRUE)</f>
        <v>1</v>
      </c>
      <c r="F329" s="41">
        <f t="shared" ca="1" si="26"/>
        <v>7.7794857943918438E-2</v>
      </c>
      <c r="G329" s="6">
        <f ca="1">IF(A329&gt;=$B$7,IF(E329,IF(H328-$B$6/1000&gt;0,IF($B$6/1000&gt;$B$9*24*60*60,$B$9*24*60*60,$B$6/1000),H328),($B$6/1000)*(-Energy!W329+Energy!N329)/Energy!N329),0)</f>
        <v>0.219</v>
      </c>
      <c r="H329" s="6">
        <f t="shared" ca="1" si="29"/>
        <v>2.3804347849056731</v>
      </c>
      <c r="I329" t="str">
        <f t="shared" ca="1" si="27"/>
        <v>Yes</v>
      </c>
      <c r="N329" s="57">
        <v>41957</v>
      </c>
      <c r="O329" s="56">
        <v>0</v>
      </c>
      <c r="P329" s="59">
        <v>42322</v>
      </c>
      <c r="Q329" s="32">
        <v>0.6</v>
      </c>
      <c r="R329" s="59">
        <v>42322</v>
      </c>
      <c r="S329" s="19">
        <v>2.4</v>
      </c>
      <c r="T329" s="59">
        <v>41592</v>
      </c>
      <c r="U329" s="19">
        <v>1.4</v>
      </c>
    </row>
    <row r="330" spans="1:21" x14ac:dyDescent="0.75">
      <c r="A330" s="59">
        <f t="shared" si="24"/>
        <v>41593</v>
      </c>
      <c r="B330" s="19">
        <f t="shared" si="25"/>
        <v>11.8</v>
      </c>
      <c r="C330" s="41">
        <f t="shared" ca="1" si="28"/>
        <v>1.18</v>
      </c>
      <c r="D330" s="41">
        <f ca="1">IF(Energy!$N$3, C330, IF(C330 &gt; 0, MAX(Energy!W330- Energy!N330, 0) / (Energy!I330 + Energy!M330) *C330, 0))</f>
        <v>1.102365726751259</v>
      </c>
      <c r="E330" s="41" t="b">
        <f ca="1">IF(Main!$C$25="Solar", IF(Energy!W330-Energy!N330&gt;=0, TRUE, FALSE), TRUE)</f>
        <v>1</v>
      </c>
      <c r="F330" s="41">
        <f t="shared" ca="1" si="26"/>
        <v>0.61255989367756158</v>
      </c>
      <c r="G330" s="6">
        <f ca="1">IF(A330&gt;=$B$7,IF(E330,IF(H329-$B$6/1000&gt;0,IF($B$6/1000&gt;$B$9*24*60*60,$B$9*24*60*60,$B$6/1000),H329),($B$6/1000)*(-Energy!W330+Energy!N330)/Energy!N330),0)</f>
        <v>0.219</v>
      </c>
      <c r="H330" s="6">
        <f t="shared" ca="1" si="29"/>
        <v>3.2638005116569322</v>
      </c>
      <c r="I330" t="str">
        <f t="shared" ca="1" si="27"/>
        <v>Yes</v>
      </c>
      <c r="N330" s="57">
        <v>41958</v>
      </c>
      <c r="O330" s="56">
        <v>0</v>
      </c>
      <c r="P330" s="59">
        <v>42323</v>
      </c>
      <c r="Q330" s="32">
        <v>6</v>
      </c>
      <c r="R330" s="59">
        <v>42323</v>
      </c>
      <c r="S330" s="19">
        <v>0.2</v>
      </c>
      <c r="T330" s="59">
        <v>41593</v>
      </c>
      <c r="U330" s="19">
        <v>11.8</v>
      </c>
    </row>
    <row r="331" spans="1:21" x14ac:dyDescent="0.75">
      <c r="A331" s="59">
        <f t="shared" si="24"/>
        <v>41594</v>
      </c>
      <c r="B331" s="19">
        <f t="shared" si="25"/>
        <v>0</v>
      </c>
      <c r="C331" s="41">
        <f t="shared" ca="1" si="28"/>
        <v>0</v>
      </c>
      <c r="D331" s="41">
        <f ca="1">IF(Energy!$N$3, C331, IF(C331 &gt; 0, MAX(Energy!W331- Energy!N331, 0) / (Energy!I331 + Energy!M331) *C331, 0))</f>
        <v>0</v>
      </c>
      <c r="E331" s="41" t="b">
        <f ca="1">IF(Main!$C$25="Solar", IF(Energy!W331-Energy!N331&gt;=0, TRUE, FALSE), TRUE)</f>
        <v>1</v>
      </c>
      <c r="F331" s="41">
        <f t="shared" ca="1" si="26"/>
        <v>0</v>
      </c>
      <c r="G331" s="6">
        <f ca="1">IF(A331&gt;=$B$7,IF(E331,IF(H330-$B$6/1000&gt;0,IF($B$6/1000&gt;$B$9*24*60*60,$B$9*24*60*60,$B$6/1000),H330),($B$6/1000)*(-Energy!W331+Energy!N331)/Energy!N331),0)</f>
        <v>0.219</v>
      </c>
      <c r="H331" s="6">
        <f t="shared" ca="1" si="29"/>
        <v>3.0448005116569323</v>
      </c>
      <c r="I331" t="str">
        <f t="shared" ca="1" si="27"/>
        <v>Yes</v>
      </c>
      <c r="N331" s="57">
        <v>41959</v>
      </c>
      <c r="O331" s="56">
        <v>0</v>
      </c>
      <c r="P331" s="59">
        <v>42324</v>
      </c>
      <c r="Q331" s="32">
        <v>55.4</v>
      </c>
      <c r="R331" s="59">
        <v>42324</v>
      </c>
      <c r="S331" s="19">
        <v>8.1999999999999993</v>
      </c>
      <c r="T331" s="59">
        <v>41594</v>
      </c>
      <c r="U331" s="19">
        <v>0</v>
      </c>
    </row>
    <row r="332" spans="1:21" x14ac:dyDescent="0.75">
      <c r="A332" s="59">
        <f t="shared" ref="A332:A376" si="30">IF($B$10="Station 1 2014", N332, IF($B$10="Station 1 2015", P332, IF($B$10="Station 2 2015", R332, T332)))</f>
        <v>41595</v>
      </c>
      <c r="B332" s="19">
        <f t="shared" ref="B332:B376" si="31">IF($B$10="Station 1 2014", O332, IF($B$10="Station 1 2015", Q332, IF($B$10="Station 2 2015", S332, U332)))</f>
        <v>4.5999999999999996</v>
      </c>
      <c r="C332" s="41">
        <f t="shared" ca="1" si="28"/>
        <v>0.45999999999999996</v>
      </c>
      <c r="D332" s="41">
        <f ca="1">IF(Energy!$N$3, C332, IF(C332 &gt; 0, MAX(Energy!W332- Energy!N332, 0) / (Energy!I332 + Energy!M332) *C332, 0))</f>
        <v>0.45999999999999996</v>
      </c>
      <c r="E332" s="41" t="b">
        <f ca="1">IF(Main!$C$25="Solar", IF(Energy!W332-Energy!N332&gt;=0, TRUE, FALSE), TRUE)</f>
        <v>1</v>
      </c>
      <c r="F332" s="41">
        <f t="shared" ref="F332:F376" ca="1" si="32">D332/($B$8*60*60)</f>
        <v>0.25561167610144631</v>
      </c>
      <c r="G332" s="6">
        <f ca="1">IF(A332&gt;=$B$7,IF(E332,IF(H331-$B$6/1000&gt;0,IF($B$6/1000&gt;$B$9*24*60*60,$B$9*24*60*60,$B$6/1000),H331),($B$6/1000)*(-Energy!W332+Energy!N332)/Energy!N332),0)</f>
        <v>0.219</v>
      </c>
      <c r="H332" s="6">
        <f t="shared" ca="1" si="29"/>
        <v>3.2858005116569324</v>
      </c>
      <c r="I332" t="str">
        <f t="shared" ref="I332:I376" ca="1" si="33">IF(A332&gt;=$B$7,IF(G332&gt;=$B$6/1000, IF(E332=TRUE,"Yes","No"),"No"), "Yes")</f>
        <v>Yes</v>
      </c>
      <c r="N332" s="57">
        <v>41960</v>
      </c>
      <c r="O332" s="56">
        <v>0</v>
      </c>
      <c r="P332" s="59">
        <v>42325</v>
      </c>
      <c r="Q332" s="32">
        <v>6.2</v>
      </c>
      <c r="R332" s="59">
        <v>42325</v>
      </c>
      <c r="S332" s="19">
        <v>5.8</v>
      </c>
      <c r="T332" s="59">
        <v>41595</v>
      </c>
      <c r="U332" s="19">
        <v>4.5999999999999996</v>
      </c>
    </row>
    <row r="333" spans="1:21" x14ac:dyDescent="0.75">
      <c r="A333" s="59">
        <f t="shared" si="30"/>
        <v>41596</v>
      </c>
      <c r="B333" s="19">
        <f t="shared" si="31"/>
        <v>0</v>
      </c>
      <c r="C333" s="41">
        <f t="shared" ref="C333:C376" ca="1" si="34">IF(IF(B333*$B$2/1000&gt;$B$4, $B$4, B333*$B$2/1000)&gt;$B$8*24*60*60, $B$8*24*60*60, (IF(B333*$B$2/1000&gt;$B$4, $B$4, B333*$B$2/1000)))</f>
        <v>0</v>
      </c>
      <c r="D333" s="41">
        <f ca="1">IF(Energy!$N$3, C333, IF(C333 &gt; 0, MAX(Energy!W333- Energy!N333, 0) / (Energy!I333 + Energy!M333) *C333, 0))</f>
        <v>0</v>
      </c>
      <c r="E333" s="41" t="b">
        <f ca="1">IF(Main!$C$25="Solar", IF(Energy!W333-Energy!N333&gt;=0, TRUE, FALSE), TRUE)</f>
        <v>1</v>
      </c>
      <c r="F333" s="41">
        <f t="shared" ca="1" si="32"/>
        <v>0</v>
      </c>
      <c r="G333" s="6">
        <f ca="1">IF(A333&gt;=$B$7,IF(E333,IF(H332-$B$6/1000&gt;0,IF($B$6/1000&gt;$B$9*24*60*60,$B$9*24*60*60,$B$6/1000),H332),($B$6/1000)*(-Energy!W333+Energy!N333)/Energy!N333),0)</f>
        <v>0.219</v>
      </c>
      <c r="H333" s="6">
        <f t="shared" ref="H333:H376" ca="1" si="35">IF(H332+D333-G333&gt;$B$3, $B$3, IF(H332+D333-G333&lt;0, 0, H332+D333-G333))</f>
        <v>3.0668005116569326</v>
      </c>
      <c r="I333" t="str">
        <f t="shared" ca="1" si="33"/>
        <v>Yes</v>
      </c>
      <c r="N333" s="57">
        <v>41961</v>
      </c>
      <c r="O333" s="56">
        <v>0</v>
      </c>
      <c r="P333" s="59">
        <v>42326</v>
      </c>
      <c r="Q333" s="32">
        <v>0</v>
      </c>
      <c r="R333" s="59">
        <v>42326</v>
      </c>
      <c r="S333" s="19">
        <v>0</v>
      </c>
      <c r="T333" s="59">
        <v>41596</v>
      </c>
      <c r="U333" s="19">
        <v>0</v>
      </c>
    </row>
    <row r="334" spans="1:21" x14ac:dyDescent="0.75">
      <c r="A334" s="59">
        <f t="shared" si="30"/>
        <v>41597</v>
      </c>
      <c r="B334" s="19">
        <f t="shared" si="31"/>
        <v>0</v>
      </c>
      <c r="C334" s="41">
        <f t="shared" ca="1" si="34"/>
        <v>0</v>
      </c>
      <c r="D334" s="41">
        <f ca="1">IF(Energy!$N$3, C334, IF(C334 &gt; 0, MAX(Energy!W334- Energy!N334, 0) / (Energy!I334 + Energy!M334) *C334, 0))</f>
        <v>0</v>
      </c>
      <c r="E334" s="41" t="b">
        <f ca="1">IF(Main!$C$25="Solar", IF(Energy!W334-Energy!N334&gt;=0, TRUE, FALSE), TRUE)</f>
        <v>1</v>
      </c>
      <c r="F334" s="41">
        <f t="shared" ca="1" si="32"/>
        <v>0</v>
      </c>
      <c r="G334" s="6">
        <f ca="1">IF(A334&gt;=$B$7,IF(E334,IF(H333-$B$6/1000&gt;0,IF($B$6/1000&gt;$B$9*24*60*60,$B$9*24*60*60,$B$6/1000),H333),($B$6/1000)*(-Energy!W334+Energy!N334)/Energy!N334),0)</f>
        <v>0.219</v>
      </c>
      <c r="H334" s="6">
        <f t="shared" ca="1" si="35"/>
        <v>2.8478005116569327</v>
      </c>
      <c r="I334" t="str">
        <f t="shared" ca="1" si="33"/>
        <v>Yes</v>
      </c>
      <c r="N334" s="57">
        <v>41962</v>
      </c>
      <c r="O334" s="56">
        <v>3.4</v>
      </c>
      <c r="P334" s="59">
        <v>42327</v>
      </c>
      <c r="Q334" s="32">
        <v>0</v>
      </c>
      <c r="R334" s="59">
        <v>42327</v>
      </c>
      <c r="S334" s="19">
        <v>0</v>
      </c>
      <c r="T334" s="59">
        <v>41597</v>
      </c>
      <c r="U334" s="19">
        <v>0</v>
      </c>
    </row>
    <row r="335" spans="1:21" x14ac:dyDescent="0.75">
      <c r="A335" s="59">
        <f t="shared" si="30"/>
        <v>41598</v>
      </c>
      <c r="B335" s="19">
        <f t="shared" si="31"/>
        <v>0</v>
      </c>
      <c r="C335" s="41">
        <f t="shared" ca="1" si="34"/>
        <v>0</v>
      </c>
      <c r="D335" s="41">
        <f ca="1">IF(Energy!$N$3, C335, IF(C335 &gt; 0, MAX(Energy!W335- Energy!N335, 0) / (Energy!I335 + Energy!M335) *C335, 0))</f>
        <v>0</v>
      </c>
      <c r="E335" s="41" t="b">
        <f ca="1">IF(Main!$C$25="Solar", IF(Energy!W335-Energy!N335&gt;=0, TRUE, FALSE), TRUE)</f>
        <v>1</v>
      </c>
      <c r="F335" s="41">
        <f t="shared" ca="1" si="32"/>
        <v>0</v>
      </c>
      <c r="G335" s="6">
        <f ca="1">IF(A335&gt;=$B$7,IF(E335,IF(H334-$B$6/1000&gt;0,IF($B$6/1000&gt;$B$9*24*60*60,$B$9*24*60*60,$B$6/1000),H334),($B$6/1000)*(-Energy!W335+Energy!N335)/Energy!N335),0)</f>
        <v>0.219</v>
      </c>
      <c r="H335" s="6">
        <f t="shared" ca="1" si="35"/>
        <v>2.6288005116569328</v>
      </c>
      <c r="I335" t="str">
        <f t="shared" ca="1" si="33"/>
        <v>Yes</v>
      </c>
      <c r="N335" s="57">
        <v>41963</v>
      </c>
      <c r="O335" s="56">
        <v>29.4</v>
      </c>
      <c r="P335" s="59">
        <v>42328</v>
      </c>
      <c r="Q335" s="32">
        <v>0</v>
      </c>
      <c r="R335" s="59">
        <v>42328</v>
      </c>
      <c r="S335" s="19">
        <v>0</v>
      </c>
      <c r="T335" s="59">
        <v>41598</v>
      </c>
      <c r="U335" s="19">
        <v>0</v>
      </c>
    </row>
    <row r="336" spans="1:21" x14ac:dyDescent="0.75">
      <c r="A336" s="59">
        <f t="shared" si="30"/>
        <v>41599</v>
      </c>
      <c r="B336" s="19">
        <f t="shared" si="31"/>
        <v>0.6</v>
      </c>
      <c r="C336" s="41">
        <f t="shared" ca="1" si="34"/>
        <v>0.06</v>
      </c>
      <c r="D336" s="41">
        <f ca="1">IF(Energy!$N$3, C336, IF(C336 &gt; 0, MAX(Energy!W336- Energy!N336, 0) / (Energy!I336 + Energy!M336) *C336, 0))</f>
        <v>5.9999999999999956E-2</v>
      </c>
      <c r="E336" s="41" t="b">
        <f ca="1">IF(Main!$C$25="Solar", IF(Energy!W336-Energy!N336&gt;=0, TRUE, FALSE), TRUE)</f>
        <v>1</v>
      </c>
      <c r="F336" s="41">
        <f t="shared" ca="1" si="32"/>
        <v>3.3340653404536458E-2</v>
      </c>
      <c r="G336" s="6">
        <f ca="1">IF(A336&gt;=$B$7,IF(E336,IF(H335-$B$6/1000&gt;0,IF($B$6/1000&gt;$B$9*24*60*60,$B$9*24*60*60,$B$6/1000),H335),($B$6/1000)*(-Energy!W336+Energy!N336)/Energy!N336),0)</f>
        <v>0.219</v>
      </c>
      <c r="H336" s="6">
        <f t="shared" ca="1" si="35"/>
        <v>2.469800511656933</v>
      </c>
      <c r="I336" t="str">
        <f t="shared" ca="1" si="33"/>
        <v>Yes</v>
      </c>
      <c r="N336" s="57">
        <v>41964</v>
      </c>
      <c r="O336" s="56">
        <v>32.799999999999997</v>
      </c>
      <c r="P336" s="59">
        <v>42329</v>
      </c>
      <c r="Q336" s="32">
        <v>0</v>
      </c>
      <c r="R336" s="59">
        <v>42329</v>
      </c>
      <c r="S336" s="19">
        <v>0</v>
      </c>
      <c r="T336" s="59">
        <v>41599</v>
      </c>
      <c r="U336" s="19">
        <v>0.6</v>
      </c>
    </row>
    <row r="337" spans="1:21" x14ac:dyDescent="0.75">
      <c r="A337" s="59">
        <f t="shared" si="30"/>
        <v>41600</v>
      </c>
      <c r="B337" s="19">
        <f t="shared" si="31"/>
        <v>0</v>
      </c>
      <c r="C337" s="41">
        <f t="shared" ca="1" si="34"/>
        <v>0</v>
      </c>
      <c r="D337" s="41">
        <f ca="1">IF(Energy!$N$3, C337, IF(C337 &gt; 0, MAX(Energy!W337- Energy!N337, 0) / (Energy!I337 + Energy!M337) *C337, 0))</f>
        <v>0</v>
      </c>
      <c r="E337" s="41" t="b">
        <f ca="1">IF(Main!$C$25="Solar", IF(Energy!W337-Energy!N337&gt;=0, TRUE, FALSE), TRUE)</f>
        <v>1</v>
      </c>
      <c r="F337" s="41">
        <f t="shared" ca="1" si="32"/>
        <v>0</v>
      </c>
      <c r="G337" s="6">
        <f ca="1">IF(A337&gt;=$B$7,IF(E337,IF(H336-$B$6/1000&gt;0,IF($B$6/1000&gt;$B$9*24*60*60,$B$9*24*60*60,$B$6/1000),H336),($B$6/1000)*(-Energy!W337+Energy!N337)/Energy!N337),0)</f>
        <v>0.219</v>
      </c>
      <c r="H337" s="6">
        <f t="shared" ca="1" si="35"/>
        <v>2.2508005116569332</v>
      </c>
      <c r="I337" t="str">
        <f t="shared" ca="1" si="33"/>
        <v>Yes</v>
      </c>
      <c r="N337" s="57">
        <v>41965</v>
      </c>
      <c r="O337" s="56">
        <v>25.6</v>
      </c>
      <c r="P337" s="59">
        <v>42330</v>
      </c>
      <c r="Q337" s="32">
        <v>0</v>
      </c>
      <c r="R337" s="59">
        <v>42330</v>
      </c>
      <c r="S337" s="19">
        <v>1.8</v>
      </c>
      <c r="T337" s="59">
        <v>41600</v>
      </c>
      <c r="U337" s="19">
        <v>0</v>
      </c>
    </row>
    <row r="338" spans="1:21" x14ac:dyDescent="0.75">
      <c r="A338" s="59">
        <f t="shared" si="30"/>
        <v>41601</v>
      </c>
      <c r="B338" s="19">
        <f t="shared" si="31"/>
        <v>5</v>
      </c>
      <c r="C338" s="41">
        <f t="shared" ca="1" si="34"/>
        <v>0.5</v>
      </c>
      <c r="D338" s="41">
        <f ca="1">IF(Energy!$N$3, C338, IF(C338 &gt; 0, MAX(Energy!W338- Energy!N338, 0) / (Energy!I338 + Energy!M338) *C338, 0))</f>
        <v>0.50000000000000011</v>
      </c>
      <c r="E338" s="41" t="b">
        <f ca="1">IF(Main!$C$25="Solar", IF(Energy!W338-Energy!N338&gt;=0, TRUE, FALSE), TRUE)</f>
        <v>1</v>
      </c>
      <c r="F338" s="41">
        <f t="shared" ca="1" si="32"/>
        <v>0.27783877837113741</v>
      </c>
      <c r="G338" s="6">
        <f ca="1">IF(A338&gt;=$B$7,IF(E338,IF(H337-$B$6/1000&gt;0,IF($B$6/1000&gt;$B$9*24*60*60,$B$9*24*60*60,$B$6/1000),H337),($B$6/1000)*(-Energy!W338+Energy!N338)/Energy!N338),0)</f>
        <v>0.219</v>
      </c>
      <c r="H338" s="6">
        <f t="shared" ca="1" si="35"/>
        <v>2.5318005116569333</v>
      </c>
      <c r="I338" t="str">
        <f t="shared" ca="1" si="33"/>
        <v>Yes</v>
      </c>
      <c r="N338" s="57">
        <v>41966</v>
      </c>
      <c r="O338" s="56">
        <v>15.2</v>
      </c>
      <c r="P338" s="59">
        <v>42331</v>
      </c>
      <c r="Q338" s="32">
        <v>0</v>
      </c>
      <c r="R338" s="59">
        <v>42331</v>
      </c>
      <c r="S338" s="19">
        <v>4.5999999999999996</v>
      </c>
      <c r="T338" s="59">
        <v>41601</v>
      </c>
      <c r="U338" s="19">
        <v>5</v>
      </c>
    </row>
    <row r="339" spans="1:21" x14ac:dyDescent="0.75">
      <c r="A339" s="59">
        <f t="shared" si="30"/>
        <v>41602</v>
      </c>
      <c r="B339" s="19">
        <f t="shared" si="31"/>
        <v>4.4000000000000004</v>
      </c>
      <c r="C339" s="41">
        <f t="shared" ca="1" si="34"/>
        <v>0.44000000000000006</v>
      </c>
      <c r="D339" s="41">
        <f ca="1">IF(Energy!$N$3, C339, IF(C339 &gt; 0, MAX(Energy!W339- Energy!N339, 0) / (Energy!I339 + Energy!M339) *C339, 0))</f>
        <v>0.44000000000000006</v>
      </c>
      <c r="E339" s="41" t="b">
        <f ca="1">IF(Main!$C$25="Solar", IF(Energy!W339-Energy!N339&gt;=0, TRUE, FALSE), TRUE)</f>
        <v>1</v>
      </c>
      <c r="F339" s="41">
        <f t="shared" ca="1" si="32"/>
        <v>0.24449812496660087</v>
      </c>
      <c r="G339" s="6">
        <f ca="1">IF(A339&gt;=$B$7,IF(E339,IF(H338-$B$6/1000&gt;0,IF($B$6/1000&gt;$B$9*24*60*60,$B$9*24*60*60,$B$6/1000),H338),($B$6/1000)*(-Energy!W339+Energy!N339)/Energy!N339),0)</f>
        <v>0.219</v>
      </c>
      <c r="H339" s="6">
        <f t="shared" ca="1" si="35"/>
        <v>2.7528005116569334</v>
      </c>
      <c r="I339" t="str">
        <f t="shared" ca="1" si="33"/>
        <v>Yes</v>
      </c>
      <c r="N339" s="57">
        <v>41967</v>
      </c>
      <c r="O339" s="56">
        <v>60.6</v>
      </c>
      <c r="P339" s="59">
        <v>42332</v>
      </c>
      <c r="Q339" s="32">
        <v>0</v>
      </c>
      <c r="R339" s="59">
        <v>42332</v>
      </c>
      <c r="S339" s="19">
        <v>0</v>
      </c>
      <c r="T339" s="59">
        <v>41602</v>
      </c>
      <c r="U339" s="19">
        <v>4.4000000000000004</v>
      </c>
    </row>
    <row r="340" spans="1:21" x14ac:dyDescent="0.75">
      <c r="A340" s="59">
        <f t="shared" si="30"/>
        <v>41603</v>
      </c>
      <c r="B340" s="19">
        <f t="shared" si="31"/>
        <v>0</v>
      </c>
      <c r="C340" s="41">
        <f t="shared" ca="1" si="34"/>
        <v>0</v>
      </c>
      <c r="D340" s="41">
        <f ca="1">IF(Energy!$N$3, C340, IF(C340 &gt; 0, MAX(Energy!W340- Energy!N340, 0) / (Energy!I340 + Energy!M340) *C340, 0))</f>
        <v>0</v>
      </c>
      <c r="E340" s="41" t="b">
        <f ca="1">IF(Main!$C$25="Solar", IF(Energy!W340-Energy!N340&gt;=0, TRUE, FALSE), TRUE)</f>
        <v>1</v>
      </c>
      <c r="F340" s="41">
        <f t="shared" ca="1" si="32"/>
        <v>0</v>
      </c>
      <c r="G340" s="6">
        <f ca="1">IF(A340&gt;=$B$7,IF(E340,IF(H339-$B$6/1000&gt;0,IF($B$6/1000&gt;$B$9*24*60*60,$B$9*24*60*60,$B$6/1000),H339),($B$6/1000)*(-Energy!W340+Energy!N340)/Energy!N340),0)</f>
        <v>0.219</v>
      </c>
      <c r="H340" s="6">
        <f t="shared" ca="1" si="35"/>
        <v>2.5338005116569335</v>
      </c>
      <c r="I340" t="str">
        <f t="shared" ca="1" si="33"/>
        <v>Yes</v>
      </c>
      <c r="N340" s="57">
        <v>41968</v>
      </c>
      <c r="O340" s="56">
        <v>15</v>
      </c>
      <c r="P340" s="59">
        <v>42333</v>
      </c>
      <c r="Q340" s="32">
        <v>0</v>
      </c>
      <c r="R340" s="59">
        <v>42333</v>
      </c>
      <c r="S340" s="19">
        <v>0</v>
      </c>
      <c r="T340" s="59">
        <v>41603</v>
      </c>
      <c r="U340" s="19">
        <v>0</v>
      </c>
    </row>
    <row r="341" spans="1:21" x14ac:dyDescent="0.75">
      <c r="A341" s="59">
        <f t="shared" si="30"/>
        <v>41604</v>
      </c>
      <c r="B341" s="19">
        <f t="shared" si="31"/>
        <v>0.2</v>
      </c>
      <c r="C341" s="41">
        <f t="shared" ca="1" si="34"/>
        <v>0.02</v>
      </c>
      <c r="D341" s="41">
        <f ca="1">IF(Energy!$N$3, C341, IF(C341 &gt; 0, MAX(Energy!W341- Energy!N341, 0) / (Energy!I341 + Energy!M341) *C341, 0))</f>
        <v>2.0000000000000014E-2</v>
      </c>
      <c r="E341" s="41" t="b">
        <f ca="1">IF(Main!$C$25="Solar", IF(Energy!W341-Energy!N341&gt;=0, TRUE, FALSE), TRUE)</f>
        <v>1</v>
      </c>
      <c r="F341" s="41">
        <f t="shared" ca="1" si="32"/>
        <v>1.11135511348455E-2</v>
      </c>
      <c r="G341" s="6">
        <f ca="1">IF(A341&gt;=$B$7,IF(E341,IF(H340-$B$6/1000&gt;0,IF($B$6/1000&gt;$B$9*24*60*60,$B$9*24*60*60,$B$6/1000),H340),($B$6/1000)*(-Energy!W341+Energy!N341)/Energy!N341),0)</f>
        <v>0.219</v>
      </c>
      <c r="H341" s="6">
        <f t="shared" ca="1" si="35"/>
        <v>2.3348005116569337</v>
      </c>
      <c r="I341" t="str">
        <f t="shared" ca="1" si="33"/>
        <v>Yes</v>
      </c>
      <c r="N341" s="57">
        <v>41969</v>
      </c>
      <c r="O341" s="56">
        <v>43</v>
      </c>
      <c r="P341" s="59">
        <v>42334</v>
      </c>
      <c r="Q341" s="32">
        <v>0</v>
      </c>
      <c r="R341" s="59">
        <v>42334</v>
      </c>
      <c r="S341" s="19">
        <v>0</v>
      </c>
      <c r="T341" s="59">
        <v>41604</v>
      </c>
      <c r="U341" s="19">
        <v>0.2</v>
      </c>
    </row>
    <row r="342" spans="1:21" x14ac:dyDescent="0.75">
      <c r="A342" s="59">
        <f t="shared" si="30"/>
        <v>41605</v>
      </c>
      <c r="B342" s="19">
        <f t="shared" si="31"/>
        <v>3.6</v>
      </c>
      <c r="C342" s="41">
        <f t="shared" ca="1" si="34"/>
        <v>0.36</v>
      </c>
      <c r="D342" s="41">
        <f ca="1">IF(Energy!$N$3, C342, IF(C342 &gt; 0, MAX(Energy!W342- Energy!N342, 0) / (Energy!I342 + Energy!M342) *C342, 0))</f>
        <v>0.35999999999999993</v>
      </c>
      <c r="E342" s="41" t="b">
        <f ca="1">IF(Main!$C$25="Solar", IF(Energy!W342-Energy!N342&gt;=0, TRUE, FALSE), TRUE)</f>
        <v>1</v>
      </c>
      <c r="F342" s="41">
        <f t="shared" ca="1" si="32"/>
        <v>0.20004392042721883</v>
      </c>
      <c r="G342" s="6">
        <f ca="1">IF(A342&gt;=$B$7,IF(E342,IF(H341-$B$6/1000&gt;0,IF($B$6/1000&gt;$B$9*24*60*60,$B$9*24*60*60,$B$6/1000),H341),($B$6/1000)*(-Energy!W342+Energy!N342)/Energy!N342),0)</f>
        <v>0.219</v>
      </c>
      <c r="H342" s="6">
        <f t="shared" ca="1" si="35"/>
        <v>2.4758005116569337</v>
      </c>
      <c r="I342" t="str">
        <f t="shared" ca="1" si="33"/>
        <v>Yes</v>
      </c>
      <c r="N342" s="57">
        <v>41970</v>
      </c>
      <c r="O342" s="56">
        <v>15</v>
      </c>
      <c r="P342" s="59">
        <v>42335</v>
      </c>
      <c r="Q342" s="32">
        <v>0</v>
      </c>
      <c r="R342" s="59">
        <v>42335</v>
      </c>
      <c r="S342" s="19">
        <v>0</v>
      </c>
      <c r="T342" s="59">
        <v>41605</v>
      </c>
      <c r="U342" s="19">
        <v>3.6</v>
      </c>
    </row>
    <row r="343" spans="1:21" x14ac:dyDescent="0.75">
      <c r="A343" s="59">
        <f t="shared" si="30"/>
        <v>41606</v>
      </c>
      <c r="B343" s="19">
        <f t="shared" si="31"/>
        <v>2.4</v>
      </c>
      <c r="C343" s="41">
        <f t="shared" ca="1" si="34"/>
        <v>0.24</v>
      </c>
      <c r="D343" s="41">
        <f ca="1">IF(Energy!$N$3, C343, IF(C343 &gt; 0, MAX(Energy!W343- Energy!N343, 0) / (Energy!I343 + Energy!M343) *C343, 0))</f>
        <v>0.24</v>
      </c>
      <c r="E343" s="41" t="b">
        <f ca="1">IF(Main!$C$25="Solar", IF(Energy!W343-Energy!N343&gt;=0, TRUE, FALSE), TRUE)</f>
        <v>1</v>
      </c>
      <c r="F343" s="41">
        <f t="shared" ca="1" si="32"/>
        <v>0.13336261361814591</v>
      </c>
      <c r="G343" s="6">
        <f ca="1">IF(A343&gt;=$B$7,IF(E343,IF(H342-$B$6/1000&gt;0,IF($B$6/1000&gt;$B$9*24*60*60,$B$9*24*60*60,$B$6/1000),H342),($B$6/1000)*(-Energy!W343+Energy!N343)/Energy!N343),0)</f>
        <v>0.219</v>
      </c>
      <c r="H343" s="6">
        <f t="shared" ca="1" si="35"/>
        <v>2.4968005116569336</v>
      </c>
      <c r="I343" t="str">
        <f t="shared" ca="1" si="33"/>
        <v>Yes</v>
      </c>
      <c r="N343" s="57">
        <v>41971</v>
      </c>
      <c r="O343" s="56">
        <v>0</v>
      </c>
      <c r="P343" s="59">
        <v>42336</v>
      </c>
      <c r="Q343" s="32">
        <v>0</v>
      </c>
      <c r="R343" s="59">
        <v>42336</v>
      </c>
      <c r="S343" s="19">
        <v>0</v>
      </c>
      <c r="T343" s="59">
        <v>41606</v>
      </c>
      <c r="U343" s="19">
        <v>2.4</v>
      </c>
    </row>
    <row r="344" spans="1:21" x14ac:dyDescent="0.75">
      <c r="A344" s="59">
        <f t="shared" si="30"/>
        <v>41607</v>
      </c>
      <c r="B344" s="19">
        <f t="shared" si="31"/>
        <v>10.199999999999999</v>
      </c>
      <c r="C344" s="41">
        <f t="shared" ca="1" si="34"/>
        <v>1.0199999999999998</v>
      </c>
      <c r="D344" s="41">
        <f ca="1">IF(Energy!$N$3, C344, IF(C344 &gt; 0, MAX(Energy!W344- Energy!N344, 0) / (Energy!I344 + Energy!M344) *C344, 0))</f>
        <v>1.0199999999999998</v>
      </c>
      <c r="E344" s="41" t="b">
        <f ca="1">IF(Main!$C$25="Solar", IF(Energy!W344-Energy!N344&gt;=0, TRUE, FALSE), TRUE)</f>
        <v>1</v>
      </c>
      <c r="F344" s="41">
        <f t="shared" ca="1" si="32"/>
        <v>0.56679110787712006</v>
      </c>
      <c r="G344" s="6">
        <f ca="1">IF(A344&gt;=$B$7,IF(E344,IF(H343-$B$6/1000&gt;0,IF($B$6/1000&gt;$B$9*24*60*60,$B$9*24*60*60,$B$6/1000),H343),($B$6/1000)*(-Energy!W344+Energy!N344)/Energy!N344),0)</f>
        <v>0.219</v>
      </c>
      <c r="H344" s="6">
        <f t="shared" ca="1" si="35"/>
        <v>3.2978005116569338</v>
      </c>
      <c r="I344" t="str">
        <f t="shared" ca="1" si="33"/>
        <v>Yes</v>
      </c>
      <c r="N344" s="57">
        <v>41972</v>
      </c>
      <c r="O344" s="56">
        <v>0</v>
      </c>
      <c r="P344" s="59">
        <v>42337</v>
      </c>
      <c r="Q344" s="32">
        <v>0</v>
      </c>
      <c r="R344" s="59">
        <v>42337</v>
      </c>
      <c r="S344" s="19">
        <v>0</v>
      </c>
      <c r="T344" s="59">
        <v>41607</v>
      </c>
      <c r="U344" s="19">
        <v>10.199999999999999</v>
      </c>
    </row>
    <row r="345" spans="1:21" x14ac:dyDescent="0.75">
      <c r="A345" s="59">
        <f t="shared" si="30"/>
        <v>41608</v>
      </c>
      <c r="B345" s="19">
        <f t="shared" si="31"/>
        <v>26.6</v>
      </c>
      <c r="C345" s="41">
        <f t="shared" ca="1" si="34"/>
        <v>2.5</v>
      </c>
      <c r="D345" s="41">
        <f ca="1">IF(Energy!$N$3, C345, IF(C345 &gt; 0, MAX(Energy!W345- Energy!N345, 0) / (Energy!I345 + Energy!M345) *C345, 0))</f>
        <v>0.85962126771269531</v>
      </c>
      <c r="E345" s="41" t="b">
        <f ca="1">IF(Main!$C$25="Solar", IF(Energy!W345-Energy!N345&gt;=0, TRUE, FALSE), TRUE)</f>
        <v>1</v>
      </c>
      <c r="F345" s="41">
        <f t="shared" ca="1" si="32"/>
        <v>0.47767224576628731</v>
      </c>
      <c r="G345" s="6">
        <f ca="1">IF(A345&gt;=$B$7,IF(E345,IF(H344-$B$6/1000&gt;0,IF($B$6/1000&gt;$B$9*24*60*60,$B$9*24*60*60,$B$6/1000),H344),($B$6/1000)*(-Energy!W345+Energy!N345)/Energy!N345),0)</f>
        <v>0.219</v>
      </c>
      <c r="H345" s="6">
        <f t="shared" ca="1" si="35"/>
        <v>3.9384217793696297</v>
      </c>
      <c r="I345" t="str">
        <f t="shared" ca="1" si="33"/>
        <v>Yes</v>
      </c>
      <c r="N345" s="57">
        <v>41973</v>
      </c>
      <c r="O345" s="56">
        <v>0</v>
      </c>
      <c r="P345" s="59">
        <v>42338</v>
      </c>
      <c r="Q345" s="32">
        <v>13</v>
      </c>
      <c r="R345" s="59">
        <v>42338</v>
      </c>
      <c r="S345" s="19">
        <v>4</v>
      </c>
      <c r="T345" s="59">
        <v>41608</v>
      </c>
      <c r="U345" s="19">
        <v>26.6</v>
      </c>
    </row>
    <row r="346" spans="1:21" x14ac:dyDescent="0.75">
      <c r="A346" s="59">
        <f t="shared" si="30"/>
        <v>41609</v>
      </c>
      <c r="B346" s="19">
        <f t="shared" si="31"/>
        <v>5.4</v>
      </c>
      <c r="C346" s="41">
        <f t="shared" ca="1" si="34"/>
        <v>0.54</v>
      </c>
      <c r="D346" s="41">
        <f ca="1">IF(Energy!$N$3, C346, IF(C346 &gt; 0, MAX(Energy!W346- Energy!N346, 0) / (Energy!I346 + Energy!M346) *C346, 0))</f>
        <v>0.51600387660756375</v>
      </c>
      <c r="E346" s="41" t="b">
        <f ca="1">IF(Main!$C$25="Solar", IF(Energy!W346-Energy!N346&gt;=0, TRUE, FALSE), TRUE)</f>
        <v>1</v>
      </c>
      <c r="F346" s="41">
        <f t="shared" ca="1" si="32"/>
        <v>0.28673177342283318</v>
      </c>
      <c r="G346" s="6">
        <f ca="1">IF(A346&gt;=$B$7,IF(E346,IF(H345-$B$6/1000&gt;0,IF($B$6/1000&gt;$B$9*24*60*60,$B$9*24*60*60,$B$6/1000),H345),($B$6/1000)*(-Energy!W346+Energy!N346)/Energy!N346),0)</f>
        <v>0.219</v>
      </c>
      <c r="H346" s="6">
        <f t="shared" ca="1" si="35"/>
        <v>4.2354256559771928</v>
      </c>
      <c r="I346" t="str">
        <f t="shared" ca="1" si="33"/>
        <v>Yes</v>
      </c>
      <c r="N346" s="57">
        <v>41974</v>
      </c>
      <c r="O346" s="56">
        <v>0</v>
      </c>
      <c r="P346" s="59">
        <v>42339</v>
      </c>
      <c r="Q346" s="32">
        <v>34.6</v>
      </c>
      <c r="R346" s="59">
        <v>42339</v>
      </c>
      <c r="S346" s="19">
        <v>8.4</v>
      </c>
      <c r="T346" s="59">
        <v>41609</v>
      </c>
      <c r="U346" s="19">
        <v>5.4</v>
      </c>
    </row>
    <row r="347" spans="1:21" x14ac:dyDescent="0.75">
      <c r="A347" s="59">
        <f t="shared" si="30"/>
        <v>41610</v>
      </c>
      <c r="B347" s="19">
        <f t="shared" si="31"/>
        <v>0</v>
      </c>
      <c r="C347" s="41">
        <f t="shared" ca="1" si="34"/>
        <v>0</v>
      </c>
      <c r="D347" s="41">
        <f ca="1">IF(Energy!$N$3, C347, IF(C347 &gt; 0, MAX(Energy!W347- Energy!N347, 0) / (Energy!I347 + Energy!M347) *C347, 0))</f>
        <v>0</v>
      </c>
      <c r="E347" s="41" t="b">
        <f ca="1">IF(Main!$C$25="Solar", IF(Energy!W347-Energy!N347&gt;=0, TRUE, FALSE), TRUE)</f>
        <v>1</v>
      </c>
      <c r="F347" s="41">
        <f t="shared" ca="1" si="32"/>
        <v>0</v>
      </c>
      <c r="G347" s="6">
        <f ca="1">IF(A347&gt;=$B$7,IF(E347,IF(H346-$B$6/1000&gt;0,IF($B$6/1000&gt;$B$9*24*60*60,$B$9*24*60*60,$B$6/1000),H346),($B$6/1000)*(-Energy!W347+Energy!N347)/Energy!N347),0)</f>
        <v>0.219</v>
      </c>
      <c r="H347" s="6">
        <f t="shared" ca="1" si="35"/>
        <v>4.0164256559771925</v>
      </c>
      <c r="I347" t="str">
        <f t="shared" ca="1" si="33"/>
        <v>Yes</v>
      </c>
      <c r="N347" s="57">
        <v>41975</v>
      </c>
      <c r="O347" s="56">
        <v>0</v>
      </c>
      <c r="P347" s="59">
        <v>42340</v>
      </c>
      <c r="Q347" s="32">
        <v>27.4</v>
      </c>
      <c r="R347" s="59">
        <v>42340</v>
      </c>
      <c r="S347" s="19">
        <v>39.200000000000003</v>
      </c>
      <c r="T347" s="59">
        <v>41610</v>
      </c>
      <c r="U347" s="19">
        <v>0</v>
      </c>
    </row>
    <row r="348" spans="1:21" x14ac:dyDescent="0.75">
      <c r="A348" s="59">
        <f t="shared" si="30"/>
        <v>41611</v>
      </c>
      <c r="B348" s="19">
        <f t="shared" si="31"/>
        <v>0</v>
      </c>
      <c r="C348" s="41">
        <f t="shared" ca="1" si="34"/>
        <v>0</v>
      </c>
      <c r="D348" s="41">
        <f ca="1">IF(Energy!$N$3, C348, IF(C348 &gt; 0, MAX(Energy!W348- Energy!N348, 0) / (Energy!I348 + Energy!M348) *C348, 0))</f>
        <v>0</v>
      </c>
      <c r="E348" s="41" t="b">
        <f ca="1">IF(Main!$C$25="Solar", IF(Energy!W348-Energy!N348&gt;=0, TRUE, FALSE), TRUE)</f>
        <v>1</v>
      </c>
      <c r="F348" s="41">
        <f t="shared" ca="1" si="32"/>
        <v>0</v>
      </c>
      <c r="G348" s="6">
        <f ca="1">IF(A348&gt;=$B$7,IF(E348,IF(H347-$B$6/1000&gt;0,IF($B$6/1000&gt;$B$9*24*60*60,$B$9*24*60*60,$B$6/1000),H347),($B$6/1000)*(-Energy!W348+Energy!N348)/Energy!N348),0)</f>
        <v>0.219</v>
      </c>
      <c r="H348" s="6">
        <f t="shared" ca="1" si="35"/>
        <v>3.7974256559771926</v>
      </c>
      <c r="I348" t="str">
        <f t="shared" ca="1" si="33"/>
        <v>Yes</v>
      </c>
      <c r="N348" s="57">
        <v>41976</v>
      </c>
      <c r="O348" s="56">
        <v>0</v>
      </c>
      <c r="P348" s="59">
        <v>42341</v>
      </c>
      <c r="Q348" s="32">
        <v>32.6</v>
      </c>
      <c r="R348" s="59">
        <v>42341</v>
      </c>
      <c r="S348" s="19">
        <v>10.199999999999999</v>
      </c>
      <c r="T348" s="59">
        <v>41611</v>
      </c>
      <c r="U348" s="19">
        <v>0</v>
      </c>
    </row>
    <row r="349" spans="1:21" x14ac:dyDescent="0.75">
      <c r="A349" s="59">
        <f t="shared" si="30"/>
        <v>41612</v>
      </c>
      <c r="B349" s="19">
        <f t="shared" si="31"/>
        <v>0</v>
      </c>
      <c r="C349" s="41">
        <f t="shared" ca="1" si="34"/>
        <v>0</v>
      </c>
      <c r="D349" s="41">
        <f ca="1">IF(Energy!$N$3, C349, IF(C349 &gt; 0, MAX(Energy!W349- Energy!N349, 0) / (Energy!I349 + Energy!M349) *C349, 0))</f>
        <v>0</v>
      </c>
      <c r="E349" s="41" t="b">
        <f ca="1">IF(Main!$C$25="Solar", IF(Energy!W349-Energy!N349&gt;=0, TRUE, FALSE), TRUE)</f>
        <v>1</v>
      </c>
      <c r="F349" s="41">
        <f t="shared" ca="1" si="32"/>
        <v>0</v>
      </c>
      <c r="G349" s="6">
        <f ca="1">IF(A349&gt;=$B$7,IF(E349,IF(H348-$B$6/1000&gt;0,IF($B$6/1000&gt;$B$9*24*60*60,$B$9*24*60*60,$B$6/1000),H348),($B$6/1000)*(-Energy!W349+Energy!N349)/Energy!N349),0)</f>
        <v>0.219</v>
      </c>
      <c r="H349" s="6">
        <f t="shared" ca="1" si="35"/>
        <v>3.5784256559771928</v>
      </c>
      <c r="I349" t="str">
        <f t="shared" ca="1" si="33"/>
        <v>Yes</v>
      </c>
      <c r="N349" s="57">
        <v>41977</v>
      </c>
      <c r="O349" s="56">
        <v>1.2</v>
      </c>
      <c r="P349" s="59">
        <v>42342</v>
      </c>
      <c r="Q349" s="32">
        <v>27.2</v>
      </c>
      <c r="R349" s="59">
        <v>42342</v>
      </c>
      <c r="S349" s="19">
        <v>6.4</v>
      </c>
      <c r="T349" s="59">
        <v>41612</v>
      </c>
      <c r="U349" s="19">
        <v>0</v>
      </c>
    </row>
    <row r="350" spans="1:21" x14ac:dyDescent="0.75">
      <c r="A350" s="59">
        <f t="shared" si="30"/>
        <v>41613</v>
      </c>
      <c r="B350" s="19">
        <f t="shared" si="31"/>
        <v>0</v>
      </c>
      <c r="C350" s="41">
        <f t="shared" ca="1" si="34"/>
        <v>0</v>
      </c>
      <c r="D350" s="41">
        <f ca="1">IF(Energy!$N$3, C350, IF(C350 &gt; 0, MAX(Energy!W350- Energy!N350, 0) / (Energy!I350 + Energy!M350) *C350, 0))</f>
        <v>0</v>
      </c>
      <c r="E350" s="41" t="b">
        <f ca="1">IF(Main!$C$25="Solar", IF(Energy!W350-Energy!N350&gt;=0, TRUE, FALSE), TRUE)</f>
        <v>1</v>
      </c>
      <c r="F350" s="41">
        <f t="shared" ca="1" si="32"/>
        <v>0</v>
      </c>
      <c r="G350" s="6">
        <f ca="1">IF(A350&gt;=$B$7,IF(E350,IF(H349-$B$6/1000&gt;0,IF($B$6/1000&gt;$B$9*24*60*60,$B$9*24*60*60,$B$6/1000),H349),($B$6/1000)*(-Energy!W350+Energy!N350)/Energy!N350),0)</f>
        <v>0.219</v>
      </c>
      <c r="H350" s="6">
        <f t="shared" ca="1" si="35"/>
        <v>3.3594256559771929</v>
      </c>
      <c r="I350" t="str">
        <f t="shared" ca="1" si="33"/>
        <v>Yes</v>
      </c>
      <c r="N350" s="57">
        <v>41978</v>
      </c>
      <c r="O350" s="56">
        <v>45.4</v>
      </c>
      <c r="P350" s="59">
        <v>42343</v>
      </c>
      <c r="Q350" s="32">
        <v>33.799999999999997</v>
      </c>
      <c r="R350" s="59">
        <v>42343</v>
      </c>
      <c r="S350" s="19">
        <v>48.2</v>
      </c>
      <c r="T350" s="59">
        <v>41613</v>
      </c>
      <c r="U350" s="19">
        <v>0</v>
      </c>
    </row>
    <row r="351" spans="1:21" x14ac:dyDescent="0.75">
      <c r="A351" s="59">
        <f t="shared" si="30"/>
        <v>41614</v>
      </c>
      <c r="B351" s="19">
        <f t="shared" si="31"/>
        <v>0</v>
      </c>
      <c r="C351" s="41">
        <f t="shared" ca="1" si="34"/>
        <v>0</v>
      </c>
      <c r="D351" s="41">
        <f ca="1">IF(Energy!$N$3, C351, IF(C351 &gt; 0, MAX(Energy!W351- Energy!N351, 0) / (Energy!I351 + Energy!M351) *C351, 0))</f>
        <v>0</v>
      </c>
      <c r="E351" s="41" t="b">
        <f ca="1">IF(Main!$C$25="Solar", IF(Energy!W351-Energy!N351&gt;=0, TRUE, FALSE), TRUE)</f>
        <v>1</v>
      </c>
      <c r="F351" s="41">
        <f t="shared" ca="1" si="32"/>
        <v>0</v>
      </c>
      <c r="G351" s="6">
        <f ca="1">IF(A351&gt;=$B$7,IF(E351,IF(H350-$B$6/1000&gt;0,IF($B$6/1000&gt;$B$9*24*60*60,$B$9*24*60*60,$B$6/1000),H350),($B$6/1000)*(-Energy!W351+Energy!N351)/Energy!N351),0)</f>
        <v>0.219</v>
      </c>
      <c r="H351" s="6">
        <f t="shared" ca="1" si="35"/>
        <v>3.140425655977193</v>
      </c>
      <c r="I351" t="str">
        <f t="shared" ca="1" si="33"/>
        <v>Yes</v>
      </c>
      <c r="N351" s="57">
        <v>41979</v>
      </c>
      <c r="O351" s="56">
        <v>0.8</v>
      </c>
      <c r="P351" s="59">
        <v>42344</v>
      </c>
      <c r="Q351" s="32">
        <v>22.4</v>
      </c>
      <c r="R351" s="59">
        <v>42344</v>
      </c>
      <c r="S351" s="19">
        <v>16.8</v>
      </c>
      <c r="T351" s="59">
        <v>41614</v>
      </c>
      <c r="U351" s="19">
        <v>0</v>
      </c>
    </row>
    <row r="352" spans="1:21" x14ac:dyDescent="0.75">
      <c r="A352" s="59">
        <f t="shared" si="30"/>
        <v>41615</v>
      </c>
      <c r="B352" s="19">
        <f t="shared" si="31"/>
        <v>0</v>
      </c>
      <c r="C352" s="41">
        <f t="shared" ca="1" si="34"/>
        <v>0</v>
      </c>
      <c r="D352" s="41">
        <f ca="1">IF(Energy!$N$3, C352, IF(C352 &gt; 0, MAX(Energy!W352- Energy!N352, 0) / (Energy!I352 + Energy!M352) *C352, 0))</f>
        <v>0</v>
      </c>
      <c r="E352" s="41" t="b">
        <f ca="1">IF(Main!$C$25="Solar", IF(Energy!W352-Energy!N352&gt;=0, TRUE, FALSE), TRUE)</f>
        <v>1</v>
      </c>
      <c r="F352" s="41">
        <f t="shared" ca="1" si="32"/>
        <v>0</v>
      </c>
      <c r="G352" s="6">
        <f ca="1">IF(A352&gt;=$B$7,IF(E352,IF(H351-$B$6/1000&gt;0,IF($B$6/1000&gt;$B$9*24*60*60,$B$9*24*60*60,$B$6/1000),H351),($B$6/1000)*(-Energy!W352+Energy!N352)/Energy!N352),0)</f>
        <v>0.219</v>
      </c>
      <c r="H352" s="6">
        <f t="shared" ca="1" si="35"/>
        <v>2.9214256559771932</v>
      </c>
      <c r="I352" t="str">
        <f t="shared" ca="1" si="33"/>
        <v>Yes</v>
      </c>
      <c r="N352" s="57">
        <v>41980</v>
      </c>
      <c r="O352" s="56">
        <v>15.2</v>
      </c>
      <c r="P352" s="59">
        <v>42345</v>
      </c>
      <c r="Q352" s="32">
        <v>37.200000000000003</v>
      </c>
      <c r="R352" s="59">
        <v>42345</v>
      </c>
      <c r="S352" s="19">
        <v>11</v>
      </c>
      <c r="T352" s="59">
        <v>41615</v>
      </c>
      <c r="U352" s="19">
        <v>0</v>
      </c>
    </row>
    <row r="353" spans="1:21" x14ac:dyDescent="0.75">
      <c r="A353" s="59">
        <f t="shared" si="30"/>
        <v>41616</v>
      </c>
      <c r="B353" s="19">
        <f t="shared" si="31"/>
        <v>0</v>
      </c>
      <c r="C353" s="41">
        <f t="shared" ca="1" si="34"/>
        <v>0</v>
      </c>
      <c r="D353" s="41">
        <f ca="1">IF(Energy!$N$3, C353, IF(C353 &gt; 0, MAX(Energy!W353- Energy!N353, 0) / (Energy!I353 + Energy!M353) *C353, 0))</f>
        <v>0</v>
      </c>
      <c r="E353" s="41" t="b">
        <f ca="1">IF(Main!$C$25="Solar", IF(Energy!W353-Energy!N353&gt;=0, TRUE, FALSE), TRUE)</f>
        <v>1</v>
      </c>
      <c r="F353" s="41">
        <f t="shared" ca="1" si="32"/>
        <v>0</v>
      </c>
      <c r="G353" s="6">
        <f ca="1">IF(A353&gt;=$B$7,IF(E353,IF(H352-$B$6/1000&gt;0,IF($B$6/1000&gt;$B$9*24*60*60,$B$9*24*60*60,$B$6/1000),H352),($B$6/1000)*(-Energy!W353+Energy!N353)/Energy!N353),0)</f>
        <v>0.219</v>
      </c>
      <c r="H353" s="6">
        <f t="shared" ca="1" si="35"/>
        <v>2.7024256559771933</v>
      </c>
      <c r="I353" t="str">
        <f t="shared" ca="1" si="33"/>
        <v>Yes</v>
      </c>
      <c r="N353" s="57">
        <v>41981</v>
      </c>
      <c r="O353" s="56">
        <v>48.6</v>
      </c>
      <c r="P353" s="59">
        <v>42346</v>
      </c>
      <c r="Q353" s="32">
        <v>27</v>
      </c>
      <c r="R353" s="59">
        <v>42346</v>
      </c>
      <c r="S353" s="19">
        <v>11</v>
      </c>
      <c r="T353" s="59">
        <v>41616</v>
      </c>
      <c r="U353" s="19">
        <v>0</v>
      </c>
    </row>
    <row r="354" spans="1:21" x14ac:dyDescent="0.75">
      <c r="A354" s="59">
        <f t="shared" si="30"/>
        <v>41617</v>
      </c>
      <c r="B354" s="19">
        <f t="shared" si="31"/>
        <v>0</v>
      </c>
      <c r="C354" s="41">
        <f t="shared" ca="1" si="34"/>
        <v>0</v>
      </c>
      <c r="D354" s="41">
        <f ca="1">IF(Energy!$N$3, C354, IF(C354 &gt; 0, MAX(Energy!W354- Energy!N354, 0) / (Energy!I354 + Energy!M354) *C354, 0))</f>
        <v>0</v>
      </c>
      <c r="E354" s="41" t="b">
        <f ca="1">IF(Main!$C$25="Solar", IF(Energy!W354-Energy!N354&gt;=0, TRUE, FALSE), TRUE)</f>
        <v>1</v>
      </c>
      <c r="F354" s="41">
        <f t="shared" ca="1" si="32"/>
        <v>0</v>
      </c>
      <c r="G354" s="6">
        <f ca="1">IF(A354&gt;=$B$7,IF(E354,IF(H353-$B$6/1000&gt;0,IF($B$6/1000&gt;$B$9*24*60*60,$B$9*24*60*60,$B$6/1000),H353),($B$6/1000)*(-Energy!W354+Energy!N354)/Energy!N354),0)</f>
        <v>0.219</v>
      </c>
      <c r="H354" s="6">
        <f t="shared" ca="1" si="35"/>
        <v>2.4834256559771934</v>
      </c>
      <c r="I354" t="str">
        <f t="shared" ca="1" si="33"/>
        <v>Yes</v>
      </c>
      <c r="N354" s="57">
        <v>41982</v>
      </c>
      <c r="O354" s="56">
        <v>34.200000000000003</v>
      </c>
      <c r="P354" s="59">
        <v>42347</v>
      </c>
      <c r="Q354" s="32">
        <v>4.8</v>
      </c>
      <c r="R354" s="59">
        <v>42347</v>
      </c>
      <c r="S354" s="19">
        <v>3.2</v>
      </c>
      <c r="T354" s="59">
        <v>41617</v>
      </c>
      <c r="U354" s="19">
        <v>0</v>
      </c>
    </row>
    <row r="355" spans="1:21" x14ac:dyDescent="0.75">
      <c r="A355" s="59">
        <f t="shared" si="30"/>
        <v>41618</v>
      </c>
      <c r="B355" s="19">
        <f t="shared" si="31"/>
        <v>0</v>
      </c>
      <c r="C355" s="41">
        <f t="shared" ca="1" si="34"/>
        <v>0</v>
      </c>
      <c r="D355" s="41">
        <f ca="1">IF(Energy!$N$3, C355, IF(C355 &gt; 0, MAX(Energy!W355- Energy!N355, 0) / (Energy!I355 + Energy!M355) *C355, 0))</f>
        <v>0</v>
      </c>
      <c r="E355" s="41" t="b">
        <f ca="1">IF(Main!$C$25="Solar", IF(Energy!W355-Energy!N355&gt;=0, TRUE, FALSE), TRUE)</f>
        <v>1</v>
      </c>
      <c r="F355" s="41">
        <f t="shared" ca="1" si="32"/>
        <v>0</v>
      </c>
      <c r="G355" s="6">
        <f ca="1">IF(A355&gt;=$B$7,IF(E355,IF(H354-$B$6/1000&gt;0,IF($B$6/1000&gt;$B$9*24*60*60,$B$9*24*60*60,$B$6/1000),H354),($B$6/1000)*(-Energy!W355+Energy!N355)/Energy!N355),0)</f>
        <v>0.219</v>
      </c>
      <c r="H355" s="6">
        <f t="shared" ca="1" si="35"/>
        <v>2.2644256559771936</v>
      </c>
      <c r="I355" t="str">
        <f t="shared" ca="1" si="33"/>
        <v>Yes</v>
      </c>
      <c r="N355" s="57">
        <v>41983</v>
      </c>
      <c r="O355" s="56">
        <v>4.4000000000000004</v>
      </c>
      <c r="P355" s="59">
        <v>42348</v>
      </c>
      <c r="Q355" s="32">
        <v>12.2</v>
      </c>
      <c r="R355" s="59">
        <v>42348</v>
      </c>
      <c r="S355" s="19">
        <v>9</v>
      </c>
      <c r="T355" s="59">
        <v>41618</v>
      </c>
      <c r="U355" s="19">
        <v>0</v>
      </c>
    </row>
    <row r="356" spans="1:21" x14ac:dyDescent="0.75">
      <c r="A356" s="59">
        <f t="shared" si="30"/>
        <v>41619</v>
      </c>
      <c r="B356" s="19">
        <f t="shared" si="31"/>
        <v>3.2</v>
      </c>
      <c r="C356" s="41">
        <f t="shared" ca="1" si="34"/>
        <v>0.32</v>
      </c>
      <c r="D356" s="41">
        <f ca="1">IF(Energy!$N$3, C356, IF(C356 &gt; 0, MAX(Energy!W356- Energy!N356, 0) / (Energy!I356 + Energy!M356) *C356, 0))</f>
        <v>0.32000000000000006</v>
      </c>
      <c r="E356" s="41" t="b">
        <f ca="1">IF(Main!$C$25="Solar", IF(Energy!W356-Energy!N356&gt;=0, TRUE, FALSE), TRUE)</f>
        <v>1</v>
      </c>
      <c r="F356" s="41">
        <f t="shared" ca="1" si="32"/>
        <v>0.17781681815752792</v>
      </c>
      <c r="G356" s="6">
        <f ca="1">IF(A356&gt;=$B$7,IF(E356,IF(H355-$B$6/1000&gt;0,IF($B$6/1000&gt;$B$9*24*60*60,$B$9*24*60*60,$B$6/1000),H355),($B$6/1000)*(-Energy!W356+Energy!N356)/Energy!N356),0)</f>
        <v>0.219</v>
      </c>
      <c r="H356" s="6">
        <f t="shared" ca="1" si="35"/>
        <v>2.365425655977194</v>
      </c>
      <c r="I356" t="str">
        <f t="shared" ca="1" si="33"/>
        <v>Yes</v>
      </c>
      <c r="N356" s="57">
        <v>41984</v>
      </c>
      <c r="O356" s="56">
        <v>17.8</v>
      </c>
      <c r="P356" s="59">
        <v>42349</v>
      </c>
      <c r="Q356" s="32">
        <v>3.4</v>
      </c>
      <c r="R356" s="59">
        <v>42349</v>
      </c>
      <c r="S356" s="19">
        <v>3</v>
      </c>
      <c r="T356" s="59">
        <v>41619</v>
      </c>
      <c r="U356" s="19">
        <v>3.2</v>
      </c>
    </row>
    <row r="357" spans="1:21" x14ac:dyDescent="0.75">
      <c r="A357" s="59">
        <f t="shared" si="30"/>
        <v>41620</v>
      </c>
      <c r="B357" s="19">
        <f t="shared" si="31"/>
        <v>1.8</v>
      </c>
      <c r="C357" s="41">
        <f t="shared" ca="1" si="34"/>
        <v>0.18</v>
      </c>
      <c r="D357" s="41">
        <f ca="1">IF(Energy!$N$3, C357, IF(C357 &gt; 0, MAX(Energy!W357- Energy!N357, 0) / (Energy!I357 + Energy!M357) *C357, 0))</f>
        <v>0.17999999999999997</v>
      </c>
      <c r="E357" s="41" t="b">
        <f ca="1">IF(Main!$C$25="Solar", IF(Energy!W357-Energy!N357&gt;=0, TRUE, FALSE), TRUE)</f>
        <v>1</v>
      </c>
      <c r="F357" s="41">
        <f t="shared" ca="1" si="32"/>
        <v>0.10002196021360941</v>
      </c>
      <c r="G357" s="6">
        <f ca="1">IF(A357&gt;=$B$7,IF(E357,IF(H356-$B$6/1000&gt;0,IF($B$6/1000&gt;$B$9*24*60*60,$B$9*24*60*60,$B$6/1000),H356),($B$6/1000)*(-Energy!W357+Energy!N357)/Energy!N357),0)</f>
        <v>0.219</v>
      </c>
      <c r="H357" s="6">
        <f t="shared" ca="1" si="35"/>
        <v>2.3264256559771943</v>
      </c>
      <c r="I357" t="str">
        <f t="shared" ca="1" si="33"/>
        <v>Yes</v>
      </c>
      <c r="N357" s="57">
        <v>41985</v>
      </c>
      <c r="O357" s="56">
        <v>1.4</v>
      </c>
      <c r="P357" s="59">
        <v>42350</v>
      </c>
      <c r="Q357" s="32">
        <v>23.8</v>
      </c>
      <c r="R357" s="59">
        <v>42350</v>
      </c>
      <c r="S357" s="19">
        <v>35.200000000000003</v>
      </c>
      <c r="T357" s="59">
        <v>41620</v>
      </c>
      <c r="U357" s="19">
        <v>1.8</v>
      </c>
    </row>
    <row r="358" spans="1:21" x14ac:dyDescent="0.75">
      <c r="A358" s="59">
        <f t="shared" si="30"/>
        <v>41621</v>
      </c>
      <c r="B358" s="19">
        <f t="shared" si="31"/>
        <v>10.4</v>
      </c>
      <c r="C358" s="41">
        <f t="shared" ca="1" si="34"/>
        <v>1.04</v>
      </c>
      <c r="D358" s="41">
        <f ca="1">IF(Energy!$N$3, C358, IF(C358 &gt; 0, MAX(Energy!W358- Energy!N358, 0) / (Energy!I358 + Energy!M358) *C358, 0))</f>
        <v>1.0399999999999998</v>
      </c>
      <c r="E358" s="41" t="b">
        <f ca="1">IF(Main!$C$25="Solar", IF(Energy!W358-Energy!N358&gt;=0, TRUE, FALSE), TRUE)</f>
        <v>1</v>
      </c>
      <c r="F358" s="41">
        <f t="shared" ca="1" si="32"/>
        <v>0.57790465901196553</v>
      </c>
      <c r="G358" s="6">
        <f ca="1">IF(A358&gt;=$B$7,IF(E358,IF(H357-$B$6/1000&gt;0,IF($B$6/1000&gt;$B$9*24*60*60,$B$9*24*60*60,$B$6/1000),H357),($B$6/1000)*(-Energy!W358+Energy!N358)/Energy!N358),0)</f>
        <v>0.219</v>
      </c>
      <c r="H358" s="6">
        <f t="shared" ca="1" si="35"/>
        <v>3.147425655977194</v>
      </c>
      <c r="I358" t="str">
        <f t="shared" ca="1" si="33"/>
        <v>Yes</v>
      </c>
      <c r="N358" s="57">
        <v>41986</v>
      </c>
      <c r="O358" s="56">
        <v>1</v>
      </c>
      <c r="P358" s="59">
        <v>42351</v>
      </c>
      <c r="Q358" s="32">
        <v>0</v>
      </c>
      <c r="R358" s="59">
        <v>42351</v>
      </c>
      <c r="S358" s="19">
        <v>1</v>
      </c>
      <c r="T358" s="59">
        <v>41621</v>
      </c>
      <c r="U358" s="19">
        <v>10.4</v>
      </c>
    </row>
    <row r="359" spans="1:21" x14ac:dyDescent="0.75">
      <c r="A359" s="59">
        <f t="shared" si="30"/>
        <v>41622</v>
      </c>
      <c r="B359" s="19">
        <f t="shared" si="31"/>
        <v>26</v>
      </c>
      <c r="C359" s="41">
        <f t="shared" ca="1" si="34"/>
        <v>2.5</v>
      </c>
      <c r="D359" s="41">
        <f ca="1">IF(Energy!$N$3, C359, IF(C359 &gt; 0, MAX(Energy!W359- Energy!N359, 0) / (Energy!I359 + Energy!M359) *C359, 0))</f>
        <v>0.66888456188926015</v>
      </c>
      <c r="E359" s="41" t="b">
        <f ca="1">IF(Main!$C$25="Solar", IF(Energy!W359-Energy!N359&gt;=0, TRUE, FALSE), TRUE)</f>
        <v>1</v>
      </c>
      <c r="F359" s="41">
        <f t="shared" ca="1" si="32"/>
        <v>0.37168413909325088</v>
      </c>
      <c r="G359" s="6">
        <f ca="1">IF(A359&gt;=$B$7,IF(E359,IF(H358-$B$6/1000&gt;0,IF($B$6/1000&gt;$B$9*24*60*60,$B$9*24*60*60,$B$6/1000),H358),($B$6/1000)*(-Energy!W359+Energy!N359)/Energy!N359),0)</f>
        <v>0.219</v>
      </c>
      <c r="H359" s="6">
        <f t="shared" ca="1" si="35"/>
        <v>3.5973102178664544</v>
      </c>
      <c r="I359" t="str">
        <f t="shared" ca="1" si="33"/>
        <v>Yes</v>
      </c>
      <c r="N359" s="57">
        <v>41987</v>
      </c>
      <c r="O359" s="56">
        <v>0</v>
      </c>
      <c r="P359" s="59">
        <v>42352</v>
      </c>
      <c r="Q359" s="32">
        <v>2.4</v>
      </c>
      <c r="R359" s="59">
        <v>42352</v>
      </c>
      <c r="S359" s="19">
        <v>0</v>
      </c>
      <c r="T359" s="59">
        <v>41622</v>
      </c>
      <c r="U359" s="19">
        <v>26</v>
      </c>
    </row>
    <row r="360" spans="1:21" x14ac:dyDescent="0.75">
      <c r="A360" s="59">
        <f t="shared" si="30"/>
        <v>41623</v>
      </c>
      <c r="B360" s="19">
        <f t="shared" si="31"/>
        <v>0.8</v>
      </c>
      <c r="C360" s="41">
        <f t="shared" ca="1" si="34"/>
        <v>0.08</v>
      </c>
      <c r="D360" s="41">
        <f ca="1">IF(Energy!$N$3, C360, IF(C360 &gt; 0, MAX(Energy!W360- Energy!N360, 0) / (Energy!I360 + Energy!M360) *C360, 0))</f>
        <v>7.9999999999999974E-2</v>
      </c>
      <c r="E360" s="41" t="b">
        <f ca="1">IF(Main!$C$25="Solar", IF(Energy!W360-Energy!N360&gt;=0, TRUE, FALSE), TRUE)</f>
        <v>1</v>
      </c>
      <c r="F360" s="41">
        <f t="shared" ca="1" si="32"/>
        <v>4.445420453938196E-2</v>
      </c>
      <c r="G360" s="6">
        <f ca="1">IF(A360&gt;=$B$7,IF(E360,IF(H359-$B$6/1000&gt;0,IF($B$6/1000&gt;$B$9*24*60*60,$B$9*24*60*60,$B$6/1000),H359),($B$6/1000)*(-Energy!W360+Energy!N360)/Energy!N360),0)</f>
        <v>0.219</v>
      </c>
      <c r="H360" s="6">
        <f t="shared" ca="1" si="35"/>
        <v>3.4583102178664546</v>
      </c>
      <c r="I360" t="str">
        <f t="shared" ca="1" si="33"/>
        <v>Yes</v>
      </c>
      <c r="N360" s="57">
        <v>41988</v>
      </c>
      <c r="O360" s="56">
        <v>9</v>
      </c>
      <c r="P360" s="59">
        <v>42353</v>
      </c>
      <c r="Q360" s="32">
        <v>3</v>
      </c>
      <c r="R360" s="59">
        <v>42353</v>
      </c>
      <c r="S360" s="19">
        <v>2</v>
      </c>
      <c r="T360" s="59">
        <v>41623</v>
      </c>
      <c r="U360" s="19">
        <v>0.8</v>
      </c>
    </row>
    <row r="361" spans="1:21" x14ac:dyDescent="0.75">
      <c r="A361" s="59">
        <f t="shared" si="30"/>
        <v>41624</v>
      </c>
      <c r="B361" s="19">
        <f t="shared" si="31"/>
        <v>11.8</v>
      </c>
      <c r="C361" s="41">
        <f t="shared" ca="1" si="34"/>
        <v>1.18</v>
      </c>
      <c r="D361" s="41">
        <f ca="1">IF(Energy!$N$3, C361, IF(C361 &gt; 0, MAX(Energy!W361- Energy!N361, 0) / (Energy!I361 + Energy!M361) *C361, 0))</f>
        <v>0.95200775321512787</v>
      </c>
      <c r="E361" s="41" t="b">
        <f ca="1">IF(Main!$C$25="Solar", IF(Energy!W361-Energy!N361&gt;=0, TRUE, FALSE), TRUE)</f>
        <v>1</v>
      </c>
      <c r="F361" s="41">
        <f t="shared" ca="1" si="32"/>
        <v>0.5290093423062846</v>
      </c>
      <c r="G361" s="6">
        <f ca="1">IF(A361&gt;=$B$7,IF(E361,IF(H360-$B$6/1000&gt;0,IF($B$6/1000&gt;$B$9*24*60*60,$B$9*24*60*60,$B$6/1000),H360),($B$6/1000)*(-Energy!W361+Energy!N361)/Energy!N361),0)</f>
        <v>0.219</v>
      </c>
      <c r="H361" s="6">
        <f t="shared" ca="1" si="35"/>
        <v>4.191317971081582</v>
      </c>
      <c r="I361" t="str">
        <f t="shared" ca="1" si="33"/>
        <v>Yes</v>
      </c>
      <c r="N361" s="57">
        <v>41989</v>
      </c>
      <c r="O361" s="56">
        <v>20.2</v>
      </c>
      <c r="P361" s="59">
        <v>42354</v>
      </c>
      <c r="Q361" s="32">
        <v>2.2000000000000002</v>
      </c>
      <c r="R361" s="59">
        <v>42354</v>
      </c>
      <c r="S361" s="19">
        <v>0</v>
      </c>
      <c r="T361" s="59">
        <v>41624</v>
      </c>
      <c r="U361" s="19">
        <v>11.8</v>
      </c>
    </row>
    <row r="362" spans="1:21" x14ac:dyDescent="0.75">
      <c r="A362" s="59">
        <f t="shared" si="30"/>
        <v>41625</v>
      </c>
      <c r="B362" s="19">
        <f t="shared" si="31"/>
        <v>4.5999999999999996</v>
      </c>
      <c r="C362" s="41">
        <f t="shared" ca="1" si="34"/>
        <v>0.45999999999999996</v>
      </c>
      <c r="D362" s="41">
        <f ca="1">IF(Energy!$N$3, C362, IF(C362 &gt; 0, MAX(Energy!W362- Energy!N362, 0) / (Energy!I362 + Energy!M362) *C362, 0))</f>
        <v>0.45999999999999996</v>
      </c>
      <c r="E362" s="41" t="b">
        <f ca="1">IF(Main!$C$25="Solar", IF(Energy!W362-Energy!N362&gt;=0, TRUE, FALSE), TRUE)</f>
        <v>1</v>
      </c>
      <c r="F362" s="41">
        <f t="shared" ca="1" si="32"/>
        <v>0.25561167610144631</v>
      </c>
      <c r="G362" s="6">
        <f ca="1">IF(A362&gt;=$B$7,IF(E362,IF(H361-$B$6/1000&gt;0,IF($B$6/1000&gt;$B$9*24*60*60,$B$9*24*60*60,$B$6/1000),H361),($B$6/1000)*(-Energy!W362+Energy!N362)/Energy!N362),0)</f>
        <v>0.219</v>
      </c>
      <c r="H362" s="6">
        <f t="shared" ca="1" si="35"/>
        <v>4.4323179710815817</v>
      </c>
      <c r="I362" t="str">
        <f t="shared" ca="1" si="33"/>
        <v>Yes</v>
      </c>
      <c r="N362" s="57">
        <v>41990</v>
      </c>
      <c r="O362" s="56">
        <v>0.8</v>
      </c>
      <c r="P362" s="59">
        <v>42355</v>
      </c>
      <c r="Q362" s="32">
        <v>21.8</v>
      </c>
      <c r="R362" s="59">
        <v>42355</v>
      </c>
      <c r="S362" s="19">
        <v>10.199999999999999</v>
      </c>
      <c r="T362" s="59">
        <v>41625</v>
      </c>
      <c r="U362" s="19">
        <v>4.5999999999999996</v>
      </c>
    </row>
    <row r="363" spans="1:21" x14ac:dyDescent="0.75">
      <c r="A363" s="59">
        <f t="shared" si="30"/>
        <v>41626</v>
      </c>
      <c r="B363" s="19">
        <f t="shared" si="31"/>
        <v>0</v>
      </c>
      <c r="C363" s="41">
        <f t="shared" ca="1" si="34"/>
        <v>0</v>
      </c>
      <c r="D363" s="41">
        <f ca="1">IF(Energy!$N$3, C363, IF(C363 &gt; 0, MAX(Energy!W363- Energy!N363, 0) / (Energy!I363 + Energy!M363) *C363, 0))</f>
        <v>0</v>
      </c>
      <c r="E363" s="41" t="b">
        <f ca="1">IF(Main!$C$25="Solar", IF(Energy!W363-Energy!N363&gt;=0, TRUE, FALSE), TRUE)</f>
        <v>1</v>
      </c>
      <c r="F363" s="41">
        <f t="shared" ca="1" si="32"/>
        <v>0</v>
      </c>
      <c r="G363" s="6">
        <f ca="1">IF(A363&gt;=$B$7,IF(E363,IF(H362-$B$6/1000&gt;0,IF($B$6/1000&gt;$B$9*24*60*60,$B$9*24*60*60,$B$6/1000),H362),($B$6/1000)*(-Energy!W363+Energy!N363)/Energy!N363),0)</f>
        <v>0.219</v>
      </c>
      <c r="H363" s="6">
        <f t="shared" ca="1" si="35"/>
        <v>4.2133179710815813</v>
      </c>
      <c r="I363" t="str">
        <f t="shared" ca="1" si="33"/>
        <v>Yes</v>
      </c>
      <c r="N363" s="57">
        <v>41991</v>
      </c>
      <c r="O363" s="56">
        <v>24.6</v>
      </c>
      <c r="P363" s="59">
        <v>42356</v>
      </c>
      <c r="Q363" s="32">
        <v>25.5</v>
      </c>
      <c r="R363" s="59">
        <v>42356</v>
      </c>
      <c r="S363" s="19">
        <v>5.4</v>
      </c>
      <c r="T363" s="59">
        <v>41626</v>
      </c>
      <c r="U363" s="19">
        <v>0</v>
      </c>
    </row>
    <row r="364" spans="1:21" x14ac:dyDescent="0.75">
      <c r="A364" s="59">
        <f t="shared" si="30"/>
        <v>41627</v>
      </c>
      <c r="B364" s="19">
        <f t="shared" si="31"/>
        <v>0</v>
      </c>
      <c r="C364" s="41">
        <f t="shared" ca="1" si="34"/>
        <v>0</v>
      </c>
      <c r="D364" s="41">
        <f ca="1">IF(Energy!$N$3, C364, IF(C364 &gt; 0, MAX(Energy!W364- Energy!N364, 0) / (Energy!I364 + Energy!M364) *C364, 0))</f>
        <v>0</v>
      </c>
      <c r="E364" s="41" t="b">
        <f ca="1">IF(Main!$C$25="Solar", IF(Energy!W364-Energy!N364&gt;=0, TRUE, FALSE), TRUE)</f>
        <v>1</v>
      </c>
      <c r="F364" s="41">
        <f t="shared" ca="1" si="32"/>
        <v>0</v>
      </c>
      <c r="G364" s="6">
        <f ca="1">IF(A364&gt;=$B$7,IF(E364,IF(H363-$B$6/1000&gt;0,IF($B$6/1000&gt;$B$9*24*60*60,$B$9*24*60*60,$B$6/1000),H363),($B$6/1000)*(-Energy!W364+Energy!N364)/Energy!N364),0)</f>
        <v>0.219</v>
      </c>
      <c r="H364" s="6">
        <f t="shared" ca="1" si="35"/>
        <v>3.9943179710815815</v>
      </c>
      <c r="I364" t="str">
        <f t="shared" ca="1" si="33"/>
        <v>Yes</v>
      </c>
      <c r="N364" s="57">
        <v>41992</v>
      </c>
      <c r="O364" s="56">
        <v>0</v>
      </c>
      <c r="P364" s="59">
        <v>42357</v>
      </c>
      <c r="Q364" s="32">
        <v>31.8</v>
      </c>
      <c r="R364" s="59">
        <v>42357</v>
      </c>
      <c r="S364" s="19">
        <v>11.4</v>
      </c>
      <c r="T364" s="59">
        <v>41627</v>
      </c>
      <c r="U364" s="19">
        <v>0</v>
      </c>
    </row>
    <row r="365" spans="1:21" x14ac:dyDescent="0.75">
      <c r="A365" s="59">
        <f t="shared" si="30"/>
        <v>41628</v>
      </c>
      <c r="B365" s="19">
        <f t="shared" si="31"/>
        <v>3.8</v>
      </c>
      <c r="C365" s="41">
        <f t="shared" ca="1" si="34"/>
        <v>0.38</v>
      </c>
      <c r="D365" s="41">
        <f ca="1">IF(Energy!$N$3, C365, IF(C365 &gt; 0, MAX(Energy!W365- Energy!N365, 0) / (Energy!I365 + Energy!M365) *C365, 0))</f>
        <v>0.38</v>
      </c>
      <c r="E365" s="41" t="b">
        <f ca="1">IF(Main!$C$25="Solar", IF(Energy!W365-Energy!N365&gt;=0, TRUE, FALSE), TRUE)</f>
        <v>1</v>
      </c>
      <c r="F365" s="41">
        <f t="shared" ca="1" si="32"/>
        <v>0.21115747156206438</v>
      </c>
      <c r="G365" s="6">
        <f ca="1">IF(A365&gt;=$B$7,IF(E365,IF(H364-$B$6/1000&gt;0,IF($B$6/1000&gt;$B$9*24*60*60,$B$9*24*60*60,$B$6/1000),H364),($B$6/1000)*(-Energy!W365+Energy!N365)/Energy!N365),0)</f>
        <v>0.219</v>
      </c>
      <c r="H365" s="6">
        <f t="shared" ca="1" si="35"/>
        <v>4.1553179710815815</v>
      </c>
      <c r="I365" t="str">
        <f t="shared" ca="1" si="33"/>
        <v>Yes</v>
      </c>
      <c r="N365" s="57">
        <v>41993</v>
      </c>
      <c r="O365" s="56">
        <v>0</v>
      </c>
      <c r="P365" s="59">
        <v>42358</v>
      </c>
      <c r="Q365" s="32">
        <v>22.6</v>
      </c>
      <c r="R365" s="59">
        <v>42358</v>
      </c>
      <c r="S365" s="19">
        <v>2.4</v>
      </c>
      <c r="T365" s="59">
        <v>41628</v>
      </c>
      <c r="U365" s="19">
        <v>3.8</v>
      </c>
    </row>
    <row r="366" spans="1:21" x14ac:dyDescent="0.75">
      <c r="A366" s="59">
        <f t="shared" si="30"/>
        <v>41629</v>
      </c>
      <c r="B366" s="19">
        <f t="shared" si="31"/>
        <v>7.6</v>
      </c>
      <c r="C366" s="41">
        <f t="shared" ca="1" si="34"/>
        <v>0.76</v>
      </c>
      <c r="D366" s="41">
        <f ca="1">IF(Energy!$N$3, C366, IF(C366 &gt; 0, MAX(Energy!W366- Energy!N366, 0) / (Energy!I366 + Energy!M366) *C366, 0))</f>
        <v>0.76</v>
      </c>
      <c r="E366" s="41" t="b">
        <f ca="1">IF(Main!$C$25="Solar", IF(Energy!W366-Energy!N366&gt;=0, TRUE, FALSE), TRUE)</f>
        <v>1</v>
      </c>
      <c r="F366" s="41">
        <f t="shared" ca="1" si="32"/>
        <v>0.42231494312412876</v>
      </c>
      <c r="G366" s="6">
        <f ca="1">IF(A366&gt;=$B$7,IF(E366,IF(H365-$B$6/1000&gt;0,IF($B$6/1000&gt;$B$9*24*60*60,$B$9*24*60*60,$B$6/1000),H365),($B$6/1000)*(-Energy!W366+Energy!N366)/Energy!N366),0)</f>
        <v>0.219</v>
      </c>
      <c r="H366" s="6">
        <f t="shared" ca="1" si="35"/>
        <v>4.696317971081581</v>
      </c>
      <c r="I366" t="str">
        <f t="shared" ca="1" si="33"/>
        <v>Yes</v>
      </c>
      <c r="N366" s="57">
        <v>41994</v>
      </c>
      <c r="O366" s="56">
        <v>8.8000000000000007</v>
      </c>
      <c r="P366" s="59">
        <v>42359</v>
      </c>
      <c r="Q366" s="32">
        <v>9</v>
      </c>
      <c r="R366" s="59">
        <v>42359</v>
      </c>
      <c r="S366" s="19">
        <v>0.4</v>
      </c>
      <c r="T366" s="59">
        <v>41629</v>
      </c>
      <c r="U366" s="19">
        <v>7.6</v>
      </c>
    </row>
    <row r="367" spans="1:21" x14ac:dyDescent="0.75">
      <c r="A367" s="59">
        <f t="shared" si="30"/>
        <v>41630</v>
      </c>
      <c r="B367" s="19">
        <f t="shared" si="31"/>
        <v>20.6</v>
      </c>
      <c r="C367" s="41">
        <f t="shared" ca="1" si="34"/>
        <v>2.06</v>
      </c>
      <c r="D367" s="41">
        <f ca="1">IF(Energy!$N$3, C367, IF(C367 &gt; 0, MAX(Energy!W367- Energy!N367, 0) / (Energy!I367 + Energy!M367) *C367, 0))</f>
        <v>0.94888456188925974</v>
      </c>
      <c r="E367" s="41" t="b">
        <f ca="1">IF(Main!$C$25="Solar", IF(Energy!W367-Energy!N367&gt;=0, TRUE, FALSE), TRUE)</f>
        <v>1</v>
      </c>
      <c r="F367" s="41">
        <f t="shared" ca="1" si="32"/>
        <v>0.52727385498108759</v>
      </c>
      <c r="G367" s="6">
        <f ca="1">IF(A367&gt;=$B$7,IF(E367,IF(H366-$B$6/1000&gt;0,IF($B$6/1000&gt;$B$9*24*60*60,$B$9*24*60*60,$B$6/1000),H366),($B$6/1000)*(-Energy!W367+Energy!N367)/Energy!N367),0)</f>
        <v>0.219</v>
      </c>
      <c r="H367" s="6">
        <f t="shared" ca="1" si="35"/>
        <v>5.4262025329708408</v>
      </c>
      <c r="I367" t="str">
        <f t="shared" ca="1" si="33"/>
        <v>Yes</v>
      </c>
      <c r="N367" s="57">
        <v>41995</v>
      </c>
      <c r="O367" s="56">
        <v>11.6</v>
      </c>
      <c r="P367" s="59">
        <v>42360</v>
      </c>
      <c r="Q367" s="32">
        <v>35.799999999999997</v>
      </c>
      <c r="R367" s="59">
        <v>42360</v>
      </c>
      <c r="S367" s="19">
        <v>4</v>
      </c>
      <c r="T367" s="59">
        <v>41630</v>
      </c>
      <c r="U367" s="19">
        <v>20.6</v>
      </c>
    </row>
    <row r="368" spans="1:21" x14ac:dyDescent="0.75">
      <c r="A368" s="59">
        <f t="shared" si="30"/>
        <v>41631</v>
      </c>
      <c r="B368" s="19">
        <f t="shared" si="31"/>
        <v>1.4</v>
      </c>
      <c r="C368" s="41">
        <f t="shared" ca="1" si="34"/>
        <v>0.14000000000000001</v>
      </c>
      <c r="D368" s="41">
        <f ca="1">IF(Energy!$N$3, C368, IF(C368 &gt; 0, MAX(Energy!W368- Energy!N368, 0) / (Energy!I368 + Energy!M368) *C368, 0))</f>
        <v>0.13999999999999999</v>
      </c>
      <c r="E368" s="41" t="b">
        <f ca="1">IF(Main!$C$25="Solar", IF(Energy!W368-Energy!N368&gt;=0, TRUE, FALSE), TRUE)</f>
        <v>1</v>
      </c>
      <c r="F368" s="41">
        <f t="shared" ca="1" si="32"/>
        <v>7.7794857943918438E-2</v>
      </c>
      <c r="G368" s="6">
        <f ca="1">IF(A368&gt;=$B$7,IF(E368,IF(H367-$B$6/1000&gt;0,IF($B$6/1000&gt;$B$9*24*60*60,$B$9*24*60*60,$B$6/1000),H367),($B$6/1000)*(-Energy!W368+Energy!N368)/Energy!N368),0)</f>
        <v>0.219</v>
      </c>
      <c r="H368" s="6">
        <f t="shared" ca="1" si="35"/>
        <v>5.3472025329708401</v>
      </c>
      <c r="I368" t="str">
        <f t="shared" ca="1" si="33"/>
        <v>Yes</v>
      </c>
      <c r="N368" s="57">
        <v>41996</v>
      </c>
      <c r="O368" s="56">
        <v>10</v>
      </c>
      <c r="P368" s="59">
        <v>42361</v>
      </c>
      <c r="Q368" s="32">
        <v>9.4</v>
      </c>
      <c r="R368" s="59">
        <v>42361</v>
      </c>
      <c r="S368" s="19">
        <v>10.8</v>
      </c>
      <c r="T368" s="59">
        <v>41631</v>
      </c>
      <c r="U368" s="19">
        <v>1.4</v>
      </c>
    </row>
    <row r="369" spans="1:21" x14ac:dyDescent="0.75">
      <c r="A369" s="59">
        <f t="shared" si="30"/>
        <v>41632</v>
      </c>
      <c r="B369" s="19">
        <f t="shared" si="31"/>
        <v>3.8</v>
      </c>
      <c r="C369" s="41">
        <f t="shared" ca="1" si="34"/>
        <v>0.38</v>
      </c>
      <c r="D369" s="41">
        <f ca="1">IF(Energy!$N$3, C369, IF(C369 &gt; 0, MAX(Energy!W369- Energy!N369, 0) / (Energy!I369 + Energy!M369) *C369, 0))</f>
        <v>0.38</v>
      </c>
      <c r="E369" s="41" t="b">
        <f ca="1">IF(Main!$C$25="Solar", IF(Energy!W369-Energy!N369&gt;=0, TRUE, FALSE), TRUE)</f>
        <v>1</v>
      </c>
      <c r="F369" s="41">
        <f t="shared" ca="1" si="32"/>
        <v>0.21115747156206438</v>
      </c>
      <c r="G369" s="6">
        <f ca="1">IF(A369&gt;=$B$7,IF(E369,IF(H368-$B$6/1000&gt;0,IF($B$6/1000&gt;$B$9*24*60*60,$B$9*24*60*60,$B$6/1000),H368),($B$6/1000)*(-Energy!W369+Energy!N369)/Energy!N369),0)</f>
        <v>0.219</v>
      </c>
      <c r="H369" s="6">
        <f t="shared" ca="1" si="35"/>
        <v>5.5082025329708397</v>
      </c>
      <c r="I369" t="str">
        <f t="shared" ca="1" si="33"/>
        <v>Yes</v>
      </c>
      <c r="N369" s="57">
        <v>41997</v>
      </c>
      <c r="O369" s="56">
        <v>2.2000000000000002</v>
      </c>
      <c r="P369" s="59">
        <v>42362</v>
      </c>
      <c r="Q369" s="32">
        <v>0</v>
      </c>
      <c r="R369" s="59">
        <v>42362</v>
      </c>
      <c r="S369" s="19">
        <v>0.6</v>
      </c>
      <c r="T369" s="59">
        <v>41632</v>
      </c>
      <c r="U369" s="19">
        <v>3.8</v>
      </c>
    </row>
    <row r="370" spans="1:21" x14ac:dyDescent="0.75">
      <c r="A370" s="59">
        <f t="shared" si="30"/>
        <v>41633</v>
      </c>
      <c r="B370" s="19">
        <f t="shared" si="31"/>
        <v>25.6</v>
      </c>
      <c r="C370" s="41">
        <f t="shared" ca="1" si="34"/>
        <v>2.5</v>
      </c>
      <c r="D370" s="41">
        <f ca="1">IF(Energy!$N$3, C370, IF(C370 &gt; 0, MAX(Energy!W370- Energy!N370, 0) / (Energy!I370 + Energy!M370) *C370, 0))</f>
        <v>1.0280116298226918</v>
      </c>
      <c r="E370" s="41" t="b">
        <f ca="1">IF(Main!$C$25="Solar", IF(Energy!W370-Energy!N370&gt;=0, TRUE, FALSE), TRUE)</f>
        <v>1</v>
      </c>
      <c r="F370" s="41">
        <f t="shared" ca="1" si="32"/>
        <v>0.57124299076251706</v>
      </c>
      <c r="G370" s="6">
        <f ca="1">IF(A370&gt;=$B$7,IF(E370,IF(H369-$B$6/1000&gt;0,IF($B$6/1000&gt;$B$9*24*60*60,$B$9*24*60*60,$B$6/1000),H369),($B$6/1000)*(-Energy!W370+Energy!N370)/Energy!N370),0)</f>
        <v>0.219</v>
      </c>
      <c r="H370" s="6">
        <f t="shared" ca="1" si="35"/>
        <v>6.3172141627935314</v>
      </c>
      <c r="I370" t="str">
        <f t="shared" ca="1" si="33"/>
        <v>Yes</v>
      </c>
      <c r="N370" s="57">
        <v>41998</v>
      </c>
      <c r="O370" s="56">
        <v>0.6</v>
      </c>
      <c r="P370" s="59">
        <v>42363</v>
      </c>
      <c r="Q370" s="32">
        <v>0</v>
      </c>
      <c r="R370" s="59">
        <v>42363</v>
      </c>
      <c r="S370" s="19">
        <v>0</v>
      </c>
      <c r="T370" s="59">
        <v>41633</v>
      </c>
      <c r="U370" s="19">
        <v>25.6</v>
      </c>
    </row>
    <row r="371" spans="1:21" x14ac:dyDescent="0.75">
      <c r="A371" s="59">
        <f t="shared" si="30"/>
        <v>41634</v>
      </c>
      <c r="B371" s="19">
        <f t="shared" si="31"/>
        <v>24.8</v>
      </c>
      <c r="C371" s="41">
        <f t="shared" ca="1" si="34"/>
        <v>2.48</v>
      </c>
      <c r="D371" s="41">
        <f ca="1">IF(Energy!$N$3, C371, IF(C371 &gt; 0, MAX(Energy!W371- Energy!N371, 0) / (Energy!I371 + Energy!M371) *C371, 0))</f>
        <v>0.51600387660756375</v>
      </c>
      <c r="E371" s="41" t="b">
        <f ca="1">IF(Main!$C$25="Solar", IF(Energy!W371-Energy!N371&gt;=0, TRUE, FALSE), TRUE)</f>
        <v>1</v>
      </c>
      <c r="F371" s="41">
        <f t="shared" ca="1" si="32"/>
        <v>0.28673177342283318</v>
      </c>
      <c r="G371" s="6">
        <f ca="1">IF(A371&gt;=$B$7,IF(E371,IF(H370-$B$6/1000&gt;0,IF($B$6/1000&gt;$B$9*24*60*60,$B$9*24*60*60,$B$6/1000),H370),($B$6/1000)*(-Energy!W371+Energy!N371)/Energy!N371),0)</f>
        <v>0.219</v>
      </c>
      <c r="H371" s="6">
        <f t="shared" ca="1" si="35"/>
        <v>6.614218039401095</v>
      </c>
      <c r="I371" t="str">
        <f t="shared" ca="1" si="33"/>
        <v>Yes</v>
      </c>
      <c r="N371" s="57">
        <v>41999</v>
      </c>
      <c r="O371" s="56">
        <v>10.199999999999999</v>
      </c>
      <c r="P371" s="59">
        <v>42364</v>
      </c>
      <c r="Q371" s="32">
        <v>26.2</v>
      </c>
      <c r="R371" s="59">
        <v>42364</v>
      </c>
      <c r="S371" s="19">
        <v>6.4</v>
      </c>
      <c r="T371" s="59">
        <v>41634</v>
      </c>
      <c r="U371" s="19">
        <v>24.8</v>
      </c>
    </row>
    <row r="372" spans="1:21" x14ac:dyDescent="0.75">
      <c r="A372" s="59">
        <f t="shared" si="30"/>
        <v>41635</v>
      </c>
      <c r="B372" s="19">
        <f t="shared" si="31"/>
        <v>2.2000000000000002</v>
      </c>
      <c r="C372" s="41">
        <f t="shared" ca="1" si="34"/>
        <v>0.22000000000000003</v>
      </c>
      <c r="D372" s="41">
        <f ca="1">IF(Energy!$N$3, C372, IF(C372 &gt; 0, MAX(Energy!W372- Energy!N372, 0) / (Energy!I372 + Energy!M372) *C372, 0))</f>
        <v>0.22000000000000003</v>
      </c>
      <c r="E372" s="41" t="b">
        <f ca="1">IF(Main!$C$25="Solar", IF(Energy!W372-Energy!N372&gt;=0, TRUE, FALSE), TRUE)</f>
        <v>1</v>
      </c>
      <c r="F372" s="41">
        <f t="shared" ca="1" si="32"/>
        <v>0.12224906248330043</v>
      </c>
      <c r="G372" s="6">
        <f ca="1">IF(A372&gt;=$B$7,IF(E372,IF(H371-$B$6/1000&gt;0,IF($B$6/1000&gt;$B$9*24*60*60,$B$9*24*60*60,$B$6/1000),H371),($B$6/1000)*(-Energy!W372+Energy!N372)/Energy!N372),0)</f>
        <v>0.219</v>
      </c>
      <c r="H372" s="6">
        <f t="shared" ca="1" si="35"/>
        <v>6.6152180394010944</v>
      </c>
      <c r="I372" t="str">
        <f t="shared" ca="1" si="33"/>
        <v>Yes</v>
      </c>
      <c r="N372" s="57">
        <v>42000</v>
      </c>
      <c r="O372" s="56">
        <v>5.4</v>
      </c>
      <c r="P372" s="59">
        <v>42365</v>
      </c>
      <c r="Q372" s="32">
        <v>1.6</v>
      </c>
      <c r="R372" s="59">
        <v>42365</v>
      </c>
      <c r="S372" s="19">
        <v>2.4</v>
      </c>
      <c r="T372" s="59">
        <v>41635</v>
      </c>
      <c r="U372" s="19">
        <v>2.2000000000000002</v>
      </c>
    </row>
    <row r="373" spans="1:21" x14ac:dyDescent="0.75">
      <c r="A373" s="59">
        <f t="shared" si="30"/>
        <v>41636</v>
      </c>
      <c r="B373" s="19">
        <f t="shared" si="31"/>
        <v>21.8</v>
      </c>
      <c r="C373" s="41">
        <f t="shared" ca="1" si="34"/>
        <v>2.1800000000000002</v>
      </c>
      <c r="D373" s="41">
        <f ca="1">IF(Energy!$N$3, C373, IF(C373 &gt; 0, MAX(Energy!W373- Energy!N373, 0) / (Energy!I373 + Energy!M373) *C373, 0))</f>
        <v>0.81200775321512797</v>
      </c>
      <c r="E373" s="41" t="b">
        <f ca="1">IF(Main!$C$25="Solar", IF(Energy!W373-Energy!N373&gt;=0, TRUE, FALSE), TRUE)</f>
        <v>1</v>
      </c>
      <c r="F373" s="41">
        <f t="shared" ca="1" si="32"/>
        <v>0.45121448436236622</v>
      </c>
      <c r="G373" s="6">
        <f ca="1">IF(A373&gt;=$B$7,IF(E373,IF(H372-$B$6/1000&gt;0,IF($B$6/1000&gt;$B$9*24*60*60,$B$9*24*60*60,$B$6/1000),H372),($B$6/1000)*(-Energy!W373+Energy!N373)/Energy!N373),0)</f>
        <v>0.219</v>
      </c>
      <c r="H373" s="6">
        <f t="shared" ca="1" si="35"/>
        <v>7.2082257926162221</v>
      </c>
      <c r="I373" t="str">
        <f t="shared" ca="1" si="33"/>
        <v>Yes</v>
      </c>
      <c r="N373" s="57">
        <v>42001</v>
      </c>
      <c r="O373" s="56">
        <v>0</v>
      </c>
      <c r="P373" s="59">
        <v>42366</v>
      </c>
      <c r="Q373" s="32">
        <v>0.2</v>
      </c>
      <c r="R373" s="59">
        <v>42366</v>
      </c>
      <c r="S373" s="19">
        <v>0</v>
      </c>
      <c r="T373" s="59">
        <v>41636</v>
      </c>
      <c r="U373" s="19">
        <v>21.8</v>
      </c>
    </row>
    <row r="374" spans="1:21" x14ac:dyDescent="0.75">
      <c r="A374" s="59">
        <f t="shared" si="30"/>
        <v>41637</v>
      </c>
      <c r="B374" s="19">
        <f t="shared" si="31"/>
        <v>2.4</v>
      </c>
      <c r="C374" s="41">
        <f t="shared" ca="1" si="34"/>
        <v>0.24</v>
      </c>
      <c r="D374" s="41">
        <f ca="1">IF(Energy!$N$3, C374, IF(C374 &gt; 0, MAX(Energy!W374- Energy!N374, 0) / (Energy!I374 + Energy!M374) *C374, 0))</f>
        <v>0.24</v>
      </c>
      <c r="E374" s="41" t="b">
        <f ca="1">IF(Main!$C$25="Solar", IF(Energy!W374-Energy!N374&gt;=0, TRUE, FALSE), TRUE)</f>
        <v>1</v>
      </c>
      <c r="F374" s="41">
        <f t="shared" ca="1" si="32"/>
        <v>0.13336261361814591</v>
      </c>
      <c r="G374" s="6">
        <f ca="1">IF(A374&gt;=$B$7,IF(E374,IF(H373-$B$6/1000&gt;0,IF($B$6/1000&gt;$B$9*24*60*60,$B$9*24*60*60,$B$6/1000),H373),($B$6/1000)*(-Energy!W374+Energy!N374)/Energy!N374),0)</f>
        <v>0.219</v>
      </c>
      <c r="H374" s="6">
        <f t="shared" ca="1" si="35"/>
        <v>7.229225792616222</v>
      </c>
      <c r="I374" t="str">
        <f t="shared" ca="1" si="33"/>
        <v>Yes</v>
      </c>
      <c r="N374" s="57">
        <v>42002</v>
      </c>
      <c r="O374" s="56">
        <v>0</v>
      </c>
      <c r="P374" s="59">
        <v>42367</v>
      </c>
      <c r="Q374" s="32">
        <v>0</v>
      </c>
      <c r="R374" s="59">
        <v>42367</v>
      </c>
      <c r="S374" s="19">
        <v>0</v>
      </c>
      <c r="T374" s="59">
        <v>41637</v>
      </c>
      <c r="U374" s="19">
        <v>2.4</v>
      </c>
    </row>
    <row r="375" spans="1:21" x14ac:dyDescent="0.75">
      <c r="A375" s="59">
        <f t="shared" si="30"/>
        <v>41638</v>
      </c>
      <c r="B375" s="19">
        <f t="shared" si="31"/>
        <v>2.8</v>
      </c>
      <c r="C375" s="41">
        <f t="shared" ca="1" si="34"/>
        <v>0.28000000000000003</v>
      </c>
      <c r="D375" s="41">
        <f ca="1">IF(Energy!$N$3, C375, IF(C375 &gt; 0, MAX(Energy!W375- Energy!N375, 0) / (Energy!I375 + Energy!M375) *C375, 0))</f>
        <v>0.27999999999999997</v>
      </c>
      <c r="E375" s="41" t="b">
        <f ca="1">IF(Main!$C$25="Solar", IF(Energy!W375-Energy!N375&gt;=0, TRUE, FALSE), TRUE)</f>
        <v>1</v>
      </c>
      <c r="F375" s="41">
        <f t="shared" ca="1" si="32"/>
        <v>0.15558971588783688</v>
      </c>
      <c r="G375" s="6">
        <f ca="1">IF(A375&gt;=$B$7,IF(E375,IF(H374-$B$6/1000&gt;0,IF($B$6/1000&gt;$B$9*24*60*60,$B$9*24*60*60,$B$6/1000),H374),($B$6/1000)*(-Energy!W375+Energy!N375)/Energy!N375),0)</f>
        <v>0.219</v>
      </c>
      <c r="H375" s="6">
        <f t="shared" ca="1" si="35"/>
        <v>7.2902257926162219</v>
      </c>
      <c r="I375" t="str">
        <f t="shared" ca="1" si="33"/>
        <v>Yes</v>
      </c>
      <c r="N375" s="57">
        <v>42003</v>
      </c>
      <c r="O375" s="56">
        <v>0</v>
      </c>
      <c r="P375" s="59">
        <v>42368</v>
      </c>
      <c r="Q375" s="32">
        <v>0</v>
      </c>
      <c r="R375" s="59">
        <v>42368</v>
      </c>
      <c r="S375" s="19">
        <v>0</v>
      </c>
      <c r="T375" s="59">
        <v>41638</v>
      </c>
      <c r="U375" s="19">
        <v>2.8</v>
      </c>
    </row>
    <row r="376" spans="1:21" x14ac:dyDescent="0.75">
      <c r="A376" s="59">
        <f t="shared" si="30"/>
        <v>41639</v>
      </c>
      <c r="B376" s="19">
        <f t="shared" si="31"/>
        <v>0.2</v>
      </c>
      <c r="C376" s="41">
        <f t="shared" ca="1" si="34"/>
        <v>0.02</v>
      </c>
      <c r="D376" s="41">
        <f ca="1">IF(Energy!$N$3, C376, IF(C376 &gt; 0, MAX(Energy!W376- Energy!N376, 0) / (Energy!I376 + Energy!M376) *C376, 0))</f>
        <v>2.0000000000000014E-2</v>
      </c>
      <c r="E376" s="41" t="b">
        <f ca="1">IF(Main!$C$25="Solar", IF(Energy!W376-Energy!N376&gt;=0, TRUE, FALSE), TRUE)</f>
        <v>1</v>
      </c>
      <c r="F376" s="41">
        <f t="shared" ca="1" si="32"/>
        <v>1.11135511348455E-2</v>
      </c>
      <c r="G376" s="6">
        <f ca="1">IF(A376&gt;=$B$7,IF(E376,IF(H375-$B$6/1000&gt;0,IF($B$6/1000&gt;$B$9*24*60*60,$B$9*24*60*60,$B$6/1000),H375),($B$6/1000)*(-Energy!W376+Energy!N376)/Energy!N376),0)</f>
        <v>0.219</v>
      </c>
      <c r="H376" s="6">
        <f t="shared" ca="1" si="35"/>
        <v>7.0912257926162212</v>
      </c>
      <c r="I376" t="str">
        <f t="shared" ca="1" si="33"/>
        <v>Yes</v>
      </c>
      <c r="N376" s="57">
        <v>42004</v>
      </c>
      <c r="O376" s="56">
        <v>0</v>
      </c>
      <c r="P376" s="59">
        <v>42369</v>
      </c>
      <c r="Q376" s="32">
        <v>0</v>
      </c>
      <c r="R376" s="59">
        <v>42369</v>
      </c>
      <c r="S376" s="19">
        <v>0</v>
      </c>
      <c r="T376" s="59">
        <v>41639</v>
      </c>
      <c r="U376" s="19">
        <v>0.2</v>
      </c>
    </row>
  </sheetData>
  <conditionalFormatting sqref="G11:I11">
    <cfRule type="cellIs" dxfId="3" priority="3" operator="equal">
      <formula>"No"</formula>
    </cfRule>
    <cfRule type="cellIs" dxfId="2" priority="4" operator="equal">
      <formula>"Yes"</formula>
    </cfRule>
  </conditionalFormatting>
  <conditionalFormatting sqref="I12:I376">
    <cfRule type="cellIs" dxfId="1" priority="1" operator="equal">
      <formula>"No"</formula>
    </cfRule>
    <cfRule type="cellIs" dxfId="0" priority="2" operator="equal">
      <formula>"Yes"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9BFCD-E05E-4C76-9DFA-DD353EE857B1}">
  <dimension ref="A1:B12"/>
  <sheetViews>
    <sheetView workbookViewId="0">
      <selection activeCell="F13" sqref="F13"/>
    </sheetView>
  </sheetViews>
  <sheetFormatPr defaultRowHeight="14.75" x14ac:dyDescent="0.75"/>
  <cols>
    <col min="1" max="1" width="15.453125" customWidth="1"/>
    <col min="2" max="2" width="18.54296875" customWidth="1"/>
  </cols>
  <sheetData>
    <row r="1" spans="1:2" x14ac:dyDescent="0.75">
      <c r="A1" s="139" t="s">
        <v>92</v>
      </c>
      <c r="B1" s="139" t="s">
        <v>93</v>
      </c>
    </row>
    <row r="2" spans="1:2" x14ac:dyDescent="0.75">
      <c r="A2" s="138" t="s">
        <v>94</v>
      </c>
      <c r="B2" s="332">
        <f ca="1">IF('Filter Life Span'!C5, IF(Main!$C$19 = "TO", Consumption!F4 / 'Filter Life Span'!E5, Consumption!F5 / 'Filter Life Span'!E5), 0)</f>
        <v>3.6573000000000002</v>
      </c>
    </row>
    <row r="3" spans="1:2" x14ac:dyDescent="0.75">
      <c r="A3" s="138" t="s">
        <v>95</v>
      </c>
      <c r="B3" s="332">
        <f>IF('Filter Life Span'!C4, IF(Main!$C$19 = "TO", Consumption!F4 / 'Filter Life Span'!E4, Consumption!F5 / 'Filter Life Span'!E4),0)</f>
        <v>0</v>
      </c>
    </row>
    <row r="4" spans="1:2" x14ac:dyDescent="0.75">
      <c r="A4" s="138" t="s">
        <v>96</v>
      </c>
      <c r="B4" s="332">
        <f ca="1">IF('Filter Life Span'!C3, IF(Main!$C$19 = "TO", Consumption!F4 / 'Filter Life Span'!E3, Consumption!F5 / 'Filter Life Span'!E3), 0)</f>
        <v>4.8764000000000003</v>
      </c>
    </row>
    <row r="5" spans="1:2" x14ac:dyDescent="0.75">
      <c r="A5" s="138" t="s">
        <v>97</v>
      </c>
      <c r="B5" s="333">
        <v>1</v>
      </c>
    </row>
    <row r="6" spans="1:2" x14ac:dyDescent="0.75">
      <c r="A6" s="138" t="s">
        <v>98</v>
      </c>
      <c r="B6" s="331">
        <f ca="1">Energy!U377/3</f>
        <v>0</v>
      </c>
    </row>
    <row r="7" spans="1:2" x14ac:dyDescent="0.75">
      <c r="A7" s="138" t="s">
        <v>99</v>
      </c>
      <c r="B7" s="331">
        <f>1*IF(Main!C24="Oz", 1, 0)</f>
        <v>1</v>
      </c>
    </row>
    <row r="8" spans="1:2" x14ac:dyDescent="0.75">
      <c r="A8" s="138" t="s">
        <v>35</v>
      </c>
      <c r="B8" s="331">
        <f ca="1">Consumption!F6/IF(Main!C14="A", 900, IF(Main!C14="B", 1650, 1800))</f>
        <v>4.9540028431354709E-2</v>
      </c>
    </row>
    <row r="9" spans="1:2" x14ac:dyDescent="0.75">
      <c r="A9" s="138" t="s">
        <v>57</v>
      </c>
      <c r="B9" s="331">
        <f>IF(Main!C25="Solar", 4, 0)</f>
        <v>4</v>
      </c>
    </row>
    <row r="10" spans="1:2" x14ac:dyDescent="0.75">
      <c r="A10" s="138" t="s">
        <v>67</v>
      </c>
      <c r="B10" s="331">
        <f>Energy!Q377/250</f>
        <v>0</v>
      </c>
    </row>
    <row r="11" spans="1:2" x14ac:dyDescent="0.75">
      <c r="A11" s="138" t="s">
        <v>100</v>
      </c>
      <c r="B11" s="331">
        <f>Energy!Q377/100</f>
        <v>0</v>
      </c>
    </row>
    <row r="12" spans="1:2" x14ac:dyDescent="0.75">
      <c r="A12" s="139" t="s">
        <v>31</v>
      </c>
      <c r="B12" s="331">
        <f ca="1">SUM(B2:B11)</f>
        <v>14.583240028431355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B3E43-6318-4C32-9242-D139CEC3E5C3}">
  <dimension ref="A1:H21"/>
  <sheetViews>
    <sheetView topLeftCell="B9" workbookViewId="0">
      <selection activeCell="G23" sqref="G23"/>
    </sheetView>
  </sheetViews>
  <sheetFormatPr defaultRowHeight="14.75" x14ac:dyDescent="0.75"/>
  <cols>
    <col min="1" max="1" width="23.453125" style="19" customWidth="1"/>
    <col min="2" max="2" width="33.7265625" style="19" customWidth="1"/>
    <col min="3" max="3" width="16" style="19" customWidth="1"/>
    <col min="4" max="4" width="29.453125" style="19" customWidth="1"/>
    <col min="5" max="5" width="22.453125" style="19" customWidth="1"/>
    <col min="6" max="6" width="19.453125" style="19" customWidth="1"/>
    <col min="7" max="7" width="23.81640625" customWidth="1"/>
  </cols>
  <sheetData>
    <row r="1" spans="1:7" x14ac:dyDescent="0.75">
      <c r="A1" s="92" t="s">
        <v>110</v>
      </c>
      <c r="B1" s="92" t="s">
        <v>111</v>
      </c>
      <c r="C1" s="92" t="s">
        <v>112</v>
      </c>
      <c r="D1" s="92" t="s">
        <v>113</v>
      </c>
      <c r="E1" s="92" t="s">
        <v>114</v>
      </c>
      <c r="F1" s="92" t="s">
        <v>115</v>
      </c>
      <c r="G1" s="95" t="s">
        <v>116</v>
      </c>
    </row>
    <row r="2" spans="1:7" x14ac:dyDescent="0.75">
      <c r="A2" s="93" t="s">
        <v>117</v>
      </c>
      <c r="B2" s="140">
        <f ca="1">Consumption!F3</f>
        <v>0</v>
      </c>
      <c r="C2" s="97">
        <v>75</v>
      </c>
      <c r="D2" s="93" t="s">
        <v>118</v>
      </c>
      <c r="E2" s="93" t="s">
        <v>118</v>
      </c>
      <c r="F2" s="94">
        <f ca="1">B2*C2*5</f>
        <v>0</v>
      </c>
      <c r="G2" s="96">
        <v>105000</v>
      </c>
    </row>
    <row r="3" spans="1:7" x14ac:dyDescent="0.75">
      <c r="A3" s="93" t="s">
        <v>13</v>
      </c>
      <c r="B3" s="93">
        <f>IF(Main!C4="F", 1, IF(Main!C4 = "H", 0.5, 0))</f>
        <v>1</v>
      </c>
      <c r="C3" s="97">
        <v>350</v>
      </c>
      <c r="D3" s="93" t="s">
        <v>118</v>
      </c>
      <c r="E3" s="93" t="s">
        <v>118</v>
      </c>
      <c r="F3" s="94">
        <f>C3*B3</f>
        <v>350</v>
      </c>
    </row>
    <row r="4" spans="1:7" x14ac:dyDescent="0.75">
      <c r="A4" s="93" t="s">
        <v>17</v>
      </c>
      <c r="B4" s="93">
        <f>Main!C5</f>
        <v>0</v>
      </c>
      <c r="C4" s="97">
        <v>150</v>
      </c>
      <c r="D4" s="93" t="s">
        <v>118</v>
      </c>
      <c r="E4" s="93" t="s">
        <v>118</v>
      </c>
      <c r="F4" s="94">
        <f>C4*B4</f>
        <v>0</v>
      </c>
      <c r="G4" s="113" t="s">
        <v>119</v>
      </c>
    </row>
    <row r="5" spans="1:7" x14ac:dyDescent="0.75">
      <c r="A5" s="93" t="s">
        <v>19</v>
      </c>
      <c r="B5" s="93">
        <f>Main!C6</f>
        <v>2.5</v>
      </c>
      <c r="C5" s="99">
        <f>IF(B5=0.4,200,IF(B5=1.5,500,IF(B5=2.5,900,2000)))</f>
        <v>900</v>
      </c>
      <c r="D5" s="93" t="s">
        <v>118</v>
      </c>
      <c r="E5" s="93" t="s">
        <v>118</v>
      </c>
      <c r="F5" s="98">
        <f>C5</f>
        <v>900</v>
      </c>
      <c r="G5" s="135">
        <f ca="1">F21/G2</f>
        <v>0.23248908444306185</v>
      </c>
    </row>
    <row r="6" spans="1:7" x14ac:dyDescent="0.75">
      <c r="A6" s="93" t="s">
        <v>120</v>
      </c>
      <c r="B6" s="93">
        <v>2.1</v>
      </c>
      <c r="C6" s="107">
        <f xml:space="preserve"> 20 * (Main!$C$7)^1.6 + 120 * (Main!$C$13) ^ 1.8</f>
        <v>3588.4206507557678</v>
      </c>
      <c r="D6" s="93" t="s">
        <v>118</v>
      </c>
      <c r="E6" s="93" t="s">
        <v>118</v>
      </c>
      <c r="F6" s="94">
        <f>C6</f>
        <v>3588.4206507557678</v>
      </c>
    </row>
    <row r="7" spans="1:7" x14ac:dyDescent="0.75">
      <c r="A7" s="93" t="s">
        <v>22</v>
      </c>
      <c r="B7" s="93">
        <f>Main!C7</f>
        <v>17</v>
      </c>
      <c r="C7" s="98">
        <f>275*B7</f>
        <v>4675</v>
      </c>
      <c r="D7" s="93" t="s">
        <v>118</v>
      </c>
      <c r="E7" s="93" t="s">
        <v>118</v>
      </c>
      <c r="F7" s="98">
        <f>C7</f>
        <v>4675</v>
      </c>
    </row>
    <row r="8" spans="1:7" x14ac:dyDescent="0.75">
      <c r="A8" s="93" t="s">
        <v>121</v>
      </c>
      <c r="B8" s="119">
        <f>Main!C12</f>
        <v>13.138112497615477</v>
      </c>
      <c r="C8" s="97">
        <v>45</v>
      </c>
      <c r="D8" s="93" t="s">
        <v>118</v>
      </c>
      <c r="E8" s="93" t="s">
        <v>118</v>
      </c>
      <c r="F8" s="94">
        <f>C8*B8*2</f>
        <v>1182.430124785393</v>
      </c>
    </row>
    <row r="9" spans="1:7" x14ac:dyDescent="0.75">
      <c r="A9" s="93" t="s">
        <v>96</v>
      </c>
      <c r="B9" s="93" t="b">
        <f>Main!C20</f>
        <v>1</v>
      </c>
      <c r="C9" s="97">
        <v>125</v>
      </c>
      <c r="D9" s="97">
        <v>75</v>
      </c>
      <c r="E9" s="334">
        <f ca="1">Maintenance!B4</f>
        <v>4.8764000000000003</v>
      </c>
      <c r="F9" s="98">
        <f ca="1">IF(B9=TRUE, C9 + D9*E9*5, 0)</f>
        <v>1953.65</v>
      </c>
    </row>
    <row r="10" spans="1:7" x14ac:dyDescent="0.75">
      <c r="A10" s="93" t="s">
        <v>95</v>
      </c>
      <c r="B10" s="93" t="b">
        <f>Main!C21</f>
        <v>0</v>
      </c>
      <c r="C10" s="97">
        <v>110</v>
      </c>
      <c r="D10" s="97">
        <v>60</v>
      </c>
      <c r="E10" s="334">
        <f>Maintenance!B3</f>
        <v>0</v>
      </c>
      <c r="F10" s="98">
        <f t="shared" ref="F10" si="0">IF(B10=TRUE, C10 + D10*E10*5, 0)</f>
        <v>0</v>
      </c>
      <c r="G10" s="346"/>
    </row>
    <row r="11" spans="1:7" x14ac:dyDescent="0.75">
      <c r="A11" s="93" t="s">
        <v>94</v>
      </c>
      <c r="B11" s="93" t="b">
        <f>Main!C22</f>
        <v>1</v>
      </c>
      <c r="C11" s="97">
        <v>100</v>
      </c>
      <c r="D11" s="97">
        <v>50</v>
      </c>
      <c r="E11" s="334">
        <f ca="1">Maintenance!B2</f>
        <v>3.6573000000000002</v>
      </c>
      <c r="F11" s="98">
        <f ca="1">IF(B11=TRUE, C11 + D11*E11*5, 0)</f>
        <v>1014.325</v>
      </c>
      <c r="G11" s="346"/>
    </row>
    <row r="12" spans="1:7" x14ac:dyDescent="0.75">
      <c r="A12" s="93" t="s">
        <v>122</v>
      </c>
      <c r="B12" s="93">
        <f>Main!C23</f>
        <v>50</v>
      </c>
      <c r="C12" s="98">
        <f>IF(B12=36, 500, 750)</f>
        <v>750</v>
      </c>
      <c r="D12" s="98">
        <f>IF(B12=36, 90, 110)</f>
        <v>110</v>
      </c>
      <c r="E12" s="140">
        <v>1</v>
      </c>
      <c r="F12" s="98">
        <f>C12+D12*E12*4</f>
        <v>1190</v>
      </c>
    </row>
    <row r="13" spans="1:7" x14ac:dyDescent="0.75">
      <c r="A13" s="93" t="s">
        <v>98</v>
      </c>
      <c r="B13" s="93" t="b">
        <f>IF(Main!C24="Cl", TRUE, FALSE)</f>
        <v>0</v>
      </c>
      <c r="C13" s="97">
        <v>700</v>
      </c>
      <c r="D13" s="97">
        <v>100</v>
      </c>
      <c r="E13" s="140">
        <f ca="1">IF(5*Energy!U377/3&gt;1, Energy!U377/3, 0)</f>
        <v>0</v>
      </c>
      <c r="F13" s="94">
        <f ca="1">B13*(C13+D13*E13*5)</f>
        <v>0</v>
      </c>
      <c r="G13" s="6"/>
    </row>
    <row r="14" spans="1:7" x14ac:dyDescent="0.75">
      <c r="A14" s="93" t="s">
        <v>99</v>
      </c>
      <c r="B14" s="93" t="b">
        <f>IF(Main!C24="Oz", TRUE, FALSE)</f>
        <v>1</v>
      </c>
      <c r="C14" s="97">
        <v>4000</v>
      </c>
      <c r="D14" s="141">
        <v>0</v>
      </c>
      <c r="E14" s="93">
        <f>1*IF(Main!C24="Oz", 1, 0)</f>
        <v>1</v>
      </c>
      <c r="F14" s="94">
        <f>C14*(B14 + D14 * E14 * 5)</f>
        <v>4000</v>
      </c>
    </row>
    <row r="15" spans="1:7" x14ac:dyDescent="0.75">
      <c r="A15" s="93" t="s">
        <v>35</v>
      </c>
      <c r="B15" s="93" t="str">
        <f>Main!C14</f>
        <v>A</v>
      </c>
      <c r="C15" s="107">
        <f>IF(B15="A",640,IF(B15="B",1250,3250))</f>
        <v>640</v>
      </c>
      <c r="D15" s="94">
        <f>C15</f>
        <v>640</v>
      </c>
      <c r="E15" s="161">
        <f ca="1">Consumption!F6/IF(Main!C14="A", 900, IF(Main!C14="B", 1650, 1800))</f>
        <v>4.9540028431354709E-2</v>
      </c>
      <c r="F15" s="94">
        <f ca="1">C15+D15*E15*5</f>
        <v>798.52809098033504</v>
      </c>
      <c r="G15" s="133"/>
    </row>
    <row r="16" spans="1:7" x14ac:dyDescent="0.75">
      <c r="A16" s="93" t="s">
        <v>123</v>
      </c>
      <c r="B16" s="93" t="str">
        <f>IF(Main!C25="Solar", Main!C28, FALSE)</f>
        <v>HES-260</v>
      </c>
      <c r="C16" s="98">
        <f>IF(B16="HES-260",500,IF(B16="SW-80",205,IF(B16=FALSE,0,450)))</f>
        <v>500</v>
      </c>
      <c r="D16" s="140" t="s">
        <v>118</v>
      </c>
      <c r="E16" s="140" t="s">
        <v>118</v>
      </c>
      <c r="F16" s="98">
        <f>C16*Main!C29</f>
        <v>2000</v>
      </c>
      <c r="G16" s="134"/>
    </row>
    <row r="17" spans="1:8" x14ac:dyDescent="0.75">
      <c r="A17" s="93" t="s">
        <v>124</v>
      </c>
      <c r="B17" s="93">
        <f>Main!C26</f>
        <v>1</v>
      </c>
      <c r="C17" s="97">
        <v>390</v>
      </c>
      <c r="D17" s="93" t="s">
        <v>118</v>
      </c>
      <c r="E17" s="93" t="s">
        <v>118</v>
      </c>
      <c r="F17" s="94">
        <f>C17*B17</f>
        <v>390</v>
      </c>
    </row>
    <row r="18" spans="1:8" x14ac:dyDescent="0.75">
      <c r="A18" s="93" t="s">
        <v>125</v>
      </c>
      <c r="B18" s="93" t="b">
        <f>IF(Main!C25="Solar", TRUE, FALSE)</f>
        <v>1</v>
      </c>
      <c r="C18" s="97">
        <v>2369</v>
      </c>
      <c r="D18" s="93" t="s">
        <v>118</v>
      </c>
      <c r="E18" s="93" t="s">
        <v>118</v>
      </c>
      <c r="F18" s="94">
        <f>C18*B18</f>
        <v>2369</v>
      </c>
    </row>
    <row r="19" spans="1:8" x14ac:dyDescent="0.75">
      <c r="A19" s="93" t="s">
        <v>67</v>
      </c>
      <c r="B19" s="93" t="b">
        <f>IF(Main!C25="Solar", FALSE, TRUE)</f>
        <v>0</v>
      </c>
      <c r="C19" s="97">
        <v>3250</v>
      </c>
      <c r="D19" s="97">
        <v>50</v>
      </c>
      <c r="E19" s="161">
        <f>IF(5*Energy!Q377/250&gt;1, Energy!Q377/250, 0)</f>
        <v>0</v>
      </c>
      <c r="F19" s="94">
        <f>C19*B19+D19*E19*5</f>
        <v>0</v>
      </c>
      <c r="G19" s="133"/>
      <c r="H19" s="133"/>
    </row>
    <row r="20" spans="1:8" x14ac:dyDescent="0.75">
      <c r="A20" s="108" t="s">
        <v>126</v>
      </c>
      <c r="B20" s="108" t="b">
        <f>IF(Main!C25="Solar", FALSE, TRUE)</f>
        <v>0</v>
      </c>
      <c r="C20" s="108" t="s">
        <v>118</v>
      </c>
      <c r="D20" s="109">
        <v>325</v>
      </c>
      <c r="E20" s="183">
        <f>Energy!Q377/100</f>
        <v>0</v>
      </c>
      <c r="F20" s="184">
        <f>D20*E20*5</f>
        <v>0</v>
      </c>
      <c r="G20" s="133"/>
    </row>
    <row r="21" spans="1:8" ht="15.5" thickBot="1" x14ac:dyDescent="0.9">
      <c r="A21" s="110"/>
      <c r="B21" s="111"/>
      <c r="C21" s="111"/>
      <c r="D21" s="111"/>
      <c r="E21" s="112" t="s">
        <v>127</v>
      </c>
      <c r="F21" s="181">
        <f ca="1">SUM(F2:F20)</f>
        <v>24411.353866521495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6D17D-6F87-41DF-9117-F0B41A9A8D3E}">
  <dimension ref="A1:I10"/>
  <sheetViews>
    <sheetView workbookViewId="0">
      <selection activeCell="D20" sqref="D20"/>
    </sheetView>
  </sheetViews>
  <sheetFormatPr defaultRowHeight="14.75" x14ac:dyDescent="0.75"/>
  <cols>
    <col min="1" max="1" width="24.81640625" customWidth="1"/>
    <col min="2" max="2" width="9.1796875" customWidth="1"/>
    <col min="3" max="3" width="8.7265625" style="19"/>
    <col min="4" max="4" width="24.54296875" customWidth="1"/>
    <col min="5" max="5" width="24.81640625" customWidth="1"/>
    <col min="7" max="7" width="15.7265625" style="19" customWidth="1"/>
  </cols>
  <sheetData>
    <row r="1" spans="1:9" x14ac:dyDescent="0.75">
      <c r="A1" s="361" t="s">
        <v>128</v>
      </c>
      <c r="B1" s="362"/>
      <c r="C1" s="363"/>
      <c r="D1" s="75" t="s">
        <v>129</v>
      </c>
      <c r="E1" s="364" t="s">
        <v>130</v>
      </c>
      <c r="F1" s="365"/>
      <c r="G1" s="366"/>
      <c r="I1" s="1"/>
    </row>
    <row r="2" spans="1:9" x14ac:dyDescent="0.75">
      <c r="A2" s="72" t="s">
        <v>131</v>
      </c>
      <c r="B2" s="73" t="s">
        <v>132</v>
      </c>
      <c r="C2" s="68">
        <v>2408</v>
      </c>
      <c r="D2" s="76" t="s">
        <v>133</v>
      </c>
      <c r="E2" s="78" t="s">
        <v>131</v>
      </c>
      <c r="F2" s="79" t="s">
        <v>132</v>
      </c>
      <c r="G2" s="175">
        <v>2408</v>
      </c>
    </row>
    <row r="3" spans="1:9" x14ac:dyDescent="0.75">
      <c r="A3" s="72" t="s">
        <v>134</v>
      </c>
      <c r="B3" s="73" t="s">
        <v>132</v>
      </c>
      <c r="C3" s="74">
        <f>0.1*D3/1000</f>
        <v>39.967500000000001</v>
      </c>
      <c r="D3" s="77">
        <f>Main!C2*5*365</f>
        <v>399675</v>
      </c>
      <c r="E3" s="78" t="s">
        <v>135</v>
      </c>
      <c r="F3" s="79" t="s">
        <v>41</v>
      </c>
      <c r="G3" s="80" t="str">
        <f>Main!C25</f>
        <v>Solar</v>
      </c>
    </row>
    <row r="4" spans="1:9" x14ac:dyDescent="0.75">
      <c r="A4" s="72" t="s">
        <v>136</v>
      </c>
      <c r="B4" s="73" t="s">
        <v>132</v>
      </c>
      <c r="C4" s="74">
        <f>6.4*D3/1000</f>
        <v>2557.92</v>
      </c>
      <c r="E4" s="78" t="s">
        <v>137</v>
      </c>
      <c r="F4" s="79" t="s">
        <v>41</v>
      </c>
      <c r="G4" s="80" t="str">
        <f>IF(G3="SOLAR", Main!C28, 0)</f>
        <v>HES-260</v>
      </c>
    </row>
    <row r="5" spans="1:9" x14ac:dyDescent="0.75">
      <c r="A5" s="72" t="s">
        <v>138</v>
      </c>
      <c r="B5" s="73" t="s">
        <v>132</v>
      </c>
      <c r="C5" s="74">
        <f>SUM(C2:C4)</f>
        <v>5005.8875000000007</v>
      </c>
      <c r="E5" s="78" t="s">
        <v>139</v>
      </c>
      <c r="F5" s="79" t="s">
        <v>132</v>
      </c>
      <c r="G5" s="80">
        <f>IF(G4="HES-260", 496, IF(G4="SW-80", 192, IF(G4=0, 0, 620)))*Main!C29</f>
        <v>1984</v>
      </c>
    </row>
    <row r="6" spans="1:9" x14ac:dyDescent="0.75">
      <c r="E6" s="78" t="s">
        <v>140</v>
      </c>
      <c r="F6" s="79" t="s">
        <v>132</v>
      </c>
      <c r="G6" s="80">
        <f xml:space="preserve"> 240*Main!C26</f>
        <v>240</v>
      </c>
    </row>
    <row r="7" spans="1:9" x14ac:dyDescent="0.75">
      <c r="E7" s="78" t="s">
        <v>125</v>
      </c>
      <c r="F7" s="79" t="s">
        <v>132</v>
      </c>
      <c r="G7" s="80">
        <f>IF(G3="Solar", 100, 0)</f>
        <v>100</v>
      </c>
    </row>
    <row r="8" spans="1:9" x14ac:dyDescent="0.75">
      <c r="A8" s="185" t="s">
        <v>141</v>
      </c>
      <c r="B8" s="186">
        <f>G10/C5</f>
        <v>0.94528692464622888</v>
      </c>
      <c r="E8" s="78" t="s">
        <v>142</v>
      </c>
      <c r="F8" s="79" t="s">
        <v>132</v>
      </c>
      <c r="G8" s="80">
        <f>IF(G3="Solar", 0, 1250)</f>
        <v>0</v>
      </c>
    </row>
    <row r="9" spans="1:9" x14ac:dyDescent="0.75">
      <c r="E9" s="78" t="s">
        <v>143</v>
      </c>
      <c r="F9" s="79" t="s">
        <v>132</v>
      </c>
      <c r="G9" s="174">
        <f>IF(G3="Solar", 0, 3.25*Energy!Q377*5)</f>
        <v>0</v>
      </c>
    </row>
    <row r="10" spans="1:9" x14ac:dyDescent="0.75">
      <c r="E10" s="78" t="s">
        <v>138</v>
      </c>
      <c r="F10" s="79" t="s">
        <v>132</v>
      </c>
      <c r="G10" s="174">
        <f>SUM(G5:G9)+G2</f>
        <v>4732</v>
      </c>
    </row>
  </sheetData>
  <mergeCells count="2">
    <mergeCell ref="A1:C1"/>
    <mergeCell ref="E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A4D45-7BE2-44B8-B396-37C660896C06}">
  <dimension ref="A1:J5"/>
  <sheetViews>
    <sheetView zoomScaleNormal="150" zoomScaleSheetLayoutView="100" workbookViewId="0">
      <selection activeCell="E17" sqref="E17"/>
    </sheetView>
  </sheetViews>
  <sheetFormatPr defaultRowHeight="14.75" x14ac:dyDescent="0.75"/>
  <cols>
    <col min="1" max="1" width="22.453125" customWidth="1"/>
    <col min="2" max="2" width="15.7265625" customWidth="1"/>
    <col min="4" max="4" width="27.26953125" style="19" customWidth="1"/>
    <col min="5" max="6" width="8.54296875" style="19"/>
    <col min="8" max="8" width="27.26953125" customWidth="1"/>
    <col min="9" max="9" width="8.453125" customWidth="1"/>
  </cols>
  <sheetData>
    <row r="1" spans="1:10" x14ac:dyDescent="0.75">
      <c r="A1" s="69" t="s">
        <v>101</v>
      </c>
      <c r="B1" s="70">
        <f ca="1">(4-0.5*LN(E2))*E3*IF(Main!C24="Cl", 1, 0)+(4-0.5*LN(I2))*I3*IF(Main!C25="Solar", 0, 1)</f>
        <v>0</v>
      </c>
      <c r="D1" s="67" t="s">
        <v>102</v>
      </c>
      <c r="E1" s="44"/>
      <c r="F1" s="44"/>
      <c r="H1" s="53" t="s">
        <v>103</v>
      </c>
      <c r="I1" s="53"/>
      <c r="J1" s="53"/>
    </row>
    <row r="2" spans="1:10" x14ac:dyDescent="0.75">
      <c r="A2" s="69" t="s">
        <v>104</v>
      </c>
      <c r="B2" s="70">
        <f ca="1">(4-0.5*LN(E2))*E4*IF(Main!C24="Cl", 1, 0)+(4-0.5*LN(I2))*I4*IF(Main!C25="Solar", 0, 1)</f>
        <v>0</v>
      </c>
      <c r="D2" s="45" t="s">
        <v>105</v>
      </c>
      <c r="E2" s="71">
        <f ca="1">IF(Energy!U377=0, 1, 365/Maintenance!B6)</f>
        <v>1</v>
      </c>
      <c r="F2" s="46" t="s">
        <v>106</v>
      </c>
      <c r="H2" s="54" t="s">
        <v>105</v>
      </c>
      <c r="I2" s="336">
        <f>IF(Energy!Q377=0, 1, 365/Maintenance!B11)</f>
        <v>1</v>
      </c>
      <c r="J2" s="55" t="s">
        <v>106</v>
      </c>
    </row>
    <row r="3" spans="1:10" x14ac:dyDescent="0.75">
      <c r="A3" s="69" t="s">
        <v>107</v>
      </c>
      <c r="B3" s="70">
        <f ca="1">SUM(B1:B2)</f>
        <v>0</v>
      </c>
      <c r="D3" s="49" t="s">
        <v>108</v>
      </c>
      <c r="E3" s="51">
        <v>4</v>
      </c>
      <c r="F3" s="46" t="s">
        <v>41</v>
      </c>
      <c r="H3" s="54" t="s">
        <v>108</v>
      </c>
      <c r="I3" s="68">
        <v>2</v>
      </c>
      <c r="J3" s="55" t="s">
        <v>41</v>
      </c>
    </row>
    <row r="4" spans="1:10" x14ac:dyDescent="0.75">
      <c r="A4" s="42"/>
      <c r="B4" s="43"/>
      <c r="D4" s="47" t="s">
        <v>109</v>
      </c>
      <c r="E4" s="52">
        <v>3</v>
      </c>
      <c r="F4" s="48" t="s">
        <v>41</v>
      </c>
      <c r="H4" s="54" t="s">
        <v>109</v>
      </c>
      <c r="I4" s="68">
        <v>3</v>
      </c>
      <c r="J4" s="55" t="s">
        <v>41</v>
      </c>
    </row>
    <row r="5" spans="1:10" x14ac:dyDescent="0.75">
      <c r="A5" s="42"/>
      <c r="B5" s="43"/>
      <c r="F5" s="5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07646D0035FA4C8F1F95DBA74C7670" ma:contentTypeVersion="14" ma:contentTypeDescription="Create a new document." ma:contentTypeScope="" ma:versionID="b97d96b181c01638d44b3bded790a82a">
  <xsd:schema xmlns:xsd="http://www.w3.org/2001/XMLSchema" xmlns:xs="http://www.w3.org/2001/XMLSchema" xmlns:p="http://schemas.microsoft.com/office/2006/metadata/properties" xmlns:ns3="a169fe49-86d9-4b9f-a163-9271c3e82536" xmlns:ns4="9ec2d0b7-503f-4434-bd5e-691963e6366e" targetNamespace="http://schemas.microsoft.com/office/2006/metadata/properties" ma:root="true" ma:fieldsID="efb69f7fc2aa67c1a26431f98c27dd5e" ns3:_="" ns4:_="">
    <xsd:import namespace="a169fe49-86d9-4b9f-a163-9271c3e82536"/>
    <xsd:import namespace="9ec2d0b7-503f-4434-bd5e-691963e6366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69fe49-86d9-4b9f-a163-9271c3e8253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c2d0b7-503f-4434-bd5e-691963e636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2114D0-426E-43F0-881F-DE81B78CD294}">
  <ds:schemaRefs>
    <ds:schemaRef ds:uri="http://purl.org/dc/dcmitype/"/>
    <ds:schemaRef ds:uri="http://purl.org/dc/terms/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9ec2d0b7-503f-4434-bd5e-691963e6366e"/>
    <ds:schemaRef ds:uri="a169fe49-86d9-4b9f-a163-9271c3e82536"/>
  </ds:schemaRefs>
</ds:datastoreItem>
</file>

<file path=customXml/itemProps2.xml><?xml version="1.0" encoding="utf-8"?>
<ds:datastoreItem xmlns:ds="http://schemas.openxmlformats.org/officeDocument/2006/customXml" ds:itemID="{636AE1E1-1335-424D-BDC9-945ADC4F92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EF94B8-4EA8-4DB1-B0D1-7A9A8D1718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69fe49-86d9-4b9f-a163-9271c3e82536"/>
    <ds:schemaRef ds:uri="9ec2d0b7-503f-4434-bd5e-691963e636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</vt:lpstr>
      <vt:lpstr>Pump Main</vt:lpstr>
      <vt:lpstr>Storage System Flow</vt:lpstr>
      <vt:lpstr>Filter Life Span</vt:lpstr>
      <vt:lpstr>Energy</vt:lpstr>
      <vt:lpstr>Consumption</vt:lpstr>
      <vt:lpstr>Maintenance</vt:lpstr>
      <vt:lpstr>Cost</vt:lpstr>
      <vt:lpstr>GHG</vt:lpstr>
      <vt:lpstr>Risk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Sommer</dc:creator>
  <cp:keywords/>
  <dc:description/>
  <cp:lastModifiedBy>ljones08@student.ubc.ca</cp:lastModifiedBy>
  <cp:revision/>
  <cp:lastPrinted>2024-04-05T19:44:55Z</cp:lastPrinted>
  <dcterms:created xsi:type="dcterms:W3CDTF">2017-03-21T05:46:35Z</dcterms:created>
  <dcterms:modified xsi:type="dcterms:W3CDTF">2024-04-11T19:56:38Z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0x010100C107646D0035FA4C8F1F95DBA74C7670</vt:lpwstr>
  </property>
</Properties>
</file>