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https://politoit-my.sharepoint.com/personal/s297739_studenti_polito_it/Documents/progetto impianti/"/>
    </mc:Choice>
  </mc:AlternateContent>
  <xr:revisionPtr revIDLastSave="10109" documentId="8_{A818909B-5027-4336-9DCD-C8AE70306C71}" xr6:coauthVersionLast="47" xr6:coauthVersionMax="47" xr10:uidLastSave="{99EC9242-BAA8-488B-AF05-95A3E25B2CB9}"/>
  <bookViews>
    <workbookView xWindow="0" yWindow="0" windowWidth="23040" windowHeight="12240" tabRatio="903" firstSheet="1" activeTab="1" xr2:uid="{00000000-000D-0000-FFFF-FFFF00000000}"/>
  </bookViews>
  <sheets>
    <sheet name="$_DATI_BASE" sheetId="11" r:id="rId1"/>
    <sheet name="$_DB_CICLI" sheetId="12" r:id="rId2"/>
    <sheet name="$_FABB_PARTI_LOTTI" sheetId="13" r:id="rId3"/>
    <sheet name="$_FABB_PARTI_LOTTI_TOTALE" sheetId="4" r:id="rId4"/>
    <sheet name="$_OP_MONTAGGIO" sheetId="5" r:id="rId5"/>
    <sheet name="$_MAG_BUFFER_TOTALE" sheetId="32" r:id="rId6"/>
    <sheet name="$_MAG_BUFFER" sheetId="6" r:id="rId7"/>
    <sheet name="DIM_MAG_TOTALE" sheetId="37" r:id="rId8"/>
    <sheet name="DIM_Magazzini" sheetId="42" r:id="rId9"/>
    <sheet name="$_MOV_MATERIALI_TOTALE" sheetId="38" r:id="rId10"/>
    <sheet name="$_MOV_MATERIALI" sheetId="8" r:id="rId11"/>
    <sheet name="DIM_BANCHINE_TOTALE" sheetId="35" r:id="rId12"/>
    <sheet name="DIMENSIONI E PESI" sheetId="10" r:id="rId13"/>
    <sheet name="ALTRI_DATI" sheetId="9" r:id="rId14"/>
  </sheets>
  <externalReferences>
    <externalReference r:id="rId15"/>
  </externalReferences>
  <definedNames>
    <definedName name="_xlnm._FilterDatabase" localSheetId="0" hidden="1">'$_DATI_BASE'!$C$1:$AA$66</definedName>
    <definedName name="_xlnm._FilterDatabase" localSheetId="1" hidden="1">'$_DB_CICLI'!$A$1:$Q$51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83" i="37" l="1"/>
  <c r="N83" i="37"/>
  <c r="K83" i="37"/>
  <c r="J83" i="37"/>
  <c r="H83" i="37"/>
  <c r="G83" i="37"/>
  <c r="C83" i="37"/>
  <c r="C40" i="37"/>
  <c r="U81" i="37"/>
  <c r="N81" i="37"/>
  <c r="K81" i="37"/>
  <c r="J81" i="37"/>
  <c r="H81" i="37"/>
  <c r="G81" i="37"/>
  <c r="C81" i="37"/>
  <c r="U40" i="37"/>
  <c r="T40" i="37"/>
  <c r="S40" i="37"/>
  <c r="R40" i="37"/>
  <c r="Q40" i="37"/>
  <c r="N40" i="37"/>
  <c r="K40" i="37"/>
  <c r="J40" i="37"/>
  <c r="H40" i="37"/>
  <c r="G40" i="37"/>
  <c r="X6" i="37"/>
  <c r="N8" i="42" l="1"/>
  <c r="N6" i="42"/>
  <c r="K8" i="42"/>
  <c r="J8" i="42"/>
  <c r="K6" i="42"/>
  <c r="J6" i="42"/>
  <c r="H6" i="42"/>
  <c r="G6" i="42"/>
  <c r="H8" i="42"/>
  <c r="G8" i="42"/>
  <c r="U77" i="38"/>
  <c r="H110" i="38"/>
  <c r="C110" i="38"/>
  <c r="U113" i="38"/>
  <c r="U95" i="38"/>
  <c r="C92" i="38"/>
  <c r="C98" i="38" s="1"/>
  <c r="C116" i="38"/>
  <c r="C57" i="38"/>
  <c r="C56" i="38"/>
  <c r="C55" i="38"/>
  <c r="C8" i="42"/>
  <c r="C6" i="42" l="1"/>
  <c r="T32" i="42"/>
  <c r="T38" i="42" s="1"/>
  <c r="S32" i="42"/>
  <c r="R32" i="42"/>
  <c r="Q32" i="42"/>
  <c r="Q38" i="42" s="1"/>
  <c r="N32" i="42"/>
  <c r="N38" i="42" s="1"/>
  <c r="C32" i="42"/>
  <c r="C38" i="42" s="1"/>
  <c r="G26" i="42"/>
  <c r="G32" i="42" s="1"/>
  <c r="G38" i="42" s="1"/>
  <c r="G24" i="42"/>
  <c r="G20" i="42" s="1"/>
  <c r="K22" i="42"/>
  <c r="J22" i="42"/>
  <c r="T20" i="42"/>
  <c r="T34" i="42" s="1"/>
  <c r="S20" i="42"/>
  <c r="S34" i="42" s="1"/>
  <c r="R20" i="42"/>
  <c r="R34" i="42" s="1"/>
  <c r="Q20" i="42"/>
  <c r="Q34" i="42" s="1"/>
  <c r="N20" i="42"/>
  <c r="N34" i="42" s="1"/>
  <c r="C20" i="42"/>
  <c r="K18" i="42"/>
  <c r="J18" i="42"/>
  <c r="K16" i="42"/>
  <c r="J16" i="42"/>
  <c r="K14" i="42"/>
  <c r="J14" i="42"/>
  <c r="K12" i="42"/>
  <c r="J12" i="42"/>
  <c r="J10" i="42"/>
  <c r="N36" i="42" l="1"/>
  <c r="N40" i="42" s="1"/>
  <c r="N45" i="42" s="1"/>
  <c r="N47" i="42" s="1"/>
  <c r="Q36" i="42"/>
  <c r="C34" i="42"/>
  <c r="C36" i="42" s="1"/>
  <c r="C40" i="42" s="1"/>
  <c r="C45" i="42" s="1"/>
  <c r="G34" i="42"/>
  <c r="G36" i="42" s="1"/>
  <c r="G40" i="42" s="1"/>
  <c r="G45" i="42" s="1"/>
  <c r="S38" i="42"/>
  <c r="S36" i="42"/>
  <c r="N49" i="42"/>
  <c r="T36" i="42"/>
  <c r="R36" i="42"/>
  <c r="R38" i="42"/>
  <c r="H24" i="42"/>
  <c r="J24" i="42"/>
  <c r="J20" i="42" s="1"/>
  <c r="J32" i="42"/>
  <c r="K32" i="42"/>
  <c r="H26" i="42"/>
  <c r="H32" i="42" s="1"/>
  <c r="Q13" i="9"/>
  <c r="L34" i="38"/>
  <c r="C34" i="38"/>
  <c r="P10" i="38"/>
  <c r="AN12" i="38"/>
  <c r="AN16" i="38" s="1"/>
  <c r="AN18" i="38" s="1"/>
  <c r="AL14" i="38"/>
  <c r="AF35" i="38"/>
  <c r="AN33" i="38"/>
  <c r="AN37" i="38" s="1"/>
  <c r="AN39" i="38" s="1"/>
  <c r="AM33" i="38"/>
  <c r="AM37" i="38" s="1"/>
  <c r="AM39" i="38" s="1"/>
  <c r="AL33" i="38"/>
  <c r="AL37" i="38" s="1"/>
  <c r="AL39" i="38" s="1"/>
  <c r="AK33" i="38"/>
  <c r="AK37" i="38" s="1"/>
  <c r="AK39" i="38" s="1"/>
  <c r="AJ33" i="38"/>
  <c r="AJ37" i="38" s="1"/>
  <c r="AJ39" i="38" s="1"/>
  <c r="AI33" i="38"/>
  <c r="AI37" i="38" s="1"/>
  <c r="AI39" i="38" s="1"/>
  <c r="AH33" i="38"/>
  <c r="AF12" i="38" s="1"/>
  <c r="AF16" i="38" s="1"/>
  <c r="AG33" i="38"/>
  <c r="AG37" i="38" s="1"/>
  <c r="AG39" i="38" s="1"/>
  <c r="AF33" i="38"/>
  <c r="AL12" i="38" s="1"/>
  <c r="AE33" i="38"/>
  <c r="AE37" i="38" s="1"/>
  <c r="AE39" i="38" s="1"/>
  <c r="AD33" i="38"/>
  <c r="AD37" i="38" s="1"/>
  <c r="AD39" i="38" s="1"/>
  <c r="AC33" i="38"/>
  <c r="AC37" i="38" s="1"/>
  <c r="AC39" i="38" s="1"/>
  <c r="N20" i="35"/>
  <c r="Q20" i="35"/>
  <c r="P20" i="35"/>
  <c r="Q7" i="35"/>
  <c r="C8" i="37"/>
  <c r="C6" i="37"/>
  <c r="T32" i="37"/>
  <c r="U32" i="37"/>
  <c r="U20" i="37"/>
  <c r="T20" i="37"/>
  <c r="U8" i="37"/>
  <c r="U6" i="37"/>
  <c r="C20" i="37"/>
  <c r="S20" i="37"/>
  <c r="R20" i="37"/>
  <c r="N20" i="37"/>
  <c r="N8" i="37"/>
  <c r="N6" i="37"/>
  <c r="J10" i="37"/>
  <c r="K8" i="37"/>
  <c r="K6" i="37"/>
  <c r="H8" i="37"/>
  <c r="H6" i="37"/>
  <c r="J8" i="37"/>
  <c r="J6" i="37"/>
  <c r="G8" i="37"/>
  <c r="G6" i="37"/>
  <c r="P39" i="32"/>
  <c r="P38" i="32"/>
  <c r="P37" i="32"/>
  <c r="P36" i="32"/>
  <c r="P35" i="32"/>
  <c r="P33" i="32"/>
  <c r="P34" i="32"/>
  <c r="P32" i="32"/>
  <c r="P31" i="32"/>
  <c r="S32" i="37"/>
  <c r="S38" i="37" s="1"/>
  <c r="R32" i="37"/>
  <c r="Q32" i="37"/>
  <c r="N32" i="37"/>
  <c r="N38" i="37" s="1"/>
  <c r="C32" i="37"/>
  <c r="G26" i="37"/>
  <c r="G32" i="37" s="1"/>
  <c r="G24" i="37"/>
  <c r="H24" i="37" s="1"/>
  <c r="H20" i="37" s="1"/>
  <c r="H69" i="38" s="1"/>
  <c r="K22" i="37"/>
  <c r="J22" i="37"/>
  <c r="Q20" i="37"/>
  <c r="K18" i="37"/>
  <c r="J18" i="37"/>
  <c r="K16" i="37"/>
  <c r="J16" i="37"/>
  <c r="K14" i="37"/>
  <c r="J14" i="37"/>
  <c r="K12" i="37"/>
  <c r="J12" i="37"/>
  <c r="AF18" i="38" l="1"/>
  <c r="J77" i="38"/>
  <c r="J95" i="38" s="1"/>
  <c r="C38" i="37"/>
  <c r="J32" i="37"/>
  <c r="S34" i="37"/>
  <c r="S42" i="37" s="1"/>
  <c r="S69" i="38"/>
  <c r="C34" i="37"/>
  <c r="C42" i="37" s="1"/>
  <c r="C69" i="38"/>
  <c r="C74" i="38" s="1"/>
  <c r="C80" i="38" s="1"/>
  <c r="T34" i="37"/>
  <c r="T69" i="38"/>
  <c r="U34" i="37"/>
  <c r="U69" i="38"/>
  <c r="Q34" i="37"/>
  <c r="Q69" i="38"/>
  <c r="R34" i="37"/>
  <c r="R69" i="38"/>
  <c r="H74" i="38"/>
  <c r="H80" i="38" s="1"/>
  <c r="G110" i="38"/>
  <c r="H92" i="38"/>
  <c r="N34" i="37"/>
  <c r="N69" i="38"/>
  <c r="AL16" i="38"/>
  <c r="H20" i="42"/>
  <c r="K24" i="42"/>
  <c r="K20" i="42" s="1"/>
  <c r="C49" i="42"/>
  <c r="C47" i="42"/>
  <c r="N51" i="42"/>
  <c r="N53" i="42"/>
  <c r="N55" i="42" s="1"/>
  <c r="J34" i="42"/>
  <c r="J36" i="42" s="1"/>
  <c r="J40" i="42" s="1"/>
  <c r="J45" i="42" s="1"/>
  <c r="H38" i="42"/>
  <c r="K38" i="42"/>
  <c r="G49" i="42"/>
  <c r="G47" i="42"/>
  <c r="J38" i="42"/>
  <c r="K32" i="37"/>
  <c r="K38" i="37" s="1"/>
  <c r="H26" i="37"/>
  <c r="H32" i="37" s="1"/>
  <c r="H38" i="37" s="1"/>
  <c r="G20" i="37"/>
  <c r="G69" i="38" s="1"/>
  <c r="AH37" i="38"/>
  <c r="AH39" i="38" s="1"/>
  <c r="AJ12" i="38"/>
  <c r="AJ16" i="38" s="1"/>
  <c r="AE12" i="38"/>
  <c r="AE16" i="38" s="1"/>
  <c r="AK12" i="38"/>
  <c r="AK16" i="38" s="1"/>
  <c r="G30" i="38"/>
  <c r="AM12" i="38"/>
  <c r="AM16" i="38" s="1"/>
  <c r="AH12" i="38"/>
  <c r="AH16" i="38" s="1"/>
  <c r="AH18" i="38" s="1"/>
  <c r="AF37" i="38"/>
  <c r="AF39" i="38" s="1"/>
  <c r="AD12" i="38"/>
  <c r="AD16" i="38" s="1"/>
  <c r="AD18" i="38" s="1"/>
  <c r="AG12" i="38"/>
  <c r="AG16" i="38" s="1"/>
  <c r="AC12" i="38"/>
  <c r="AC16" i="38" s="1"/>
  <c r="AB12" i="38"/>
  <c r="AB16" i="38" s="1"/>
  <c r="G77" i="38" s="1"/>
  <c r="G95" i="38" s="1"/>
  <c r="T38" i="37"/>
  <c r="U38" i="37"/>
  <c r="G38" i="37"/>
  <c r="J24" i="37"/>
  <c r="J20" i="37" s="1"/>
  <c r="J69" i="38" s="1"/>
  <c r="J38" i="37"/>
  <c r="Q38" i="37"/>
  <c r="R38" i="37"/>
  <c r="T113" i="38" l="1"/>
  <c r="T95" i="38"/>
  <c r="AK18" i="38"/>
  <c r="R113" i="38"/>
  <c r="R95" i="38"/>
  <c r="M8" i="38"/>
  <c r="M34" i="38" s="1"/>
  <c r="Q113" i="38"/>
  <c r="Q95" i="38"/>
  <c r="AG18" i="38"/>
  <c r="K77" i="38"/>
  <c r="K95" i="38" s="1"/>
  <c r="AE18" i="38"/>
  <c r="G113" i="38"/>
  <c r="AL18" i="38"/>
  <c r="S113" i="38"/>
  <c r="S95" i="38"/>
  <c r="AC18" i="38"/>
  <c r="H77" i="38"/>
  <c r="H95" i="38" s="1"/>
  <c r="S36" i="37"/>
  <c r="C36" i="37"/>
  <c r="C44" i="37" s="1"/>
  <c r="C49" i="37" s="1"/>
  <c r="C51" i="37" s="1"/>
  <c r="N36" i="37"/>
  <c r="N44" i="37" s="1"/>
  <c r="N49" i="37" s="1"/>
  <c r="N53" i="37" s="1"/>
  <c r="N57" i="37" s="1"/>
  <c r="N59" i="37" s="1"/>
  <c r="N42" i="37"/>
  <c r="R36" i="37"/>
  <c r="R42" i="37"/>
  <c r="Q36" i="37"/>
  <c r="Q42" i="37"/>
  <c r="U36" i="37"/>
  <c r="U44" i="37" s="1"/>
  <c r="U49" i="37" s="1"/>
  <c r="U51" i="37" s="1"/>
  <c r="U42" i="37"/>
  <c r="T36" i="37"/>
  <c r="T42" i="37"/>
  <c r="T110" i="38"/>
  <c r="T92" i="38"/>
  <c r="T74" i="38"/>
  <c r="T80" i="38" s="1"/>
  <c r="G92" i="38"/>
  <c r="G74" i="38"/>
  <c r="G80" i="38" s="1"/>
  <c r="N74" i="38"/>
  <c r="N80" i="38" s="1"/>
  <c r="N92" i="38"/>
  <c r="R110" i="38"/>
  <c r="R74" i="38"/>
  <c r="R80" i="38" s="1"/>
  <c r="R92" i="38"/>
  <c r="Q110" i="38"/>
  <c r="Q74" i="38"/>
  <c r="Q80" i="38" s="1"/>
  <c r="Q92" i="38"/>
  <c r="J92" i="38"/>
  <c r="J74" i="38"/>
  <c r="J80" i="38" s="1"/>
  <c r="U74" i="38"/>
  <c r="U80" i="38" s="1"/>
  <c r="U110" i="38"/>
  <c r="U92" i="38"/>
  <c r="S92" i="38"/>
  <c r="S74" i="38"/>
  <c r="S80" i="38" s="1"/>
  <c r="S110" i="38"/>
  <c r="K28" i="38"/>
  <c r="P28" i="38" s="1"/>
  <c r="AM18" i="38"/>
  <c r="E30" i="38"/>
  <c r="P30" i="38" s="1"/>
  <c r="N26" i="38"/>
  <c r="P26" i="38" s="1"/>
  <c r="J47" i="42"/>
  <c r="J49" i="42"/>
  <c r="G53" i="42"/>
  <c r="G55" i="42" s="1"/>
  <c r="G51" i="42"/>
  <c r="N61" i="42"/>
  <c r="N59" i="42"/>
  <c r="N57" i="42"/>
  <c r="C53" i="42"/>
  <c r="C55" i="42" s="1"/>
  <c r="C51" i="42"/>
  <c r="K34" i="42"/>
  <c r="K36" i="42" s="1"/>
  <c r="K40" i="42" s="1"/>
  <c r="K45" i="42" s="1"/>
  <c r="H34" i="42"/>
  <c r="H36" i="42" s="1"/>
  <c r="H40" i="42" s="1"/>
  <c r="H45" i="42" s="1"/>
  <c r="G34" i="37"/>
  <c r="J34" i="37"/>
  <c r="N51" i="37"/>
  <c r="AJ18" i="38"/>
  <c r="P8" i="38"/>
  <c r="G22" i="38"/>
  <c r="AB18" i="38"/>
  <c r="I22" i="38"/>
  <c r="J24" i="38"/>
  <c r="H20" i="38"/>
  <c r="G18" i="38"/>
  <c r="U53" i="37"/>
  <c r="U55" i="37" s="1"/>
  <c r="C53" i="37"/>
  <c r="C57" i="37" s="1"/>
  <c r="C59" i="37" s="1"/>
  <c r="N55" i="37"/>
  <c r="K24" i="37"/>
  <c r="K20" i="37" s="1"/>
  <c r="K69" i="38" s="1"/>
  <c r="G36" i="37" l="1"/>
  <c r="G42" i="37"/>
  <c r="J36" i="37"/>
  <c r="J44" i="37" s="1"/>
  <c r="J49" i="37" s="1"/>
  <c r="J51" i="37" s="1"/>
  <c r="J42" i="37"/>
  <c r="K92" i="38"/>
  <c r="K74" i="38"/>
  <c r="K80" i="38" s="1"/>
  <c r="U57" i="37"/>
  <c r="U59" i="37" s="1"/>
  <c r="U63" i="37" s="1"/>
  <c r="K34" i="38"/>
  <c r="H47" i="42"/>
  <c r="H49" i="42"/>
  <c r="K49" i="42"/>
  <c r="K47" i="42"/>
  <c r="C61" i="42"/>
  <c r="C59" i="42"/>
  <c r="C57" i="42"/>
  <c r="G61" i="42"/>
  <c r="G59" i="42"/>
  <c r="G57" i="42"/>
  <c r="J53" i="42"/>
  <c r="J55" i="42" s="1"/>
  <c r="J51" i="42"/>
  <c r="J53" i="37"/>
  <c r="J57" i="37" s="1"/>
  <c r="J59" i="37" s="1"/>
  <c r="N34" i="38"/>
  <c r="P18" i="38"/>
  <c r="G34" i="38"/>
  <c r="P20" i="38"/>
  <c r="H34" i="38"/>
  <c r="P24" i="38"/>
  <c r="J34" i="38"/>
  <c r="I34" i="38"/>
  <c r="P22" i="38"/>
  <c r="U65" i="37"/>
  <c r="C55" i="37"/>
  <c r="C65" i="37" s="1"/>
  <c r="C61" i="37"/>
  <c r="K34" i="37"/>
  <c r="H34" i="37"/>
  <c r="N65" i="37"/>
  <c r="N63" i="37"/>
  <c r="N61" i="37"/>
  <c r="U71" i="37" l="1"/>
  <c r="U73" i="37" s="1"/>
  <c r="N71" i="37"/>
  <c r="N73" i="37" s="1"/>
  <c r="H36" i="37"/>
  <c r="H44" i="37" s="1"/>
  <c r="H49" i="37" s="1"/>
  <c r="H53" i="37" s="1"/>
  <c r="H42" i="37"/>
  <c r="K36" i="37"/>
  <c r="K44" i="37" s="1"/>
  <c r="K49" i="37" s="1"/>
  <c r="K53" i="37" s="1"/>
  <c r="K42" i="37"/>
  <c r="U61" i="37"/>
  <c r="K51" i="42"/>
  <c r="K53" i="42"/>
  <c r="K55" i="42" s="1"/>
  <c r="J61" i="42"/>
  <c r="J59" i="42"/>
  <c r="J57" i="42"/>
  <c r="H53" i="42"/>
  <c r="H55" i="42" s="1"/>
  <c r="H51" i="42"/>
  <c r="J55" i="37"/>
  <c r="J65" i="37" s="1"/>
  <c r="C63" i="37"/>
  <c r="J61" i="37"/>
  <c r="H51" i="37"/>
  <c r="J63" i="37" l="1"/>
  <c r="K51" i="37"/>
  <c r="C71" i="37"/>
  <c r="C73" i="37" s="1"/>
  <c r="N75" i="37"/>
  <c r="N85" i="37"/>
  <c r="H61" i="42"/>
  <c r="H59" i="42"/>
  <c r="H57" i="42"/>
  <c r="K61" i="42"/>
  <c r="K59" i="42"/>
  <c r="K57" i="42"/>
  <c r="H57" i="37"/>
  <c r="H59" i="37" s="1"/>
  <c r="H55" i="37"/>
  <c r="K55" i="37"/>
  <c r="K57" i="37"/>
  <c r="K59" i="37" s="1"/>
  <c r="C85" i="37" l="1"/>
  <c r="C75" i="37"/>
  <c r="J71" i="37"/>
  <c r="J73" i="37" s="1"/>
  <c r="H61" i="37"/>
  <c r="K65" i="37"/>
  <c r="K63" i="37"/>
  <c r="K61" i="37"/>
  <c r="H65" i="37"/>
  <c r="H63" i="37"/>
  <c r="H71" i="37" l="1"/>
  <c r="H73" i="37" s="1"/>
  <c r="K71" i="37"/>
  <c r="K73" i="37" s="1"/>
  <c r="J75" i="37"/>
  <c r="K22" i="9"/>
  <c r="Q16" i="9"/>
  <c r="Q15" i="9"/>
  <c r="Q14" i="9"/>
  <c r="Q37" i="35"/>
  <c r="N38" i="35"/>
  <c r="J39" i="35"/>
  <c r="K39" i="35"/>
  <c r="L39" i="35"/>
  <c r="M39" i="35"/>
  <c r="O39" i="35"/>
  <c r="P37" i="35"/>
  <c r="O38" i="35"/>
  <c r="O37" i="35"/>
  <c r="P7" i="35"/>
  <c r="J22" i="35"/>
  <c r="K22" i="35"/>
  <c r="L22" i="35"/>
  <c r="J19" i="35"/>
  <c r="K19" i="35"/>
  <c r="P17" i="35" s="1"/>
  <c r="L19" i="35"/>
  <c r="K16" i="35"/>
  <c r="L16" i="35"/>
  <c r="J16" i="35"/>
  <c r="P14" i="35" s="1"/>
  <c r="K13" i="35"/>
  <c r="P11" i="35" s="1"/>
  <c r="L13" i="35"/>
  <c r="J13" i="35"/>
  <c r="L10" i="35"/>
  <c r="K10" i="35"/>
  <c r="J10" i="35"/>
  <c r="Q3" i="35"/>
  <c r="Q2" i="35"/>
  <c r="K18" i="9"/>
  <c r="L4" i="35"/>
  <c r="F3" i="35"/>
  <c r="F2" i="35"/>
  <c r="N21" i="35"/>
  <c r="O21" i="35"/>
  <c r="O20" i="35"/>
  <c r="O18" i="35"/>
  <c r="O17" i="35"/>
  <c r="O15" i="35"/>
  <c r="O14" i="35"/>
  <c r="O12" i="35"/>
  <c r="O11" i="35"/>
  <c r="O9" i="35"/>
  <c r="O8" i="35"/>
  <c r="O7" i="35"/>
  <c r="K38" i="32"/>
  <c r="J38" i="32"/>
  <c r="K37" i="32"/>
  <c r="J37" i="32"/>
  <c r="K36" i="32"/>
  <c r="J36" i="32"/>
  <c r="K35" i="32"/>
  <c r="J35" i="32"/>
  <c r="K34" i="32"/>
  <c r="K33" i="32"/>
  <c r="J32" i="32"/>
  <c r="J31" i="32"/>
  <c r="U29" i="32"/>
  <c r="U30" i="32"/>
  <c r="T29" i="32"/>
  <c r="T30" i="32"/>
  <c r="S29" i="32"/>
  <c r="S30" i="32"/>
  <c r="R29" i="32"/>
  <c r="R30" i="32"/>
  <c r="Q25" i="32"/>
  <c r="R25" i="32" s="1"/>
  <c r="Q24" i="32"/>
  <c r="R24" i="32" s="1"/>
  <c r="L24" i="32"/>
  <c r="O24" i="32" s="1"/>
  <c r="L25" i="32"/>
  <c r="O25" i="32" s="1"/>
  <c r="L16" i="32"/>
  <c r="Q16" i="32" s="1"/>
  <c r="L17" i="32"/>
  <c r="Q17" i="32" s="1"/>
  <c r="L18" i="32"/>
  <c r="Q18" i="32" s="1"/>
  <c r="L19" i="32"/>
  <c r="Q19" i="32" s="1"/>
  <c r="L20" i="32"/>
  <c r="P20" i="32" s="1"/>
  <c r="L15" i="32"/>
  <c r="Q15" i="32" s="1"/>
  <c r="K14" i="32"/>
  <c r="J14" i="32"/>
  <c r="K13" i="32"/>
  <c r="J13" i="32"/>
  <c r="K8" i="32"/>
  <c r="J8" i="32"/>
  <c r="K7" i="32"/>
  <c r="J7" i="32"/>
  <c r="K6" i="32"/>
  <c r="J6" i="32"/>
  <c r="Q18" i="9" l="1"/>
  <c r="J85" i="37"/>
  <c r="Q14" i="35"/>
  <c r="O22" i="35"/>
  <c r="N22" i="35"/>
  <c r="S24" i="32"/>
  <c r="T24" i="32"/>
  <c r="U24" i="32" s="1"/>
  <c r="T25" i="32"/>
  <c r="U25" i="32" s="1"/>
  <c r="S25" i="32"/>
  <c r="O15" i="32"/>
  <c r="O19" i="32"/>
  <c r="O20" i="32"/>
  <c r="Q20" i="32"/>
  <c r="R20" i="32" s="1"/>
  <c r="T20" i="32" s="1"/>
  <c r="U20" i="32" s="1"/>
  <c r="P15" i="32"/>
  <c r="R15" i="32" s="1"/>
  <c r="P19" i="32"/>
  <c r="R19" i="32" s="1"/>
  <c r="O17" i="32"/>
  <c r="O18" i="32"/>
  <c r="P16" i="32"/>
  <c r="R16" i="32" s="1"/>
  <c r="P17" i="32"/>
  <c r="R17" i="32" s="1"/>
  <c r="P18" i="32"/>
  <c r="R18" i="32" s="1"/>
  <c r="O16" i="32"/>
  <c r="K39" i="32"/>
  <c r="J39" i="32"/>
  <c r="D39" i="32"/>
  <c r="C39" i="32"/>
  <c r="C38" i="32"/>
  <c r="D37" i="32"/>
  <c r="C37" i="32"/>
  <c r="L36" i="32"/>
  <c r="O36" i="32" s="1"/>
  <c r="C36" i="32"/>
  <c r="D35" i="32"/>
  <c r="C35" i="32"/>
  <c r="L34" i="32"/>
  <c r="O34" i="32" s="1"/>
  <c r="C34" i="32"/>
  <c r="L33" i="32"/>
  <c r="O33" i="32" s="1"/>
  <c r="D33" i="32"/>
  <c r="C33" i="32"/>
  <c r="L32" i="32"/>
  <c r="O32" i="32" s="1"/>
  <c r="D32" i="32"/>
  <c r="C32" i="32"/>
  <c r="Q31" i="32"/>
  <c r="R31" i="32" s="1"/>
  <c r="L31" i="32"/>
  <c r="O31" i="32" s="1"/>
  <c r="D31" i="32"/>
  <c r="C31" i="32"/>
  <c r="P28" i="32"/>
  <c r="Q28" i="32" s="1"/>
  <c r="K28" i="32"/>
  <c r="L28" i="32" s="1"/>
  <c r="O28" i="32" s="1"/>
  <c r="D28" i="32"/>
  <c r="C28" i="32"/>
  <c r="P27" i="32"/>
  <c r="Q27" i="32" s="1"/>
  <c r="R27" i="32" s="1"/>
  <c r="J27" i="32"/>
  <c r="L27" i="32" s="1"/>
  <c r="O27" i="32" s="1"/>
  <c r="D27" i="32"/>
  <c r="C27" i="32"/>
  <c r="P23" i="32"/>
  <c r="K23" i="32"/>
  <c r="L23" i="32" s="1"/>
  <c r="O23" i="32" s="1"/>
  <c r="D23" i="32"/>
  <c r="C23" i="32"/>
  <c r="P22" i="32"/>
  <c r="J22" i="32"/>
  <c r="L22" i="32" s="1"/>
  <c r="O22" i="32" s="1"/>
  <c r="D22" i="32"/>
  <c r="C22" i="32"/>
  <c r="L14" i="32"/>
  <c r="C14" i="32"/>
  <c r="C13" i="32"/>
  <c r="K12" i="32"/>
  <c r="L12" i="32" s="1"/>
  <c r="C12" i="32"/>
  <c r="J11" i="32"/>
  <c r="L11" i="32" s="1"/>
  <c r="C11" i="32"/>
  <c r="K10" i="32"/>
  <c r="L10" i="32" s="1"/>
  <c r="C10" i="32"/>
  <c r="J9" i="32"/>
  <c r="L9" i="32" s="1"/>
  <c r="Q9" i="32" s="1"/>
  <c r="C9" i="32"/>
  <c r="L8" i="32"/>
  <c r="D8" i="32"/>
  <c r="C8" i="32"/>
  <c r="L7" i="32"/>
  <c r="Q7" i="32" s="1"/>
  <c r="D7" i="32"/>
  <c r="C7" i="32"/>
  <c r="D6" i="32"/>
  <c r="C6" i="32"/>
  <c r="H1" i="32"/>
  <c r="D1" i="32"/>
  <c r="F1" i="32" s="1"/>
  <c r="Q7" i="4"/>
  <c r="P7" i="4"/>
  <c r="N37" i="35" l="1"/>
  <c r="N39" i="35" s="1"/>
  <c r="R37" i="35" s="1"/>
  <c r="E42" i="35" s="1"/>
  <c r="R20" i="35"/>
  <c r="E43" i="35"/>
  <c r="Q17" i="35"/>
  <c r="Q11" i="35"/>
  <c r="L3" i="35"/>
  <c r="S20" i="32"/>
  <c r="S19" i="32"/>
  <c r="T19" i="32"/>
  <c r="U19" i="32" s="1"/>
  <c r="S15" i="32"/>
  <c r="T15" i="32"/>
  <c r="U15" i="32" s="1"/>
  <c r="T17" i="32"/>
  <c r="U17" i="32" s="1"/>
  <c r="S17" i="32"/>
  <c r="T18" i="32"/>
  <c r="U18" i="32" s="1"/>
  <c r="S18" i="32"/>
  <c r="T16" i="32"/>
  <c r="U16" i="32" s="1"/>
  <c r="S16" i="32"/>
  <c r="T27" i="32"/>
  <c r="U27" i="32" s="1"/>
  <c r="L38" i="32"/>
  <c r="O38" i="32" s="1"/>
  <c r="L6" i="32"/>
  <c r="Q6" i="32" s="1"/>
  <c r="L13" i="32"/>
  <c r="Q13" i="32" s="1"/>
  <c r="L35" i="32"/>
  <c r="O35" i="32" s="1"/>
  <c r="L39" i="32"/>
  <c r="O39" i="32" s="1"/>
  <c r="D3" i="32"/>
  <c r="L37" i="32"/>
  <c r="O37" i="32" s="1"/>
  <c r="D2" i="32"/>
  <c r="Q10" i="32"/>
  <c r="P10" i="32"/>
  <c r="O10" i="32"/>
  <c r="T31" i="32"/>
  <c r="U31" i="32" s="1"/>
  <c r="S31" i="32"/>
  <c r="Q22" i="32"/>
  <c r="R22" i="32" s="1"/>
  <c r="Q8" i="32"/>
  <c r="P8" i="32"/>
  <c r="R8" i="32" s="1"/>
  <c r="O8" i="32"/>
  <c r="Q12" i="32"/>
  <c r="P12" i="32"/>
  <c r="R12" i="32" s="1"/>
  <c r="O12" i="32"/>
  <c r="O9" i="32"/>
  <c r="P9" i="32"/>
  <c r="R9" i="32" s="1"/>
  <c r="O7" i="32"/>
  <c r="P7" i="32"/>
  <c r="R7" i="32" s="1"/>
  <c r="Q11" i="32"/>
  <c r="P11" i="32"/>
  <c r="O11" i="32"/>
  <c r="S27" i="32"/>
  <c r="O14" i="32"/>
  <c r="Q35" i="32"/>
  <c r="R35" i="32" s="1"/>
  <c r="P14" i="32"/>
  <c r="Q14" i="32"/>
  <c r="Q23" i="32"/>
  <c r="R23" i="32" s="1"/>
  <c r="Q33" i="32"/>
  <c r="R33" i="32" s="1"/>
  <c r="Q38" i="32"/>
  <c r="R38" i="32" s="1"/>
  <c r="Q37" i="32"/>
  <c r="R37" i="32" s="1"/>
  <c r="R28" i="32"/>
  <c r="Q34" i="32"/>
  <c r="R34" i="32" s="1"/>
  <c r="Q36" i="32"/>
  <c r="R36" i="32" s="1"/>
  <c r="Q32" i="32"/>
  <c r="R32" i="32" s="1"/>
  <c r="Q39" i="32"/>
  <c r="R39" i="32" s="1"/>
  <c r="R10" i="32" l="1"/>
  <c r="T10" i="32" s="1"/>
  <c r="U10" i="32" s="1"/>
  <c r="O13" i="32"/>
  <c r="P6" i="32"/>
  <c r="R6" i="32" s="1"/>
  <c r="O6" i="32"/>
  <c r="P13" i="32"/>
  <c r="R13" i="32" s="1"/>
  <c r="R11" i="32"/>
  <c r="T33" i="32"/>
  <c r="U33" i="32" s="1"/>
  <c r="S33" i="32"/>
  <c r="T38" i="32"/>
  <c r="U38" i="32" s="1"/>
  <c r="S38" i="32"/>
  <c r="T39" i="32"/>
  <c r="U39" i="32" s="1"/>
  <c r="S39" i="32"/>
  <c r="T22" i="32"/>
  <c r="U22" i="32" s="1"/>
  <c r="S22" i="32"/>
  <c r="T36" i="32"/>
  <c r="U36" i="32" s="1"/>
  <c r="S36" i="32"/>
  <c r="T34" i="32"/>
  <c r="U34" i="32" s="1"/>
  <c r="S34" i="32"/>
  <c r="T7" i="32"/>
  <c r="U7" i="32" s="1"/>
  <c r="S7" i="32"/>
  <c r="N8" i="35" s="1"/>
  <c r="T37" i="32"/>
  <c r="U37" i="32" s="1"/>
  <c r="S37" i="32"/>
  <c r="T23" i="32"/>
  <c r="U23" i="32" s="1"/>
  <c r="S23" i="32"/>
  <c r="R14" i="32"/>
  <c r="T12" i="32"/>
  <c r="U12" i="32" s="1"/>
  <c r="S12" i="32"/>
  <c r="N18" i="35" s="1"/>
  <c r="T8" i="32"/>
  <c r="U8" i="32" s="1"/>
  <c r="S8" i="32"/>
  <c r="N9" i="35" s="1"/>
  <c r="T32" i="32"/>
  <c r="U32" i="32" s="1"/>
  <c r="S32" i="32"/>
  <c r="T35" i="32"/>
  <c r="U35" i="32" s="1"/>
  <c r="S35" i="32"/>
  <c r="T9" i="32"/>
  <c r="U9" i="32" s="1"/>
  <c r="S9" i="32"/>
  <c r="T28" i="32"/>
  <c r="U28" i="32" s="1"/>
  <c r="S28" i="32"/>
  <c r="T6" i="32" l="1"/>
  <c r="U6" i="32" s="1"/>
  <c r="Q6" i="37"/>
  <c r="S6" i="37"/>
  <c r="T11" i="32"/>
  <c r="U11" i="32" s="1"/>
  <c r="T6" i="37"/>
  <c r="S13" i="32"/>
  <c r="R6" i="37"/>
  <c r="T13" i="32"/>
  <c r="U13" i="32" s="1"/>
  <c r="N14" i="35"/>
  <c r="G44" i="37"/>
  <c r="G49" i="37" s="1"/>
  <c r="S10" i="32"/>
  <c r="N15" i="35" s="1"/>
  <c r="O16" i="35" s="1"/>
  <c r="S6" i="32"/>
  <c r="S11" i="32"/>
  <c r="T14" i="32"/>
  <c r="U14" i="32" s="1"/>
  <c r="S14" i="32"/>
  <c r="N12" i="35" s="1"/>
  <c r="T77" i="38" l="1"/>
  <c r="T8" i="37"/>
  <c r="N17" i="35"/>
  <c r="Q77" i="38"/>
  <c r="Q8" i="37"/>
  <c r="Q44" i="37" s="1"/>
  <c r="Q49" i="37" s="1"/>
  <c r="N7" i="35"/>
  <c r="N16" i="35"/>
  <c r="R14" i="35" s="1"/>
  <c r="S77" i="38"/>
  <c r="R77" i="38"/>
  <c r="R8" i="37"/>
  <c r="N11" i="35"/>
  <c r="S8" i="37"/>
  <c r="S44" i="37" s="1"/>
  <c r="S49" i="37" s="1"/>
  <c r="G51" i="37"/>
  <c r="G53" i="37"/>
  <c r="S51" i="37" l="1"/>
  <c r="S53" i="37"/>
  <c r="R44" i="37"/>
  <c r="R49" i="37" s="1"/>
  <c r="Q51" i="37"/>
  <c r="Q53" i="37"/>
  <c r="N19" i="35"/>
  <c r="R17" i="35" s="1"/>
  <c r="O19" i="35"/>
  <c r="T44" i="37"/>
  <c r="T49" i="37" s="1"/>
  <c r="N13" i="35"/>
  <c r="R11" i="35" s="1"/>
  <c r="K25" i="35" s="1"/>
  <c r="O13" i="35"/>
  <c r="N10" i="35"/>
  <c r="O10" i="35"/>
  <c r="G55" i="37"/>
  <c r="G57" i="37"/>
  <c r="G59" i="37" s="1"/>
  <c r="Q19" i="9"/>
  <c r="L14" i="9"/>
  <c r="K10" i="9"/>
  <c r="Q12" i="12"/>
  <c r="Q8" i="12"/>
  <c r="Q6" i="12"/>
  <c r="Q4" i="12"/>
  <c r="Q22" i="12"/>
  <c r="O4" i="12"/>
  <c r="L27" i="9" l="1"/>
  <c r="K27" i="9" s="1"/>
  <c r="L25" i="9"/>
  <c r="R7" i="35"/>
  <c r="L2" i="35"/>
  <c r="T53" i="37"/>
  <c r="T51" i="37"/>
  <c r="Q57" i="37"/>
  <c r="Q59" i="37" s="1"/>
  <c r="Q61" i="37"/>
  <c r="Q55" i="37"/>
  <c r="R53" i="37"/>
  <c r="R51" i="37"/>
  <c r="S57" i="37"/>
  <c r="S59" i="37" s="1"/>
  <c r="S55" i="37"/>
  <c r="S61" i="37"/>
  <c r="K25" i="9"/>
  <c r="G61" i="37"/>
  <c r="G65" i="37"/>
  <c r="G63" i="37"/>
  <c r="K16" i="9"/>
  <c r="L15" i="9"/>
  <c r="K14" i="9" s="1"/>
  <c r="K12" i="9"/>
  <c r="E94" i="4"/>
  <c r="S65" i="37" l="1"/>
  <c r="S63" i="37"/>
  <c r="R55" i="37"/>
  <c r="R57" i="37"/>
  <c r="R59" i="37" s="1"/>
  <c r="T55" i="37"/>
  <c r="T57" i="37"/>
  <c r="T59" i="37" s="1"/>
  <c r="K26" i="35"/>
  <c r="Q65" i="37"/>
  <c r="Q63" i="37"/>
  <c r="G71" i="37"/>
  <c r="G73" i="37" s="1"/>
  <c r="P28" i="6"/>
  <c r="P26" i="6"/>
  <c r="P24" i="6"/>
  <c r="P22" i="6"/>
  <c r="P29" i="6"/>
  <c r="P27" i="6"/>
  <c r="P25" i="6"/>
  <c r="P23" i="6"/>
  <c r="P21" i="6"/>
  <c r="P20" i="6"/>
  <c r="P19" i="6"/>
  <c r="Q81" i="37" l="1"/>
  <c r="Q71" i="37"/>
  <c r="Q73" i="37" s="1"/>
  <c r="T61" i="37"/>
  <c r="R65" i="37"/>
  <c r="R63" i="37"/>
  <c r="S81" i="37"/>
  <c r="S71" i="37"/>
  <c r="S73" i="37" s="1"/>
  <c r="S83" i="37" s="1"/>
  <c r="T63" i="37"/>
  <c r="T65" i="37"/>
  <c r="R61" i="37"/>
  <c r="G75" i="37"/>
  <c r="G85" i="37"/>
  <c r="Q19" i="6"/>
  <c r="R81" i="37" l="1"/>
  <c r="R71" i="37"/>
  <c r="R73" i="37" s="1"/>
  <c r="R83" i="37" s="1"/>
  <c r="Q83" i="37"/>
  <c r="T81" i="37"/>
  <c r="T71" i="37"/>
  <c r="T73" i="37" s="1"/>
  <c r="T83" i="37" s="1"/>
  <c r="T51" i="5"/>
  <c r="T52" i="5"/>
  <c r="T53" i="5"/>
  <c r="T54" i="5"/>
  <c r="Q85" i="37" l="1"/>
  <c r="Q75" i="37"/>
  <c r="H115" i="4"/>
  <c r="H113" i="4"/>
  <c r="H96" i="4"/>
  <c r="H98" i="4" s="1"/>
  <c r="H114" i="4"/>
  <c r="E115" i="4"/>
  <c r="E114" i="4"/>
  <c r="E113" i="4"/>
  <c r="E112" i="4"/>
  <c r="E97" i="4"/>
  <c r="E96" i="4"/>
  <c r="E95" i="4"/>
  <c r="H67" i="4"/>
  <c r="E66" i="4"/>
  <c r="J55" i="13"/>
  <c r="J53" i="13"/>
  <c r="H116" i="4" l="1"/>
  <c r="I35" i="13"/>
  <c r="Q20" i="6"/>
  <c r="Q21" i="6"/>
  <c r="Q22" i="6"/>
  <c r="Q23" i="6"/>
  <c r="Q24" i="6"/>
  <c r="Q25" i="6"/>
  <c r="Q26" i="6"/>
  <c r="Q27" i="6"/>
  <c r="Q28" i="6"/>
  <c r="Q29" i="6"/>
  <c r="P17" i="6"/>
  <c r="Q17" i="6" s="1"/>
  <c r="P16" i="6"/>
  <c r="Q16" i="6" s="1"/>
  <c r="C24" i="8"/>
  <c r="L8" i="8"/>
  <c r="U13" i="8"/>
  <c r="R16" i="6" l="1"/>
  <c r="R17" i="6"/>
  <c r="R29" i="6"/>
  <c r="R19" i="6"/>
  <c r="S19" i="6" s="1"/>
  <c r="R27" i="6"/>
  <c r="R23" i="6"/>
  <c r="R22" i="6"/>
  <c r="R21" i="6"/>
  <c r="R26" i="6"/>
  <c r="R25" i="6"/>
  <c r="R28" i="6"/>
  <c r="R24" i="6"/>
  <c r="R20" i="6"/>
  <c r="S17" i="6" l="1"/>
  <c r="S16" i="6"/>
  <c r="S28" i="6"/>
  <c r="S26" i="6"/>
  <c r="S24" i="6"/>
  <c r="S22" i="6"/>
  <c r="S27" i="6"/>
  <c r="S25" i="6"/>
  <c r="S23" i="6"/>
  <c r="S21" i="6"/>
  <c r="S29" i="6"/>
  <c r="S20" i="6"/>
  <c r="M15" i="4" l="1"/>
  <c r="J52" i="4"/>
  <c r="J78" i="4"/>
  <c r="J76" i="4"/>
  <c r="G44" i="13"/>
  <c r="B74" i="13"/>
  <c r="B75" i="13"/>
  <c r="B76" i="13"/>
  <c r="B77" i="13"/>
  <c r="B78" i="13"/>
  <c r="B65" i="13"/>
  <c r="B66" i="13"/>
  <c r="B67" i="13"/>
  <c r="B68" i="13"/>
  <c r="G45" i="13"/>
  <c r="D14" i="13"/>
  <c r="M14" i="13"/>
  <c r="N14" i="13"/>
  <c r="D15" i="13"/>
  <c r="M15" i="13"/>
  <c r="N15" i="13"/>
  <c r="D16" i="13"/>
  <c r="M16" i="13"/>
  <c r="N16" i="13"/>
  <c r="D17" i="13"/>
  <c r="M17" i="13"/>
  <c r="N17" i="13"/>
  <c r="D18" i="13"/>
  <c r="M18" i="13"/>
  <c r="N18" i="13"/>
  <c r="D19" i="13"/>
  <c r="M19" i="13"/>
  <c r="N19" i="13"/>
  <c r="D20" i="13"/>
  <c r="M20" i="13"/>
  <c r="N20" i="13"/>
  <c r="D21" i="13"/>
  <c r="M21" i="13"/>
  <c r="N21" i="13"/>
  <c r="D22" i="13"/>
  <c r="M22" i="13"/>
  <c r="N22" i="13"/>
  <c r="O22" i="13"/>
  <c r="G78" i="13" s="1"/>
  <c r="C10" i="13"/>
  <c r="D10" i="13"/>
  <c r="M10" i="13"/>
  <c r="N10" i="13"/>
  <c r="O10" i="13"/>
  <c r="C11" i="13"/>
  <c r="D11" i="13"/>
  <c r="M11" i="13"/>
  <c r="N11" i="13"/>
  <c r="O11" i="13"/>
  <c r="C7" i="13"/>
  <c r="M7" i="13"/>
  <c r="N7" i="13"/>
  <c r="C8" i="13"/>
  <c r="D8" i="13"/>
  <c r="M8" i="13"/>
  <c r="N8" i="13"/>
  <c r="G2" i="13"/>
  <c r="G3" i="13"/>
  <c r="G46" i="13" l="1"/>
  <c r="P16" i="13"/>
  <c r="Q16" i="13" s="1"/>
  <c r="P17" i="13"/>
  <c r="Q17" i="13" s="1"/>
  <c r="P7" i="13"/>
  <c r="P21" i="13"/>
  <c r="Q21" i="13" s="1"/>
  <c r="P20" i="13"/>
  <c r="Q20" i="13" s="1"/>
  <c r="P22" i="13"/>
  <c r="Q22" i="13" s="1"/>
  <c r="P14" i="13"/>
  <c r="Q14" i="13" s="1"/>
  <c r="P8" i="13"/>
  <c r="Q8" i="13" s="1"/>
  <c r="P18" i="13"/>
  <c r="Q18" i="13" s="1"/>
  <c r="P11" i="13"/>
  <c r="Q11" i="13" s="1"/>
  <c r="P15" i="13"/>
  <c r="Q15" i="13" s="1"/>
  <c r="P10" i="13"/>
  <c r="Q10" i="13" s="1"/>
  <c r="P19" i="13"/>
  <c r="Q19" i="13" s="1"/>
  <c r="Q7" i="13" l="1"/>
  <c r="Z52" i="5"/>
  <c r="Z53" i="5"/>
  <c r="X52" i="5"/>
  <c r="X53" i="5"/>
  <c r="V52" i="5"/>
  <c r="V53" i="5"/>
  <c r="Z51" i="5"/>
  <c r="X51" i="5"/>
  <c r="V51" i="5"/>
  <c r="AB57" i="5"/>
  <c r="Z23" i="5"/>
  <c r="Z22" i="5"/>
  <c r="X23" i="5"/>
  <c r="X24" i="5"/>
  <c r="X25" i="5"/>
  <c r="X22" i="5"/>
  <c r="V23" i="5"/>
  <c r="V24" i="5"/>
  <c r="V22" i="5"/>
  <c r="T23" i="5"/>
  <c r="T24" i="5"/>
  <c r="T25" i="5"/>
  <c r="T22" i="5"/>
  <c r="Z37" i="5"/>
  <c r="Z38" i="5"/>
  <c r="Z36" i="5"/>
  <c r="X37" i="5"/>
  <c r="X38" i="5"/>
  <c r="X36" i="5"/>
  <c r="V37" i="5"/>
  <c r="V38" i="5"/>
  <c r="V36" i="5"/>
  <c r="T37" i="5"/>
  <c r="T38" i="5"/>
  <c r="T39" i="5"/>
  <c r="T36" i="5"/>
  <c r="AB42" i="5"/>
  <c r="AB28" i="5" l="1"/>
  <c r="AB10" i="5"/>
  <c r="Y22" i="5" s="1"/>
  <c r="AB11" i="5"/>
  <c r="AB12" i="5"/>
  <c r="Y24" i="5" s="1"/>
  <c r="X4" i="5"/>
  <c r="X3" i="5"/>
  <c r="W15" i="5"/>
  <c r="AB15" i="5" s="1"/>
  <c r="AA23" i="5" s="1"/>
  <c r="X15" i="5"/>
  <c r="X5" i="5"/>
  <c r="V13" i="5"/>
  <c r="V14" i="5"/>
  <c r="V15" i="5"/>
  <c r="V3" i="5"/>
  <c r="X11" i="5"/>
  <c r="W5" i="5"/>
  <c r="AB5" i="5" s="1"/>
  <c r="U24" i="5" s="1"/>
  <c r="W6" i="5"/>
  <c r="AB6" i="5" s="1"/>
  <c r="U25" i="5" s="1"/>
  <c r="X7" i="5"/>
  <c r="X10" i="5"/>
  <c r="X12" i="5"/>
  <c r="W9" i="5"/>
  <c r="X8" i="5"/>
  <c r="W13" i="5"/>
  <c r="AB13" i="5" s="1"/>
  <c r="Y25" i="5" s="1"/>
  <c r="W14" i="5"/>
  <c r="AB14" i="5" s="1"/>
  <c r="AA22" i="5" s="1"/>
  <c r="W3" i="5"/>
  <c r="AB3" i="5" s="1"/>
  <c r="U22" i="5" s="1"/>
  <c r="Q12" i="5"/>
  <c r="Q13" i="5"/>
  <c r="Q14" i="5"/>
  <c r="Q15" i="5"/>
  <c r="R12" i="5"/>
  <c r="S12" i="5"/>
  <c r="R13" i="5"/>
  <c r="S13" i="5" s="1"/>
  <c r="R14" i="5"/>
  <c r="S14" i="5" s="1"/>
  <c r="R15" i="5"/>
  <c r="S15" i="5" s="1"/>
  <c r="R11" i="5"/>
  <c r="S11" i="5" s="1"/>
  <c r="Q11" i="5"/>
  <c r="R10" i="5"/>
  <c r="S10" i="5" s="1"/>
  <c r="Q10" i="5"/>
  <c r="R9" i="5"/>
  <c r="S9" i="5" s="1"/>
  <c r="Q9" i="5"/>
  <c r="R8" i="5"/>
  <c r="S8" i="5" s="1"/>
  <c r="Q8" i="5"/>
  <c r="Q7" i="5"/>
  <c r="R7" i="5"/>
  <c r="S7" i="5"/>
  <c r="Q6" i="5"/>
  <c r="R6" i="5"/>
  <c r="S6" i="5"/>
  <c r="Q5" i="5"/>
  <c r="R5" i="5"/>
  <c r="S5" i="5" s="1"/>
  <c r="S4" i="5"/>
  <c r="Q4" i="5"/>
  <c r="AB8" i="5"/>
  <c r="W23" i="5" s="1"/>
  <c r="AB7" i="5"/>
  <c r="W22" i="5" s="1"/>
  <c r="AB4" i="5"/>
  <c r="S3" i="5"/>
  <c r="R3" i="5"/>
  <c r="Q3" i="5"/>
  <c r="D22" i="4"/>
  <c r="D21" i="4"/>
  <c r="D38" i="32" s="1"/>
  <c r="D20" i="4"/>
  <c r="D19" i="4"/>
  <c r="D36" i="32" s="1"/>
  <c r="D18" i="4"/>
  <c r="D17" i="4"/>
  <c r="D34" i="32" s="1"/>
  <c r="D16" i="4"/>
  <c r="D15" i="4"/>
  <c r="D14" i="4"/>
  <c r="D11" i="4"/>
  <c r="D10" i="4"/>
  <c r="D8" i="4"/>
  <c r="C11" i="4"/>
  <c r="C10" i="4"/>
  <c r="C8" i="4"/>
  <c r="C7" i="4"/>
  <c r="D29" i="6"/>
  <c r="D27" i="6"/>
  <c r="D25" i="6"/>
  <c r="D23" i="6"/>
  <c r="D22" i="6"/>
  <c r="D21" i="6"/>
  <c r="D20" i="6"/>
  <c r="D19" i="6"/>
  <c r="D17" i="6"/>
  <c r="D16" i="6"/>
  <c r="D8" i="6"/>
  <c r="D7" i="6"/>
  <c r="D6" i="6"/>
  <c r="G3" i="4"/>
  <c r="G2" i="4"/>
  <c r="O22" i="4"/>
  <c r="G109" i="4" s="1"/>
  <c r="O11" i="4"/>
  <c r="G62" i="4" s="1"/>
  <c r="O10" i="4"/>
  <c r="N15" i="4"/>
  <c r="M16" i="4"/>
  <c r="N16" i="4"/>
  <c r="M17" i="4"/>
  <c r="N17" i="4"/>
  <c r="M18" i="4"/>
  <c r="N18" i="4"/>
  <c r="M19" i="4"/>
  <c r="N19" i="4"/>
  <c r="M20" i="4"/>
  <c r="N20" i="4"/>
  <c r="M21" i="4"/>
  <c r="N21" i="4"/>
  <c r="M22" i="4"/>
  <c r="N22" i="4"/>
  <c r="N14" i="4"/>
  <c r="M14" i="4"/>
  <c r="N11" i="4"/>
  <c r="M11" i="4"/>
  <c r="N10" i="4"/>
  <c r="M10" i="4"/>
  <c r="N8" i="4"/>
  <c r="M8" i="4"/>
  <c r="M7" i="4"/>
  <c r="N7" i="4"/>
  <c r="G50" i="12"/>
  <c r="F50" i="12"/>
  <c r="C10" i="6" s="1"/>
  <c r="G49" i="12"/>
  <c r="F49" i="12"/>
  <c r="C14" i="6" s="1"/>
  <c r="G48" i="12"/>
  <c r="F48" i="12"/>
  <c r="C13" i="6" s="1"/>
  <c r="G47" i="12"/>
  <c r="F47" i="12"/>
  <c r="C12" i="6" s="1"/>
  <c r="G46" i="12"/>
  <c r="F46" i="12"/>
  <c r="O45" i="12"/>
  <c r="G44" i="12"/>
  <c r="F44" i="12"/>
  <c r="G45" i="12" s="1"/>
  <c r="G43" i="12"/>
  <c r="F43" i="12"/>
  <c r="O42" i="12"/>
  <c r="G42" i="12"/>
  <c r="O41" i="12"/>
  <c r="G40" i="12"/>
  <c r="F40" i="12"/>
  <c r="G41" i="12" s="1"/>
  <c r="G39" i="12"/>
  <c r="F39" i="12"/>
  <c r="O38" i="12"/>
  <c r="G38" i="12"/>
  <c r="O37" i="12"/>
  <c r="G36" i="12"/>
  <c r="F36" i="12"/>
  <c r="G37" i="12" s="1"/>
  <c r="G35" i="12"/>
  <c r="F35" i="12"/>
  <c r="O34" i="12"/>
  <c r="G34" i="12"/>
  <c r="O33" i="12"/>
  <c r="G32" i="12"/>
  <c r="F32" i="12"/>
  <c r="C23" i="6" s="1"/>
  <c r="O31" i="12"/>
  <c r="G30" i="12"/>
  <c r="F30" i="12"/>
  <c r="C20" i="6" s="1"/>
  <c r="O29" i="12"/>
  <c r="F28" i="12"/>
  <c r="G29" i="12" s="1"/>
  <c r="G26" i="12"/>
  <c r="F26" i="12"/>
  <c r="C9" i="6" s="1"/>
  <c r="G25" i="12"/>
  <c r="F25" i="12"/>
  <c r="G24" i="12"/>
  <c r="F24" i="12"/>
  <c r="G23" i="12"/>
  <c r="F23" i="12"/>
  <c r="C11" i="6" s="1"/>
  <c r="G22" i="12"/>
  <c r="F22" i="12"/>
  <c r="O21" i="12"/>
  <c r="O20" i="12"/>
  <c r="G20" i="12"/>
  <c r="F20" i="12"/>
  <c r="G21" i="12" s="1"/>
  <c r="G19" i="12"/>
  <c r="F19" i="12"/>
  <c r="C8" i="6" s="1"/>
  <c r="O18" i="12"/>
  <c r="G18" i="12"/>
  <c r="O17" i="12"/>
  <c r="O16" i="12"/>
  <c r="G16" i="12"/>
  <c r="F16" i="12"/>
  <c r="G17" i="12" s="1"/>
  <c r="G15" i="12"/>
  <c r="F15" i="12"/>
  <c r="C7" i="6" s="1"/>
  <c r="O14" i="12"/>
  <c r="G14" i="12"/>
  <c r="O13" i="12"/>
  <c r="O12" i="12"/>
  <c r="G12" i="12"/>
  <c r="F12" i="12"/>
  <c r="C25" i="6" s="1"/>
  <c r="G11" i="12"/>
  <c r="F11" i="12"/>
  <c r="C6" i="6" s="1"/>
  <c r="O10" i="12"/>
  <c r="G10" i="12"/>
  <c r="O9" i="12"/>
  <c r="O8" i="12"/>
  <c r="G8" i="12"/>
  <c r="F8" i="12"/>
  <c r="C21" i="6" s="1"/>
  <c r="O7" i="12"/>
  <c r="O6" i="12"/>
  <c r="G6" i="12"/>
  <c r="F6" i="12"/>
  <c r="G7" i="12" s="1"/>
  <c r="O5" i="12"/>
  <c r="F4" i="12"/>
  <c r="C16" i="6" s="1"/>
  <c r="AI94" i="11"/>
  <c r="AI92" i="11"/>
  <c r="AI90" i="11"/>
  <c r="AI88" i="11"/>
  <c r="O35" i="12" s="1"/>
  <c r="AI80" i="11"/>
  <c r="O22" i="12" s="1"/>
  <c r="AI78" i="11"/>
  <c r="O19" i="12" s="1"/>
  <c r="AI76" i="11"/>
  <c r="O15" i="12" s="1"/>
  <c r="AI74" i="11"/>
  <c r="O11" i="12" s="1"/>
  <c r="V56" i="11"/>
  <c r="V55" i="11"/>
  <c r="V54" i="11"/>
  <c r="V53" i="11"/>
  <c r="V52" i="11"/>
  <c r="V51" i="11"/>
  <c r="V50" i="11"/>
  <c r="V49" i="11"/>
  <c r="V28" i="11"/>
  <c r="V26" i="11"/>
  <c r="V20" i="11"/>
  <c r="V16" i="11"/>
  <c r="M8" i="11"/>
  <c r="I2" i="13" s="1"/>
  <c r="I7" i="11"/>
  <c r="P6" i="11"/>
  <c r="I6" i="11"/>
  <c r="P5" i="11"/>
  <c r="I13" i="11" s="1"/>
  <c r="J34" i="10"/>
  <c r="A31" i="10"/>
  <c r="J30" i="10"/>
  <c r="J31" i="10"/>
  <c r="A30" i="10"/>
  <c r="A29" i="10"/>
  <c r="J28" i="10"/>
  <c r="J29" i="10"/>
  <c r="A28" i="10"/>
  <c r="A27" i="10"/>
  <c r="J26" i="10"/>
  <c r="J27" i="10"/>
  <c r="A26" i="10"/>
  <c r="A25" i="10"/>
  <c r="J24" i="10"/>
  <c r="J25" i="10"/>
  <c r="A24" i="10"/>
  <c r="J6" i="10"/>
  <c r="J5" i="10"/>
  <c r="J4" i="10"/>
  <c r="O16" i="5"/>
  <c r="C28" i="6"/>
  <c r="C26" i="6"/>
  <c r="C24" i="6"/>
  <c r="C22" i="6"/>
  <c r="O17" i="13" l="1"/>
  <c r="O18" i="13"/>
  <c r="O19" i="13"/>
  <c r="O20" i="13"/>
  <c r="G68" i="13" s="1"/>
  <c r="O21" i="13"/>
  <c r="O14" i="13"/>
  <c r="G65" i="13" s="1"/>
  <c r="O15" i="13"/>
  <c r="G74" i="13" s="1"/>
  <c r="O16" i="13"/>
  <c r="G66" i="13" s="1"/>
  <c r="X13" i="5"/>
  <c r="G61" i="4"/>
  <c r="H1" i="6"/>
  <c r="O19" i="4"/>
  <c r="G107" i="4" s="1"/>
  <c r="O18" i="4"/>
  <c r="G90" i="4" s="1"/>
  <c r="O17" i="4"/>
  <c r="G106" i="4" s="1"/>
  <c r="O16" i="4"/>
  <c r="G89" i="4" s="1"/>
  <c r="O15" i="4"/>
  <c r="G105" i="4" s="1"/>
  <c r="P10" i="4"/>
  <c r="G33" i="12"/>
  <c r="C27" i="6"/>
  <c r="G31" i="12"/>
  <c r="I11" i="11"/>
  <c r="J18" i="11" s="1"/>
  <c r="C17" i="6"/>
  <c r="I12" i="11"/>
  <c r="O14" i="4"/>
  <c r="G88" i="4" s="1"/>
  <c r="G75" i="13"/>
  <c r="G67" i="13"/>
  <c r="O21" i="4"/>
  <c r="G108" i="4" s="1"/>
  <c r="I2" i="4"/>
  <c r="G76" i="13"/>
  <c r="O20" i="4"/>
  <c r="G77" i="13"/>
  <c r="G9" i="12"/>
  <c r="C19" i="6"/>
  <c r="C29" i="6"/>
  <c r="G5" i="12"/>
  <c r="G13" i="12"/>
  <c r="X6" i="5"/>
  <c r="P8" i="4"/>
  <c r="AH4" i="5"/>
  <c r="U23" i="5"/>
  <c r="U28" i="5" s="1"/>
  <c r="AH6" i="5"/>
  <c r="Y23" i="5"/>
  <c r="Y28" i="5" s="1"/>
  <c r="P20" i="4"/>
  <c r="P17" i="4"/>
  <c r="Q17" i="4" s="1"/>
  <c r="P16" i="4"/>
  <c r="Q16" i="4" s="1"/>
  <c r="P19" i="4"/>
  <c r="Q19" i="4" s="1"/>
  <c r="P15" i="4"/>
  <c r="I116" i="4" s="1"/>
  <c r="D28" i="6"/>
  <c r="P22" i="4"/>
  <c r="Q22" i="4" s="1"/>
  <c r="P21" i="4"/>
  <c r="D24" i="6"/>
  <c r="D26" i="6"/>
  <c r="P14" i="4"/>
  <c r="P18" i="4"/>
  <c r="Q18" i="4" s="1"/>
  <c r="AH15" i="5"/>
  <c r="AH14" i="5"/>
  <c r="AH11" i="5"/>
  <c r="AH12" i="5"/>
  <c r="AH8" i="5"/>
  <c r="AH10" i="5"/>
  <c r="AH9" i="5"/>
  <c r="AH7" i="5"/>
  <c r="AH5" i="5"/>
  <c r="AH3" i="5"/>
  <c r="X14" i="5"/>
  <c r="P11" i="4"/>
  <c r="Q11" i="4" s="1"/>
  <c r="AB9" i="5"/>
  <c r="X9" i="5"/>
  <c r="Q14" i="4" l="1"/>
  <c r="I94" i="4"/>
  <c r="I95" i="4"/>
  <c r="I96" i="4"/>
  <c r="I97" i="4"/>
  <c r="I98" i="4"/>
  <c r="Q21" i="4"/>
  <c r="I115" i="4"/>
  <c r="I113" i="4"/>
  <c r="I114" i="4"/>
  <c r="I112" i="4"/>
  <c r="Q10" i="4"/>
  <c r="I65" i="4"/>
  <c r="I67" i="4"/>
  <c r="I66" i="4"/>
  <c r="Q20" i="4"/>
  <c r="G91" i="4"/>
  <c r="F1" i="13"/>
  <c r="K20" i="11"/>
  <c r="K18" i="11"/>
  <c r="F1" i="4"/>
  <c r="D1" i="13"/>
  <c r="J20" i="11"/>
  <c r="D1" i="4"/>
  <c r="Q15" i="4"/>
  <c r="Q8" i="4"/>
  <c r="AH13" i="5"/>
  <c r="AA51" i="5" s="1"/>
  <c r="W24" i="5"/>
  <c r="W28" i="5" s="1"/>
  <c r="U36" i="5"/>
  <c r="U51" i="5"/>
  <c r="U38" i="5"/>
  <c r="U53" i="5"/>
  <c r="W36" i="5"/>
  <c r="W51" i="5"/>
  <c r="W38" i="5"/>
  <c r="W53" i="5"/>
  <c r="Y36" i="5"/>
  <c r="Y51" i="5"/>
  <c r="W37" i="5"/>
  <c r="W52" i="5"/>
  <c r="Y38" i="5"/>
  <c r="Y53" i="5"/>
  <c r="Y37" i="5"/>
  <c r="Y52" i="5"/>
  <c r="AA37" i="5"/>
  <c r="AA52" i="5"/>
  <c r="AA38" i="5"/>
  <c r="AA53" i="5"/>
  <c r="U39" i="5"/>
  <c r="U54" i="5"/>
  <c r="U37" i="5"/>
  <c r="U52" i="5"/>
  <c r="AA28" i="5"/>
  <c r="D3" i="4" l="1"/>
  <c r="D2" i="4"/>
  <c r="O28" i="12"/>
  <c r="D2" i="13"/>
  <c r="D3" i="13"/>
  <c r="U42" i="5"/>
  <c r="Y57" i="5"/>
  <c r="AA36" i="5"/>
  <c r="AA42" i="5" s="1"/>
  <c r="Y42" i="5"/>
  <c r="W57" i="5"/>
  <c r="W42" i="5"/>
  <c r="AC42" i="5" s="1"/>
  <c r="AB43" i="5" s="1"/>
  <c r="U57" i="5"/>
  <c r="AA57" i="5"/>
  <c r="AC28" i="5"/>
  <c r="P4" i="12" l="1"/>
  <c r="P28" i="12"/>
  <c r="Q28" i="12"/>
  <c r="AB29" i="5"/>
  <c r="AB30" i="5" s="1"/>
  <c r="AB44" i="5"/>
  <c r="AC57" i="5"/>
  <c r="AB58" i="5" s="1"/>
  <c r="AB59" i="5" s="1"/>
  <c r="K17" i="6" l="1"/>
  <c r="L17" i="6" s="1"/>
  <c r="O17" i="6" s="1"/>
  <c r="D1" i="6"/>
  <c r="J16" i="6"/>
  <c r="L16" i="6" s="1"/>
  <c r="K8" i="13"/>
  <c r="L8" i="13" s="1"/>
  <c r="K8" i="4"/>
  <c r="L8" i="4" s="1"/>
  <c r="R8" i="4" s="1"/>
  <c r="Q48" i="12"/>
  <c r="K13" i="6" s="1"/>
  <c r="Q47" i="12"/>
  <c r="Q49" i="12"/>
  <c r="K14" i="6" s="1"/>
  <c r="Q50" i="12"/>
  <c r="P49" i="12"/>
  <c r="P47" i="12"/>
  <c r="P30" i="12"/>
  <c r="P50" i="12"/>
  <c r="P48" i="12"/>
  <c r="Q24" i="12"/>
  <c r="Q25" i="12"/>
  <c r="Q23" i="12"/>
  <c r="J7" i="13"/>
  <c r="L7" i="13" s="1"/>
  <c r="R7" i="13" s="1"/>
  <c r="J7" i="4"/>
  <c r="L7" i="4" s="1"/>
  <c r="Q26" i="12"/>
  <c r="P23" i="12"/>
  <c r="P16" i="12"/>
  <c r="P11" i="12"/>
  <c r="P26" i="12"/>
  <c r="P25" i="12"/>
  <c r="P24" i="12"/>
  <c r="P6" i="12"/>
  <c r="AA33" i="38" l="1"/>
  <c r="R7" i="4"/>
  <c r="T17" i="6"/>
  <c r="U17" i="6" s="1"/>
  <c r="J19" i="6"/>
  <c r="L19" i="6" s="1"/>
  <c r="O16" i="6"/>
  <c r="T16" i="6"/>
  <c r="U16" i="6" s="1"/>
  <c r="O19" i="6"/>
  <c r="T19" i="6"/>
  <c r="U19" i="6" s="1"/>
  <c r="E36" i="8"/>
  <c r="P11" i="8"/>
  <c r="P15" i="8" s="1"/>
  <c r="P17" i="8" s="1"/>
  <c r="D10" i="8" s="1"/>
  <c r="L10" i="8" s="1"/>
  <c r="S8" i="4"/>
  <c r="T8" i="4" s="1"/>
  <c r="U8" i="4" s="1"/>
  <c r="S7" i="13"/>
  <c r="T7" i="13" s="1"/>
  <c r="U7" i="13" s="1"/>
  <c r="U11" i="8"/>
  <c r="U15" i="8" s="1"/>
  <c r="U17" i="8" s="1"/>
  <c r="J9" i="6"/>
  <c r="L9" i="6" s="1"/>
  <c r="J11" i="6"/>
  <c r="L11" i="6" s="1"/>
  <c r="R11" i="8"/>
  <c r="R15" i="8" s="1"/>
  <c r="R17" i="8" s="1"/>
  <c r="J14" i="6"/>
  <c r="L14" i="6" s="1"/>
  <c r="T11" i="8"/>
  <c r="T15" i="8" s="1"/>
  <c r="T17" i="8" s="1"/>
  <c r="J13" i="6"/>
  <c r="L13" i="6" s="1"/>
  <c r="S11" i="8"/>
  <c r="S15" i="8" s="1"/>
  <c r="S17" i="8" s="1"/>
  <c r="K10" i="6"/>
  <c r="L10" i="6" s="1"/>
  <c r="K12" i="6"/>
  <c r="L12" i="6" s="1"/>
  <c r="R8" i="13"/>
  <c r="S8" i="13" s="1"/>
  <c r="T8" i="13" s="1"/>
  <c r="U8" i="13" s="1"/>
  <c r="V8" i="13" s="1"/>
  <c r="F1" i="6"/>
  <c r="D3" i="6"/>
  <c r="D2" i="6"/>
  <c r="Q16" i="12"/>
  <c r="J27" i="6" s="1"/>
  <c r="P19" i="12"/>
  <c r="P40" i="12"/>
  <c r="P44" i="12"/>
  <c r="P32" i="12"/>
  <c r="P36" i="12"/>
  <c r="Q30" i="12"/>
  <c r="P8" i="12"/>
  <c r="P20" i="12"/>
  <c r="P12" i="12"/>
  <c r="J10" i="13"/>
  <c r="L10" i="13" s="1"/>
  <c r="J10" i="4"/>
  <c r="L10" i="4" s="1"/>
  <c r="S7" i="4"/>
  <c r="T7" i="4" s="1"/>
  <c r="U7" i="4" s="1"/>
  <c r="V7" i="4" s="1"/>
  <c r="AA37" i="38" l="1"/>
  <c r="AA39" i="38" s="1"/>
  <c r="AA12" i="38"/>
  <c r="AA16" i="38" s="1"/>
  <c r="V7" i="13"/>
  <c r="Q11" i="12"/>
  <c r="Q10" i="12"/>
  <c r="K20" i="6"/>
  <c r="L20" i="6" s="1"/>
  <c r="O20" i="6" s="1"/>
  <c r="J21" i="6"/>
  <c r="L21" i="6" s="1"/>
  <c r="C36" i="8"/>
  <c r="D24" i="8"/>
  <c r="E61" i="4"/>
  <c r="V8" i="4"/>
  <c r="W7" i="4" s="1"/>
  <c r="Q13" i="6"/>
  <c r="P13" i="6"/>
  <c r="O13" i="6"/>
  <c r="Q14" i="6"/>
  <c r="P14" i="6"/>
  <c r="O14" i="6"/>
  <c r="O10" i="6"/>
  <c r="P10" i="6"/>
  <c r="Q10" i="6"/>
  <c r="O11" i="6"/>
  <c r="P11" i="6"/>
  <c r="Q11" i="6"/>
  <c r="O12" i="6"/>
  <c r="Q12" i="6"/>
  <c r="P12" i="6"/>
  <c r="O9" i="6"/>
  <c r="P9" i="6"/>
  <c r="Q9" i="6"/>
  <c r="E6" i="8"/>
  <c r="X7" i="4"/>
  <c r="R10" i="13"/>
  <c r="S10" i="13" s="1"/>
  <c r="T10" i="13" s="1"/>
  <c r="U10" i="13" s="1"/>
  <c r="V10" i="13" s="1"/>
  <c r="C44" i="13"/>
  <c r="H44" i="13" s="1"/>
  <c r="R10" i="4"/>
  <c r="S10" i="4" s="1"/>
  <c r="T10" i="4" s="1"/>
  <c r="U10" i="4" s="1"/>
  <c r="Q20" i="12"/>
  <c r="P22" i="12"/>
  <c r="K11" i="4"/>
  <c r="L11" i="4" s="1"/>
  <c r="E62" i="4" s="1"/>
  <c r="K11" i="13"/>
  <c r="L11" i="13" s="1"/>
  <c r="AB33" i="38" s="1"/>
  <c r="P43" i="12"/>
  <c r="Q40" i="12"/>
  <c r="K27" i="6" s="1"/>
  <c r="L27" i="6" s="1"/>
  <c r="Q9" i="12"/>
  <c r="P15" i="12"/>
  <c r="J25" i="6"/>
  <c r="Q36" i="12"/>
  <c r="K25" i="6" s="1"/>
  <c r="P39" i="12"/>
  <c r="P35" i="12"/>
  <c r="Q32" i="12"/>
  <c r="K23" i="6" s="1"/>
  <c r="L23" i="6" s="1"/>
  <c r="Q44" i="12"/>
  <c r="K29" i="6" s="1"/>
  <c r="P46" i="12"/>
  <c r="W7" i="13"/>
  <c r="Q19" i="12"/>
  <c r="Q18" i="12"/>
  <c r="Q17" i="12"/>
  <c r="AB37" i="38" l="1"/>
  <c r="AB39" i="38" s="1"/>
  <c r="AI12" i="38"/>
  <c r="AI16" i="38" s="1"/>
  <c r="D32" i="38"/>
  <c r="C113" i="38"/>
  <c r="C119" i="38" s="1"/>
  <c r="C122" i="38" s="1"/>
  <c r="C95" i="38"/>
  <c r="C101" i="38" s="1"/>
  <c r="C104" i="38" s="1"/>
  <c r="C77" i="38"/>
  <c r="O12" i="38"/>
  <c r="AA18" i="38"/>
  <c r="AA41" i="38"/>
  <c r="T20" i="6"/>
  <c r="U20" i="6" s="1"/>
  <c r="R13" i="6"/>
  <c r="R6" i="42" s="1"/>
  <c r="O21" i="6"/>
  <c r="T21" i="6"/>
  <c r="U21" i="6" s="1"/>
  <c r="O23" i="6"/>
  <c r="T23" i="6"/>
  <c r="U23" i="6" s="1"/>
  <c r="O27" i="6"/>
  <c r="T27" i="6"/>
  <c r="U27" i="6" s="1"/>
  <c r="V10" i="4"/>
  <c r="F61" i="4"/>
  <c r="X8" i="4"/>
  <c r="L25" i="6"/>
  <c r="R14" i="6"/>
  <c r="Q11" i="8"/>
  <c r="Q15" i="8" s="1"/>
  <c r="R11" i="6"/>
  <c r="I30" i="8"/>
  <c r="J6" i="6"/>
  <c r="J22" i="6"/>
  <c r="L22" i="6" s="1"/>
  <c r="G30" i="8"/>
  <c r="J28" i="6"/>
  <c r="R12" i="6"/>
  <c r="J29" i="6"/>
  <c r="L29" i="6" s="1"/>
  <c r="Q21" i="12"/>
  <c r="R10" i="6"/>
  <c r="E30" i="8"/>
  <c r="R9" i="6"/>
  <c r="S6" i="42" s="1"/>
  <c r="J15" i="13"/>
  <c r="J15" i="4"/>
  <c r="L15" i="4" s="1"/>
  <c r="E105" i="4" s="1"/>
  <c r="Q15" i="12"/>
  <c r="Q14" i="12"/>
  <c r="Q13" i="12"/>
  <c r="J14" i="13"/>
  <c r="J14" i="4"/>
  <c r="Q43" i="12"/>
  <c r="Q42" i="12"/>
  <c r="Q41" i="12"/>
  <c r="R11" i="4"/>
  <c r="S11" i="4" s="1"/>
  <c r="T11" i="4" s="1"/>
  <c r="U11" i="4" s="1"/>
  <c r="Q38" i="12"/>
  <c r="Q37" i="12"/>
  <c r="Q39" i="12"/>
  <c r="Q34" i="12"/>
  <c r="Q33" i="12"/>
  <c r="Q35" i="12"/>
  <c r="C45" i="13"/>
  <c r="R11" i="13"/>
  <c r="S11" i="13" s="1"/>
  <c r="T11" i="13" s="1"/>
  <c r="U11" i="13" s="1"/>
  <c r="V11" i="13" s="1"/>
  <c r="J20" i="13"/>
  <c r="J20" i="4"/>
  <c r="J21" i="4"/>
  <c r="J21" i="13"/>
  <c r="Q45" i="12"/>
  <c r="Q46" i="12"/>
  <c r="X10" i="4" l="1"/>
  <c r="H61" i="4"/>
  <c r="N77" i="38"/>
  <c r="N95" i="38" s="1"/>
  <c r="AI18" i="38"/>
  <c r="AA20" i="38" s="1"/>
  <c r="F16" i="38"/>
  <c r="E14" i="38"/>
  <c r="O34" i="38"/>
  <c r="P12" i="38"/>
  <c r="T6" i="42"/>
  <c r="D34" i="38"/>
  <c r="P32" i="38"/>
  <c r="W11" i="8"/>
  <c r="W15" i="8" s="1"/>
  <c r="W17" i="8" s="1"/>
  <c r="K26" i="6"/>
  <c r="K24" i="6"/>
  <c r="L24" i="6" s="1"/>
  <c r="O24" i="6" s="1"/>
  <c r="AA11" i="8"/>
  <c r="AA15" i="8" s="1"/>
  <c r="AA17" i="8" s="1"/>
  <c r="K28" i="6"/>
  <c r="L28" i="6" s="1"/>
  <c r="E12" i="8"/>
  <c r="Q17" i="8"/>
  <c r="S13" i="6"/>
  <c r="R8" i="42" s="1"/>
  <c r="T13" i="6"/>
  <c r="U13" i="6" s="1"/>
  <c r="O22" i="6"/>
  <c r="T22" i="6"/>
  <c r="U22" i="6" s="1"/>
  <c r="T11" i="6"/>
  <c r="U11" i="6" s="1"/>
  <c r="S14" i="6"/>
  <c r="T14" i="6"/>
  <c r="U14" i="6" s="1"/>
  <c r="O25" i="6"/>
  <c r="T25" i="6"/>
  <c r="U25" i="6" s="1"/>
  <c r="T9" i="6"/>
  <c r="U9" i="6" s="1"/>
  <c r="T10" i="6"/>
  <c r="U10" i="6" s="1"/>
  <c r="O29" i="6"/>
  <c r="T29" i="6"/>
  <c r="U29" i="6" s="1"/>
  <c r="T12" i="6"/>
  <c r="U12" i="6" s="1"/>
  <c r="V11" i="4"/>
  <c r="W10" i="4" s="1"/>
  <c r="F62" i="4"/>
  <c r="F14" i="8"/>
  <c r="F24" i="8" s="1"/>
  <c r="Y11" i="8"/>
  <c r="Y15" i="8" s="1"/>
  <c r="Y17" i="8" s="1"/>
  <c r="Z11" i="8"/>
  <c r="Z15" i="8" s="1"/>
  <c r="Z17" i="8" s="1"/>
  <c r="S10" i="6"/>
  <c r="J8" i="6"/>
  <c r="AB11" i="8"/>
  <c r="AB15" i="8" s="1"/>
  <c r="AB17" i="8" s="1"/>
  <c r="J7" i="6"/>
  <c r="V11" i="8"/>
  <c r="V15" i="8" s="1"/>
  <c r="S9" i="6"/>
  <c r="K7" i="6"/>
  <c r="AC11" i="8"/>
  <c r="AC15" i="8" s="1"/>
  <c r="AC17" i="8" s="1"/>
  <c r="K6" i="8" s="1"/>
  <c r="X11" i="8"/>
  <c r="X15" i="8" s="1"/>
  <c r="X17" i="8" s="1"/>
  <c r="J26" i="6"/>
  <c r="K6" i="6"/>
  <c r="L6" i="6" s="1"/>
  <c r="P6" i="6" s="1"/>
  <c r="S12" i="6"/>
  <c r="S11" i="6"/>
  <c r="T8" i="42" s="1"/>
  <c r="K8" i="6"/>
  <c r="W10" i="13"/>
  <c r="K17" i="4"/>
  <c r="K17" i="13"/>
  <c r="K18" i="13"/>
  <c r="K18" i="4"/>
  <c r="K19" i="4"/>
  <c r="K19" i="13"/>
  <c r="K21" i="13"/>
  <c r="K21" i="4"/>
  <c r="J22" i="13"/>
  <c r="J22" i="4"/>
  <c r="L14" i="4"/>
  <c r="E88" i="4" s="1"/>
  <c r="J18" i="13"/>
  <c r="J18" i="4"/>
  <c r="K20" i="13"/>
  <c r="K20" i="4"/>
  <c r="L14" i="13"/>
  <c r="K22" i="13"/>
  <c r="K22" i="4"/>
  <c r="J19" i="13"/>
  <c r="J19" i="4"/>
  <c r="H45" i="13"/>
  <c r="H46" i="13"/>
  <c r="K16" i="13"/>
  <c r="K16" i="4"/>
  <c r="L15" i="13"/>
  <c r="R40" i="42" l="1"/>
  <c r="R45" i="42" s="1"/>
  <c r="T40" i="42"/>
  <c r="T45" i="42" s="1"/>
  <c r="P14" i="38"/>
  <c r="E34" i="38"/>
  <c r="P16" i="38"/>
  <c r="F34" i="38"/>
  <c r="H63" i="4"/>
  <c r="I63" i="4" s="1"/>
  <c r="I61" i="4"/>
  <c r="P34" i="38"/>
  <c r="S8" i="42"/>
  <c r="T24" i="6"/>
  <c r="U24" i="6" s="1"/>
  <c r="L26" i="6"/>
  <c r="E24" i="8"/>
  <c r="L12" i="8"/>
  <c r="Q6" i="6"/>
  <c r="R6" i="6" s="1"/>
  <c r="O26" i="6"/>
  <c r="T26" i="6"/>
  <c r="U26" i="6" s="1"/>
  <c r="O28" i="6"/>
  <c r="T28" i="6"/>
  <c r="U28" i="6" s="1"/>
  <c r="O6" i="6"/>
  <c r="X11" i="4"/>
  <c r="H62" i="4"/>
  <c r="I62" i="4" s="1"/>
  <c r="L14" i="8"/>
  <c r="G16" i="8"/>
  <c r="H18" i="8"/>
  <c r="K24" i="8"/>
  <c r="L6" i="8"/>
  <c r="V17" i="8"/>
  <c r="P19" i="8" s="1"/>
  <c r="I20" i="8"/>
  <c r="J22" i="8"/>
  <c r="R14" i="13"/>
  <c r="S14" i="13" s="1"/>
  <c r="T14" i="13" s="1"/>
  <c r="U14" i="13" s="1"/>
  <c r="L7" i="6"/>
  <c r="L8" i="6"/>
  <c r="O8" i="6" s="1"/>
  <c r="L20" i="13"/>
  <c r="L20" i="4"/>
  <c r="E91" i="4" s="1"/>
  <c r="L19" i="4"/>
  <c r="E107" i="4" s="1"/>
  <c r="L19" i="13"/>
  <c r="D65" i="13"/>
  <c r="R14" i="4"/>
  <c r="S14" i="4" s="1"/>
  <c r="T14" i="4" s="1"/>
  <c r="U14" i="4" s="1"/>
  <c r="L16" i="13"/>
  <c r="L18" i="4"/>
  <c r="E90" i="4" s="1"/>
  <c r="L22" i="13"/>
  <c r="D74" i="13"/>
  <c r="R15" i="13"/>
  <c r="S15" i="13" s="1"/>
  <c r="T15" i="13" s="1"/>
  <c r="U15" i="13" s="1"/>
  <c r="L21" i="13"/>
  <c r="R15" i="4"/>
  <c r="S15" i="4" s="1"/>
  <c r="T15" i="4" s="1"/>
  <c r="U15" i="4" s="1"/>
  <c r="F105" i="4" s="1"/>
  <c r="L18" i="13"/>
  <c r="L22" i="4"/>
  <c r="E109" i="4" s="1"/>
  <c r="L16" i="4"/>
  <c r="E89" i="4" s="1"/>
  <c r="L21" i="4"/>
  <c r="E108" i="4" s="1"/>
  <c r="L17" i="13"/>
  <c r="L17" i="4"/>
  <c r="E106" i="4" s="1"/>
  <c r="S6" i="6" l="1"/>
  <c r="T49" i="42"/>
  <c r="T47" i="42"/>
  <c r="S40" i="42"/>
  <c r="S45" i="42" s="1"/>
  <c r="R49" i="42"/>
  <c r="R47" i="42"/>
  <c r="R20" i="4"/>
  <c r="S20" i="4" s="1"/>
  <c r="T20" i="4" s="1"/>
  <c r="U20" i="4" s="1"/>
  <c r="V20" i="4" s="1"/>
  <c r="H91" i="4" s="1"/>
  <c r="I91" i="4" s="1"/>
  <c r="L18" i="8"/>
  <c r="L16" i="8"/>
  <c r="H24" i="8"/>
  <c r="G24" i="8"/>
  <c r="O7" i="6"/>
  <c r="Q7" i="6"/>
  <c r="P7" i="6"/>
  <c r="D68" i="13"/>
  <c r="J24" i="8"/>
  <c r="L22" i="8"/>
  <c r="L20" i="8"/>
  <c r="I24" i="8"/>
  <c r="Q8" i="6"/>
  <c r="P8" i="6"/>
  <c r="R20" i="13"/>
  <c r="S20" i="13" s="1"/>
  <c r="T20" i="13" s="1"/>
  <c r="U20" i="13" s="1"/>
  <c r="E68" i="13" s="1"/>
  <c r="R21" i="4"/>
  <c r="S21" i="4" s="1"/>
  <c r="T21" i="4" s="1"/>
  <c r="U21" i="4" s="1"/>
  <c r="F108" i="4" s="1"/>
  <c r="R18" i="4"/>
  <c r="S18" i="4" s="1"/>
  <c r="T18" i="4" s="1"/>
  <c r="U18" i="4" s="1"/>
  <c r="R22" i="4"/>
  <c r="S22" i="4" s="1"/>
  <c r="T22" i="4" s="1"/>
  <c r="U22" i="4" s="1"/>
  <c r="F109" i="4" s="1"/>
  <c r="D66" i="13"/>
  <c r="R16" i="13"/>
  <c r="S16" i="13" s="1"/>
  <c r="T16" i="13" s="1"/>
  <c r="U16" i="13" s="1"/>
  <c r="R19" i="4"/>
  <c r="S19" i="4" s="1"/>
  <c r="T19" i="4" s="1"/>
  <c r="U19" i="4" s="1"/>
  <c r="F107" i="4" s="1"/>
  <c r="R16" i="4"/>
  <c r="S16" i="4" s="1"/>
  <c r="T16" i="4" s="1"/>
  <c r="U16" i="4" s="1"/>
  <c r="D67" i="13"/>
  <c r="R18" i="13"/>
  <c r="S18" i="13" s="1"/>
  <c r="T18" i="13" s="1"/>
  <c r="U18" i="13" s="1"/>
  <c r="F88" i="4"/>
  <c r="V14" i="4"/>
  <c r="H88" i="4" s="1"/>
  <c r="V15" i="4"/>
  <c r="H105" i="4" s="1"/>
  <c r="E65" i="13"/>
  <c r="V14" i="13"/>
  <c r="D77" i="13"/>
  <c r="R21" i="13"/>
  <c r="S21" i="13" s="1"/>
  <c r="T21" i="13" s="1"/>
  <c r="U21" i="13" s="1"/>
  <c r="V15" i="13"/>
  <c r="E74" i="13"/>
  <c r="R17" i="4"/>
  <c r="S17" i="4" s="1"/>
  <c r="T17" i="4" s="1"/>
  <c r="U17" i="4" s="1"/>
  <c r="F106" i="4" s="1"/>
  <c r="D75" i="13"/>
  <c r="R17" i="13"/>
  <c r="S17" i="13" s="1"/>
  <c r="T17" i="13" s="1"/>
  <c r="U17" i="13" s="1"/>
  <c r="D76" i="13"/>
  <c r="R19" i="13"/>
  <c r="S19" i="13" s="1"/>
  <c r="T19" i="13" s="1"/>
  <c r="U19" i="13" s="1"/>
  <c r="R22" i="13"/>
  <c r="S22" i="13" s="1"/>
  <c r="T22" i="13" s="1"/>
  <c r="U22" i="13" s="1"/>
  <c r="D78" i="13"/>
  <c r="T51" i="42" l="1"/>
  <c r="T53" i="42"/>
  <c r="T55" i="42" s="1"/>
  <c r="R51" i="42"/>
  <c r="R53" i="42"/>
  <c r="R55" i="42" s="1"/>
  <c r="S47" i="42"/>
  <c r="S49" i="42"/>
  <c r="C30" i="8"/>
  <c r="T6" i="6"/>
  <c r="U6" i="6" s="1"/>
  <c r="F91" i="4"/>
  <c r="I88" i="4"/>
  <c r="I105" i="4"/>
  <c r="H68" i="4"/>
  <c r="R8" i="6"/>
  <c r="R7" i="6"/>
  <c r="Q6" i="42" s="1"/>
  <c r="L24" i="8"/>
  <c r="V20" i="13"/>
  <c r="X15" i="4"/>
  <c r="V21" i="13"/>
  <c r="E77" i="13"/>
  <c r="V19" i="4"/>
  <c r="H107" i="4" s="1"/>
  <c r="I107" i="4" s="1"/>
  <c r="V16" i="13"/>
  <c r="E66" i="13"/>
  <c r="X20" i="4"/>
  <c r="H65" i="13"/>
  <c r="I65" i="13" s="1"/>
  <c r="V17" i="4"/>
  <c r="H106" i="4" s="1"/>
  <c r="I106" i="4" s="1"/>
  <c r="V22" i="4"/>
  <c r="H109" i="4" s="1"/>
  <c r="I109" i="4" s="1"/>
  <c r="E67" i="13"/>
  <c r="V18" i="13"/>
  <c r="H74" i="13"/>
  <c r="V17" i="13"/>
  <c r="E75" i="13"/>
  <c r="X14" i="4"/>
  <c r="V22" i="13"/>
  <c r="E78" i="13"/>
  <c r="F90" i="4"/>
  <c r="V18" i="4"/>
  <c r="H90" i="4" s="1"/>
  <c r="I90" i="4" s="1"/>
  <c r="V21" i="4"/>
  <c r="H108" i="4" s="1"/>
  <c r="I108" i="4" s="1"/>
  <c r="E76" i="13"/>
  <c r="V19" i="13"/>
  <c r="F89" i="4"/>
  <c r="V16" i="4"/>
  <c r="H89" i="4" s="1"/>
  <c r="I89" i="4" s="1"/>
  <c r="R61" i="42" l="1"/>
  <c r="R59" i="42"/>
  <c r="T57" i="42"/>
  <c r="S51" i="42"/>
  <c r="S53" i="42"/>
  <c r="S55" i="42" s="1"/>
  <c r="R57" i="42"/>
  <c r="T59" i="42"/>
  <c r="T61" i="42"/>
  <c r="T7" i="6"/>
  <c r="U7" i="6" s="1"/>
  <c r="S8" i="6"/>
  <c r="T8" i="6"/>
  <c r="U8" i="6" s="1"/>
  <c r="H110" i="4"/>
  <c r="H92" i="4"/>
  <c r="H99" i="4" s="1"/>
  <c r="I99" i="4" s="1"/>
  <c r="I68" i="4"/>
  <c r="S7" i="6"/>
  <c r="Q8" i="42" s="1"/>
  <c r="Q40" i="42" s="1"/>
  <c r="Q45" i="42" s="1"/>
  <c r="H68" i="13"/>
  <c r="W14" i="4"/>
  <c r="X19" i="4"/>
  <c r="H78" i="13"/>
  <c r="H66" i="13"/>
  <c r="X17" i="4"/>
  <c r="X21" i="4"/>
  <c r="X16" i="4"/>
  <c r="H67" i="13"/>
  <c r="X22" i="4"/>
  <c r="H76" i="13"/>
  <c r="H77" i="13"/>
  <c r="W18" i="4"/>
  <c r="W14" i="13"/>
  <c r="H75" i="13"/>
  <c r="X18" i="4"/>
  <c r="W18" i="13"/>
  <c r="I74" i="13"/>
  <c r="S57" i="42" l="1"/>
  <c r="Q49" i="42"/>
  <c r="Q47" i="42"/>
  <c r="S59" i="42"/>
  <c r="S61" i="42"/>
  <c r="H117" i="4"/>
  <c r="I117" i="4" s="1"/>
  <c r="I110" i="4"/>
  <c r="I68" i="13"/>
  <c r="I75" i="13"/>
  <c r="H79" i="13"/>
  <c r="I79" i="13" s="1"/>
  <c r="I67" i="13"/>
  <c r="I77" i="13"/>
  <c r="I66" i="13"/>
  <c r="I76" i="13"/>
  <c r="I78" i="13"/>
  <c r="H69" i="13"/>
  <c r="I69" i="13" s="1"/>
  <c r="I92" i="4"/>
  <c r="Q53" i="42" l="1"/>
  <c r="Q55" i="42" s="1"/>
  <c r="Q51" i="42"/>
  <c r="S98" i="38"/>
  <c r="S101" i="38" s="1"/>
  <c r="S104" i="38" s="1"/>
  <c r="T116" i="38"/>
  <c r="T119" i="38" s="1"/>
  <c r="T122" i="38" s="1"/>
  <c r="S116" i="38"/>
  <c r="S119" i="38" s="1"/>
  <c r="S122" i="38" s="1"/>
  <c r="U98" i="38"/>
  <c r="U101" i="38" s="1"/>
  <c r="U104" i="38" s="1"/>
  <c r="K83" i="38"/>
  <c r="K86" i="38" s="1"/>
  <c r="N98" i="38"/>
  <c r="N101" i="38" s="1"/>
  <c r="N104" i="38" s="1"/>
  <c r="T98" i="38"/>
  <c r="T101" i="38" s="1"/>
  <c r="T104" i="38" s="1"/>
  <c r="C83" i="38"/>
  <c r="T83" i="38"/>
  <c r="U116" i="38"/>
  <c r="U119" i="38" s="1"/>
  <c r="U122" i="38" s="1"/>
  <c r="H83" i="38"/>
  <c r="R98" i="38"/>
  <c r="R101" i="38" s="1"/>
  <c r="R104" i="38" s="1"/>
  <c r="J98" i="38"/>
  <c r="J101" i="38" s="1"/>
  <c r="J104" i="38" s="1"/>
  <c r="G116" i="38"/>
  <c r="G119" i="38" s="1"/>
  <c r="G122" i="38" s="1"/>
  <c r="N83" i="38"/>
  <c r="R116" i="38"/>
  <c r="R119" i="38" s="1"/>
  <c r="R122" i="38" s="1"/>
  <c r="G83" i="38"/>
  <c r="G86" i="38" s="1"/>
  <c r="U83" i="38"/>
  <c r="U86" i="38" s="1"/>
  <c r="Q83" i="38"/>
  <c r="Q86" i="38" s="1"/>
  <c r="H98" i="38"/>
  <c r="H101" i="38" s="1"/>
  <c r="H104" i="38" s="1"/>
  <c r="J83" i="38"/>
  <c r="R83" i="38"/>
  <c r="R86" i="38" s="1"/>
  <c r="Q116" i="38"/>
  <c r="Q119" i="38" s="1"/>
  <c r="Q122" i="38" s="1"/>
  <c r="Q98" i="38"/>
  <c r="Q101" i="38" s="1"/>
  <c r="Q104" i="38" s="1"/>
  <c r="G98" i="38"/>
  <c r="G101" i="38" s="1"/>
  <c r="G104" i="38" s="1"/>
  <c r="S83" i="38"/>
  <c r="S86" i="38" s="1"/>
  <c r="K98" i="38"/>
  <c r="K101" i="38" s="1"/>
  <c r="K104" i="38" s="1"/>
  <c r="Q61" i="42" l="1"/>
  <c r="Q59" i="42"/>
  <c r="Q57" i="42"/>
  <c r="C86" i="38"/>
  <c r="C126" i="38"/>
  <c r="J126" i="38"/>
  <c r="J86" i="38"/>
  <c r="Q126" i="38"/>
  <c r="T86" i="38"/>
  <c r="H86" i="38"/>
  <c r="G126" i="38"/>
  <c r="N126" i="38"/>
  <c r="N86" i="38"/>
  <c r="L128" i="3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HP</author>
  </authors>
  <commentList>
    <comment ref="AB30" authorId="0" shapeId="0" xr:uid="{00000000-0006-0000-0600-000001000000}">
      <text>
        <r>
          <rPr>
            <b/>
            <sz val="9"/>
            <color indexed="81"/>
            <rFont val="Tahoma"/>
            <family val="2"/>
          </rPr>
          <t xml:space="preserve">occorre pagare 100 ore per ottenere 78 incorporate nel prodotto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Pc</author>
    <author>tc={E36E1B73-B1D9-48D6-87C6-6406C8666AF2}</author>
  </authors>
  <commentList>
    <comment ref="Q2" authorId="0" shapeId="0" xr:uid="{2E91748C-C609-42A8-81B5-D4E3BD858337}">
      <text>
        <r>
          <rPr>
            <b/>
            <sz val="9"/>
            <color indexed="81"/>
            <rFont val="Tahoma"/>
            <family val="2"/>
          </rPr>
          <t>Luca: 
tempo di scarico di un messo equivale a 45 min. Abbiamo convertito questo dato in gg.</t>
        </r>
      </text>
    </comment>
    <comment ref="Q3" authorId="0" shapeId="0" xr:uid="{7D957349-5873-433B-8EC4-3977E92F11FD}">
      <text>
        <r>
          <rPr>
            <b/>
            <sz val="9"/>
            <color indexed="81"/>
            <rFont val="Tahoma"/>
            <family val="2"/>
          </rPr>
          <t>Luca:
Abbiamo convertito 15 min in gg.</t>
        </r>
      </text>
    </comment>
    <comment ref="H4" authorId="1" shapeId="0" xr:uid="{E36E1B73-B1D9-48D6-87C6-6406C8666AF2}">
      <text>
        <t>[Threaded comment]
Your version of Excel allows you to read this threaded comment; however, any edits to it will get removed if the file is opened in a newer version of Excel. Learn more: https://go.microsoft.com/fwlink/?linkid=870924
Comment:
    Calcolarsi un area media pesata per quanto riguarda l'area dell'unità di carico</t>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<sst xmlns="http://schemas.openxmlformats.org/spreadsheetml/2006/main" count="1922" uniqueCount="696">
  <si>
    <t>Calcolo Produzioni Basi</t>
  </si>
  <si>
    <t>u</t>
  </si>
  <si>
    <t>Tempo disponibile</t>
  </si>
  <si>
    <t>Cal. Parametri Cm/Nm</t>
  </si>
  <si>
    <t>Indici Nomi</t>
  </si>
  <si>
    <t>Indici Cognomi</t>
  </si>
  <si>
    <t>PRODUZIONE BASE ANNUA FRESATRICI</t>
  </si>
  <si>
    <t>GG/ANNO</t>
  </si>
  <si>
    <t>Cm</t>
  </si>
  <si>
    <t>Luca</t>
  </si>
  <si>
    <t>Pulvirenti</t>
  </si>
  <si>
    <t>PRODUZIONE BASE GIORNALIERA FRESATRICI</t>
  </si>
  <si>
    <t>GG/MESE</t>
  </si>
  <si>
    <t>Nm</t>
  </si>
  <si>
    <t>Giovanni</t>
  </si>
  <si>
    <t>Tosetto</t>
  </si>
  <si>
    <t>PRODUZIONE BASE MENSILE FRESATRICI</t>
  </si>
  <si>
    <t>ORE/G.</t>
  </si>
  <si>
    <t>Alessandro</t>
  </si>
  <si>
    <t>Chiari</t>
  </si>
  <si>
    <t>ORE/MESE</t>
  </si>
  <si>
    <t xml:space="preserve">Alistar </t>
  </si>
  <si>
    <t>Albani</t>
  </si>
  <si>
    <t>Calcolo Produzione Richiesta (Pi)</t>
  </si>
  <si>
    <t>PRODUZIONE MESE FRESATRICI FUNZ.(Cm E Nm) (L=1500 + L=1750)</t>
  </si>
  <si>
    <t>Pi = (2*(Cm+Nm)/30) *produzione base (giorn/mese/annuo)</t>
  </si>
  <si>
    <t>PRODUZIONE GIORNO FRESATRICI FUNZ.(Cm E Nm) (L=1500 + L=1750)</t>
  </si>
  <si>
    <t>PRODUZIONE ANNUA FRESATRICI FUNZ.(Cm E Nm) (L=1500 + L=1750)</t>
  </si>
  <si>
    <t>COD.</t>
  </si>
  <si>
    <t>DESCRIZIONE CENTRI DI LAVORO PER FRESATRICI</t>
  </si>
  <si>
    <t>DISPONIBILITA'
(D)</t>
  </si>
  <si>
    <t>PERFORMANCE
(P)</t>
  </si>
  <si>
    <t>QUALITA'
(Q)</t>
  </si>
  <si>
    <t>(D) x (Q)</t>
  </si>
  <si>
    <t>Calcolo Pi per diversi modelli (Pz/mese e Pz/giorno)</t>
  </si>
  <si>
    <t>%</t>
  </si>
  <si>
    <t>PZ/MESE</t>
  </si>
  <si>
    <t>PZ/GIORNO</t>
  </si>
  <si>
    <t>ASS_FIN</t>
  </si>
  <si>
    <t>LINEA DI ASSEMBLAGGIO FINALE</t>
  </si>
  <si>
    <t>% DEL MODELLO L=1500</t>
  </si>
  <si>
    <t>% DEL MODELLO L=1750</t>
  </si>
  <si>
    <t>SALD</t>
  </si>
  <si>
    <t>REPARTO BOX DI SALDATURA</t>
  </si>
  <si>
    <t>PSPG</t>
  </si>
  <si>
    <t>PRESSO-PIEGATURA</t>
  </si>
  <si>
    <t>TRNC</t>
  </si>
  <si>
    <t>TRANCIATURA</t>
  </si>
  <si>
    <t>FREQUENZE DI RIFORN. E SS DEI MATER. A MAG. MP</t>
  </si>
  <si>
    <t>INTERVALLO
RIORDINO
 [G]</t>
  </si>
  <si>
    <t>SCORTA
SICUREZZA
[G]</t>
  </si>
  <si>
    <t>TIPO UDC</t>
  </si>
  <si>
    <t>DESCRIZIONE MATERIALE NELL'UNITA' DI CARICO (FRESATRICI)</t>
  </si>
  <si>
    <t>DIMENSIONI (mm)
Prof x Largh x Alt</t>
  </si>
  <si>
    <t>PZ/
UDC</t>
  </si>
  <si>
    <t>SOVR</t>
  </si>
  <si>
    <t>LAMIERATI</t>
  </si>
  <si>
    <t>ESTLAM001</t>
  </si>
  <si>
    <t>PEDANA</t>
  </si>
  <si>
    <t>LAMIERE 1500x2000x3</t>
  </si>
  <si>
    <t>1500x2000x300</t>
  </si>
  <si>
    <t>ESTLAM002</t>
  </si>
  <si>
    <t>LAMIERE 1000x1500x3</t>
  </si>
  <si>
    <t>1000x1500x300</t>
  </si>
  <si>
    <t>INGRANAGGI
(CONICI E CILINDRICI)</t>
  </si>
  <si>
    <t>ESTLAM003</t>
  </si>
  <si>
    <t>LAMIERE 1000x2000x3</t>
  </si>
  <si>
    <t>1000x2000x300</t>
  </si>
  <si>
    <t>ALBERI DI TRASMISSIONE</t>
  </si>
  <si>
    <t>ESTING001</t>
  </si>
  <si>
    <t>NORM.</t>
  </si>
  <si>
    <t>RUOTE DENTATE CONICHE</t>
  </si>
  <si>
    <t>800x1000x800</t>
  </si>
  <si>
    <t>ESTING002</t>
  </si>
  <si>
    <t>RUOTE DENTATE CILINDRICHE</t>
  </si>
  <si>
    <t>ALBERI CON FRESE</t>
  </si>
  <si>
    <t>LAVORAZIONE</t>
  </si>
  <si>
    <t>CODICE</t>
  </si>
  <si>
    <t>LOTTO [pz]</t>
  </si>
  <si>
    <t>SET UP [min]</t>
  </si>
  <si>
    <t>TC [min]</t>
  </si>
  <si>
    <t>ASSEMBLAGGIO FINALE</t>
  </si>
  <si>
    <t>ASSEMBLAGGIO FRESATRICE L=1500</t>
  </si>
  <si>
    <t>INTASS001-10</t>
  </si>
  <si>
    <t>INTASS001</t>
  </si>
  <si>
    <t>PED+SCA</t>
  </si>
  <si>
    <t>FRESATRICE COMPLETA L=1500</t>
  </si>
  <si>
    <t>1500x2000x1000</t>
  </si>
  <si>
    <t>ASSEMBLAGGIO FRESATRICE L=1750</t>
  </si>
  <si>
    <t>INTASS002-10</t>
  </si>
  <si>
    <t>INTASS002</t>
  </si>
  <si>
    <t>FRESATRICE COMPLETA L=1750</t>
  </si>
  <si>
    <t>SALDATURA</t>
  </si>
  <si>
    <t>SALD TELAIO COMPLETO FRESA L=1500</t>
  </si>
  <si>
    <t>INTSAL001-10</t>
  </si>
  <si>
    <t>INTSAL001</t>
  </si>
  <si>
    <t>SPEC.</t>
  </si>
  <si>
    <t>TELAIO SALDATO COMPLETO PER FRESE L=1500</t>
  </si>
  <si>
    <t>1500x2000x2000</t>
  </si>
  <si>
    <t>SALD TELAIO COMPLETO FRESA L=1750</t>
  </si>
  <si>
    <t>INTSAL002-10</t>
  </si>
  <si>
    <t>INTSAL002</t>
  </si>
  <si>
    <t>TELAIO SALDATO COMPLETO PER FRESE L=1750</t>
  </si>
  <si>
    <t>PRESSO-
PIEGATURA
E
TRANCIATURA</t>
  </si>
  <si>
    <t>PRESSO-PIEGATURA CARTER L=1500</t>
  </si>
  <si>
    <t>INTPSP001-20</t>
  </si>
  <si>
    <t>ESTASS001</t>
  </si>
  <si>
    <t>ALBERO CON FRESE PER FRESATRICI L=1500</t>
  </si>
  <si>
    <t>1000x2000x1000</t>
  </si>
  <si>
    <t>TRANCIATURA CARTER L=1500</t>
  </si>
  <si>
    <t>INTPSP001-10</t>
  </si>
  <si>
    <t>ESTASS002</t>
  </si>
  <si>
    <t>ALBERO CON FRESE PER FRESATRICI L=1750</t>
  </si>
  <si>
    <t>PRESSO-PIEGATURA CARTER L=1750</t>
  </si>
  <si>
    <t>INTPSP002-20</t>
  </si>
  <si>
    <t>ESTALB001</t>
  </si>
  <si>
    <t>ALBERI TRASMISSIONE PER L=1500</t>
  </si>
  <si>
    <t>460x800x550</t>
  </si>
  <si>
    <t>TRANCIATURA CARTER L=1750</t>
  </si>
  <si>
    <t>INTPSP002-10</t>
  </si>
  <si>
    <t>ESTALB002</t>
  </si>
  <si>
    <t>ALBERI TRASMISSIONE PER L=1750</t>
  </si>
  <si>
    <t>800x1500x800</t>
  </si>
  <si>
    <t>PRESSO-PIEGATURA STAFFE RINFORZO</t>
  </si>
  <si>
    <t>INTPSP003-20</t>
  </si>
  <si>
    <t>TRANCIATURA STAFFE RINFORZO</t>
  </si>
  <si>
    <t>INTPSP003-10</t>
  </si>
  <si>
    <t>PRESSO-PIEGATURA STAFFE ATTACCO</t>
  </si>
  <si>
    <t>INTPSP004-20</t>
  </si>
  <si>
    <t>CARTER TRANCIATI PER L=1500</t>
  </si>
  <si>
    <t>1500x2000</t>
  </si>
  <si>
    <t>TRANCIATURA STAFFE ATTACCO</t>
  </si>
  <si>
    <t>INTPSP004-10</t>
  </si>
  <si>
    <t>INTPSP001</t>
  </si>
  <si>
    <t>CARTER PRESSOPIEGATI PER L=1500</t>
  </si>
  <si>
    <t>TRANCIATURA PIASTRE LATERALI</t>
  </si>
  <si>
    <t>INTTRA001-10</t>
  </si>
  <si>
    <t>CARTER TRANCIATI PER L=1750</t>
  </si>
  <si>
    <t>INTPSP002</t>
  </si>
  <si>
    <t>CARTER PRESSOPIEGATI PER L=1750</t>
  </si>
  <si>
    <t>STAFFE RINFORZO TRANCIATE</t>
  </si>
  <si>
    <t>INTPSP003</t>
  </si>
  <si>
    <t>STAFFE RINFORZO PRESSOPIEGATE</t>
  </si>
  <si>
    <t>STAFFE ATTACCO TRATTORE TRANCIATE</t>
  </si>
  <si>
    <t>INTPSP004</t>
  </si>
  <si>
    <t>STAFFE ATTACCO TRATTORE PRESSOPIEGATE</t>
  </si>
  <si>
    <t>INTTRA001</t>
  </si>
  <si>
    <t>PIASTRE LATERALI TRANCIATE</t>
  </si>
  <si>
    <t>LIVELLO DISTINTA BASE</t>
  </si>
  <si>
    <t>DESCRIZIONE</t>
  </si>
  <si>
    <t>COEFF.</t>
  </si>
  <si>
    <t>COEFF. ARR.</t>
  </si>
  <si>
    <t>ART</t>
  </si>
  <si>
    <t xml:space="preserve"> TELAIO COMPLETO PER FRESATRICE L=1500 </t>
  </si>
  <si>
    <t>CARTER L=1500</t>
  </si>
  <si>
    <t>FOGLIO LAMIERA 1500x2000x3</t>
  </si>
  <si>
    <t>STAFFE RINFORZO</t>
  </si>
  <si>
    <t>FOGLIO LAMIERA 1000x1500x3</t>
  </si>
  <si>
    <t>PIASTRE ATTACCO TRATTORE</t>
  </si>
  <si>
    <t>FOGLIO LAMIERA 1000x2000x3</t>
  </si>
  <si>
    <t>PIASTRE LATERALI</t>
  </si>
  <si>
    <t>ALBERO DI TRASMISSIONE PER MACCHINE L=1500</t>
  </si>
  <si>
    <t>RUOTA DENTATA CONICA</t>
  </si>
  <si>
    <t>RUOTA DENTATA CILINDRICA</t>
  </si>
  <si>
    <t>ALBERO COMPLETO DI FRESE PER FRESATRICE L=1500</t>
  </si>
  <si>
    <t xml:space="preserve"> TELAIO COMPLETO PER FRESATRICE L=1750 </t>
  </si>
  <si>
    <t>CARTER L=1750</t>
  </si>
  <si>
    <t>ALBERO DI TRASMISSIONE PER MACCHINE L=1750</t>
  </si>
  <si>
    <t>ALBERO COMPLETO DI FRESE PER FRESATRICE L=1750</t>
  </si>
  <si>
    <t>PADRE</t>
  </si>
  <si>
    <t>TIPO</t>
  </si>
  <si>
    <t>COEFF</t>
  </si>
  <si>
    <t>Q.TA' NETTA</t>
  </si>
  <si>
    <t>Q.TA' LORDA</t>
  </si>
  <si>
    <t>(pz/mese)</t>
  </si>
  <si>
    <t>LIVELLI DI DISTINTA BASE</t>
  </si>
  <si>
    <t>Distinta Base Unitaria (Fresatrice L=1500)</t>
  </si>
  <si>
    <t>Flusso Lavorazioni</t>
  </si>
  <si>
    <t>OP</t>
  </si>
  <si>
    <t>ASSEMBLAGGIO FRESATRICE COMPLETA L=1500</t>
  </si>
  <si>
    <t>Prodotti da Comprare</t>
  </si>
  <si>
    <t xml:space="preserve"> SALD. TELAIO COMPL CON ATTACCHI TRATTORE L=1500</t>
  </si>
  <si>
    <t>Prodotti da Lavorare</t>
  </si>
  <si>
    <t>PRESSOPIEGATURA CARTER L=1500</t>
  </si>
  <si>
    <t>PRESSOPIEGATURA STAFFE RINFORZO</t>
  </si>
  <si>
    <t>PRESSOPIEGATURA PIASTRE ATTACCO TRATTORE</t>
  </si>
  <si>
    <t>TRANCIATURA STAFFE ATTACCO TRATTORE</t>
  </si>
  <si>
    <t>GESFAN001</t>
  </si>
  <si>
    <t>ASSEMBLAGGIO FRESATRICE COMPLETA L=1750</t>
  </si>
  <si>
    <t xml:space="preserve"> SALD. TELAIO COMPL. CON ATTACCHI TRATTORE L=1750</t>
  </si>
  <si>
    <t>PRESSOPIEGATURA CARTER L=1750</t>
  </si>
  <si>
    <t>PRESSOPIEGATURA STAFFE ATTACCO TRATTORE</t>
  </si>
  <si>
    <t>Distinta Base Unitaria (Fresatrice L=1750)</t>
  </si>
  <si>
    <t>DALLA DISTINTA BASE TABELLARE E' RICHIESTO DI DISEGNARE LA DISTINTA BASE AD ALBERO E LO SCHEMA DI FLUSSO DELLE LAVORAZIONI</t>
  </si>
  <si>
    <t>Q.TA' PF (L=1500 + L=1750)</t>
  </si>
  <si>
    <t>PZ/G.</t>
  </si>
  <si>
    <t>LOTTO
[PZ]</t>
  </si>
  <si>
    <t>SET_UP
[min]</t>
  </si>
  <si>
    <t>TC 
[min]</t>
  </si>
  <si>
    <t>T_POT
[min]</t>
  </si>
  <si>
    <t>T_DISP
[min]</t>
  </si>
  <si>
    <t>T_setup
[min]</t>
  </si>
  <si>
    <t>T_NETTO
[min]</t>
  </si>
  <si>
    <t>T_PROD
[min]</t>
  </si>
  <si>
    <t>TAKT
TIME</t>
  </si>
  <si>
    <t>NUM
MACCH
CALCOL</t>
  </si>
  <si>
    <t>NUM
MACCH
EFFET LOTTI</t>
  </si>
  <si>
    <t>NUM MACCH EFFET LINEA</t>
  </si>
  <si>
    <t>Q.TA' PF L=1500</t>
  </si>
  <si>
    <t>GG LAVORO/MESE</t>
  </si>
  <si>
    <t>H/MESE</t>
  </si>
  <si>
    <t>Q.TA' PF L=1750</t>
  </si>
  <si>
    <t>ORE/ GIORNO</t>
  </si>
  <si>
    <t>TIPO FRESATRICE</t>
  </si>
  <si>
    <t>PRODUZIONE TOTALE CON SCARTI</t>
  </si>
  <si>
    <t>L=1500</t>
  </si>
  <si>
    <t>L=1750</t>
  </si>
  <si>
    <t>PRESSO-PIEGATURA 
E 
TRANCIATURA</t>
  </si>
  <si>
    <t>Linea di assemblaggio</t>
  </si>
  <si>
    <t>Box di saldatura</t>
  </si>
  <si>
    <t>Pressopiegatrici</t>
  </si>
  <si>
    <r>
      <t xml:space="preserve">
</t>
    </r>
    <r>
      <rPr>
        <sz val="14"/>
        <color theme="1"/>
        <rFont val="Calibri"/>
        <family val="2"/>
        <scheme val="minor"/>
      </rPr>
      <t xml:space="preserve">
</t>
    </r>
  </si>
  <si>
    <t>Punzonatrici per operazioni di trancia e foratura lamiere</t>
  </si>
  <si>
    <t>COD</t>
  </si>
  <si>
    <t>Descrizione Centri di Lavoro</t>
  </si>
  <si>
    <t>Disp (D)</t>
  </si>
  <si>
    <t>Perf (P)</t>
  </si>
  <si>
    <t>Qual (Q)</t>
  </si>
  <si>
    <t>(D) x (P)</t>
  </si>
  <si>
    <t>OEE DEL REPARTO DI SALDATURA</t>
  </si>
  <si>
    <t>Saldatura</t>
  </si>
  <si>
    <t>Componente</t>
  </si>
  <si>
    <t>N. pezzi</t>
  </si>
  <si>
    <t>Takt Time</t>
  </si>
  <si>
    <t>Takt Time Trinc.</t>
  </si>
  <si>
    <t>TC</t>
  </si>
  <si>
    <t>OEE</t>
  </si>
  <si>
    <t>Telaio L=1500 per Fresatrice</t>
  </si>
  <si>
    <t>Tealio L=1750 per Fressatrice</t>
  </si>
  <si>
    <t>Totale Reparto</t>
  </si>
  <si>
    <t>OEE DEI REPARTI DI FABBRICAZIONI</t>
  </si>
  <si>
    <t>Pressopiegatura</t>
  </si>
  <si>
    <t>Takt Time Fres.</t>
  </si>
  <si>
    <t>Carter L=1500</t>
  </si>
  <si>
    <t>Carter L=1750</t>
  </si>
  <si>
    <t>Staffe Rinforzo</t>
  </si>
  <si>
    <t>P. Att. Trattore</t>
  </si>
  <si>
    <t>Trinciatura</t>
  </si>
  <si>
    <t>P. Laterali</t>
  </si>
  <si>
    <t>Carter Pressopiegati</t>
  </si>
  <si>
    <t>Carter Trinciati</t>
  </si>
  <si>
    <t>Piastre Laterali Trinciate</t>
  </si>
  <si>
    <t>ASSEMBLAGGIO</t>
  </si>
  <si>
    <t>ASSEMBLAGGIO TRINCIATUTTO COMPLETO L=1500</t>
  </si>
  <si>
    <t>FINALE</t>
  </si>
  <si>
    <t>ASSEMBLAGGIO TRINCIATUTTO COMPLETO L=1750</t>
  </si>
  <si>
    <t>SALD. TELAIO COMPL CON ATTACCHI TRATTORE L=1500</t>
  </si>
  <si>
    <t>SALD. TELAIO COMPL. CON ATTACCHI TRATTORE L=1750</t>
  </si>
  <si>
    <t>PRESSO-</t>
  </si>
  <si>
    <t>PIEGATURA</t>
  </si>
  <si>
    <t>E</t>
  </si>
  <si>
    <r>
      <t xml:space="preserve">ORGANIZZAZIONE DEI PROCESSI DI </t>
    </r>
    <r>
      <rPr>
        <b/>
        <u/>
        <sz val="11"/>
        <color theme="1"/>
        <rFont val="Calibri"/>
        <family val="2"/>
        <scheme val="minor"/>
      </rPr>
      <t>SALDATURA</t>
    </r>
    <r>
      <rPr>
        <b/>
        <sz val="11"/>
        <color theme="1"/>
        <rFont val="Calibri"/>
        <family val="2"/>
        <scheme val="minor"/>
      </rPr>
      <t xml:space="preserve"> PER REPARTO (FRESATRICE + TRINCIATUTTO)</t>
    </r>
  </si>
  <si>
    <t>Prodotto</t>
  </si>
  <si>
    <t>FRESATRICE</t>
  </si>
  <si>
    <t xml:space="preserve">Telaio L=1500 </t>
  </si>
  <si>
    <t>Tealio L=1750</t>
  </si>
  <si>
    <t>TRINCIATUTTO</t>
  </si>
  <si>
    <t>Telaio L=1500</t>
  </si>
  <si>
    <t xml:space="preserve">Tealio L=1750 </t>
  </si>
  <si>
    <r>
      <t xml:space="preserve">ORGANIZZAZIONE DEI PROCESSI DI </t>
    </r>
    <r>
      <rPr>
        <b/>
        <u/>
        <sz val="11"/>
        <color theme="1"/>
        <rFont val="Calibri"/>
        <family val="2"/>
        <scheme val="minor"/>
      </rPr>
      <t>FABBRICAZIONE</t>
    </r>
    <r>
      <rPr>
        <b/>
        <sz val="11"/>
        <color theme="1"/>
        <rFont val="Calibri"/>
        <family val="2"/>
        <scheme val="minor"/>
      </rPr>
      <t xml:space="preserve"> PER REPARTO (FRESATRICE + TRINCIATUTTO)</t>
    </r>
  </si>
  <si>
    <t xml:space="preserve">Takt Time </t>
  </si>
  <si>
    <t>PREC.</t>
  </si>
  <si>
    <t>MIN.</t>
  </si>
  <si>
    <t>MIN</t>
  </si>
  <si>
    <t>RPW</t>
  </si>
  <si>
    <t>COD+SUCC.</t>
  </si>
  <si>
    <t>Riman.</t>
  </si>
  <si>
    <t>Att. Disp.</t>
  </si>
  <si>
    <t>WS</t>
  </si>
  <si>
    <t>A</t>
  </si>
  <si>
    <t>Prelevare complessivo telaio da contenitore e posizionare su attrezzatura</t>
  </si>
  <si>
    <t>-</t>
  </si>
  <si>
    <t>BCDEFGHILMNO</t>
  </si>
  <si>
    <t>HICDLGEBFMNO</t>
  </si>
  <si>
    <t>B</t>
  </si>
  <si>
    <t>Prelevare supporti albero di trasmissione e fissare su telaio</t>
  </si>
  <si>
    <t>F O</t>
  </si>
  <si>
    <t>H</t>
  </si>
  <si>
    <t>INLMO</t>
  </si>
  <si>
    <t>ICDLGEBFMNO</t>
  </si>
  <si>
    <t>C</t>
  </si>
  <si>
    <t>Prelevare scatola ingranaggi e fissare su telaio</t>
  </si>
  <si>
    <t>DEFO</t>
  </si>
  <si>
    <t>I</t>
  </si>
  <si>
    <t>NLMO</t>
  </si>
  <si>
    <t>CDLGEBFMNO</t>
  </si>
  <si>
    <t>D</t>
  </si>
  <si>
    <t>Prelevare raschiaoli e fissare su scatola ingranaggi</t>
  </si>
  <si>
    <t>EFO</t>
  </si>
  <si>
    <t>DLGEBFMNO</t>
  </si>
  <si>
    <t>FMNO</t>
  </si>
  <si>
    <t>Prelevare coppia conica e montare entro scatola</t>
  </si>
  <si>
    <t>FO</t>
  </si>
  <si>
    <t>LGEBFMNO</t>
  </si>
  <si>
    <t>F</t>
  </si>
  <si>
    <t>Prelevare albero di trasmissione e montare</t>
  </si>
  <si>
    <t>E,B</t>
  </si>
  <si>
    <t>O</t>
  </si>
  <si>
    <t>L</t>
  </si>
  <si>
    <t>MO</t>
  </si>
  <si>
    <t>GEBFMNO</t>
  </si>
  <si>
    <t>G</t>
  </si>
  <si>
    <t>Prelevare ingranaggi e montare su fianco telaio</t>
  </si>
  <si>
    <t>NO</t>
  </si>
  <si>
    <t>//</t>
  </si>
  <si>
    <t>EBFMNO</t>
  </si>
  <si>
    <t>Prelevare albero con frese e montare su telaio</t>
  </si>
  <si>
    <t>BFMNO</t>
  </si>
  <si>
    <t>Prelevare guarnizioni albero con frese e montare</t>
  </si>
  <si>
    <t>MNO</t>
  </si>
  <si>
    <t>Prelevare coperchio frese e montare su telaio</t>
  </si>
  <si>
    <t>M</t>
  </si>
  <si>
    <t>Prelevare registro coperchio frese e montare su telaio</t>
  </si>
  <si>
    <t>N</t>
  </si>
  <si>
    <t>Prelevare coperchio ingranaggi laterali e montare su telaio</t>
  </si>
  <si>
    <t>G,I</t>
  </si>
  <si>
    <t>Prelevare fresa completa e deporre in contenitore</t>
  </si>
  <si>
    <t>F,N,M</t>
  </si>
  <si>
    <t>Soluzione Standard</t>
  </si>
  <si>
    <t>POST_10</t>
  </si>
  <si>
    <t>POST_20</t>
  </si>
  <si>
    <t>POST_30</t>
  </si>
  <si>
    <t>POST_40</t>
  </si>
  <si>
    <t>Σ TC</t>
  </si>
  <si>
    <t>Σ TLAV</t>
  </si>
  <si>
    <t>Saturazione manodopera</t>
  </si>
  <si>
    <t>OEE compreso Manodopera</t>
  </si>
  <si>
    <t>Soluzione Ottimizzata</t>
  </si>
  <si>
    <t>Applicazione della Soluzione Ottimizzata</t>
  </si>
  <si>
    <t>al mese</t>
  </si>
  <si>
    <t>al giorno</t>
  </si>
  <si>
    <t>%S.S.</t>
  </si>
  <si>
    <r>
      <t xml:space="preserve">FABBISOGNI MENSILI
</t>
    </r>
    <r>
      <rPr>
        <sz val="12"/>
        <color theme="1"/>
        <rFont val="Calibri"/>
        <family val="2"/>
        <scheme val="minor"/>
      </rPr>
      <t>(UDC MOVIMENTATE IN UN MESE)</t>
    </r>
  </si>
  <si>
    <r>
      <t xml:space="preserve">CAPACITA' MAGAZZINI E BUFFER
</t>
    </r>
    <r>
      <rPr>
        <sz val="12"/>
        <color theme="1"/>
        <rFont val="Calibri"/>
        <family val="2"/>
        <scheme val="minor"/>
      </rPr>
      <t>(Q.TA' MAX PER DIMENSIONAMENTO)</t>
    </r>
  </si>
  <si>
    <t>ORE LAV/GIORNO</t>
  </si>
  <si>
    <t>TOTALE</t>
  </si>
  <si>
    <t>TIPO
UDC</t>
  </si>
  <si>
    <t>PZ/UDC</t>
  </si>
  <si>
    <t>NUM.
UDC</t>
  </si>
  <si>
    <t xml:space="preserve">LOTTO </t>
  </si>
  <si>
    <t>SS</t>
  </si>
  <si>
    <t>GG cop</t>
  </si>
  <si>
    <t>IR indice di rotazione</t>
  </si>
  <si>
    <t>ARTICOLI A MAGAZZINO MATERIE PRIME</t>
  </si>
  <si>
    <t>ALBERO COMPLETO DI FRESE PER FRESA L=1500</t>
  </si>
  <si>
    <t>ALBERO COMPLETO DI FRESE PER FRESA L=1750</t>
  </si>
  <si>
    <t>ALBERO DI TRASMISSIONE PER FRESA L=1500</t>
  </si>
  <si>
    <t>ALBERO DI TRASMISSIONE PER FRESA L=1750</t>
  </si>
  <si>
    <t>ALBERO DI TRASMISSIONE PER TRINCIATUTTO L=1500</t>
  </si>
  <si>
    <t>ALBERO DI TRASMISSIONE PER TRINCIATUTTO L=1750</t>
  </si>
  <si>
    <t>ESTASS003</t>
  </si>
  <si>
    <t>ALBERO COMPLETO DI MARTELLI PER TRINCIATUTTO L=1500</t>
  </si>
  <si>
    <t>ESTASS004</t>
  </si>
  <si>
    <t>ALBERO COMPLETO DI MARTELLI PER TRINCIATUTTO L=1750</t>
  </si>
  <si>
    <t>ESTSAL001</t>
  </si>
  <si>
    <t>RASTRELLO PER TRINCIATUTTO L=1500</t>
  </si>
  <si>
    <t>ESTSAL002</t>
  </si>
  <si>
    <t>RASTRELLO PER TRINCIATUTTO L=1750</t>
  </si>
  <si>
    <t>ARTICOLI A MAGAZZINO PF</t>
  </si>
  <si>
    <t>TRINCIATUTTO COMPLETO L=1500</t>
  </si>
  <si>
    <t>TRINCIATUTTO COMPLETO L=1750</t>
  </si>
  <si>
    <t>CODICI NEL BUFFER SEMILAVORATI</t>
  </si>
  <si>
    <t xml:space="preserve"> TELAIO COMPLETO PER TRINCIATUTTO L=1500 </t>
  </si>
  <si>
    <t xml:space="preserve"> TELAIO COMPLETO PER TRINCIATUTTO L=1750 </t>
  </si>
  <si>
    <t>INTERVALLO
RIORDINO [G]</t>
  </si>
  <si>
    <t>SCORTA 
SICUREZZA
[G]</t>
  </si>
  <si>
    <t>ALBERI COMPL. DI MARTELLI</t>
  </si>
  <si>
    <t>RASTRIELLIERA</t>
  </si>
  <si>
    <t>MAG PF</t>
  </si>
  <si>
    <t>BUFF TRANC</t>
  </si>
  <si>
    <t>BUFF PP</t>
  </si>
  <si>
    <t>BUFF SALD</t>
  </si>
  <si>
    <t>MAG MP STANDARDIZZATO</t>
  </si>
  <si>
    <t>Trinciatutto + Fresatrice Completi L=1500 + 1750</t>
  </si>
  <si>
    <t>CARTER</t>
  </si>
  <si>
    <t>STAFFE ATTACCO TRATTORE + STAFFE RINFORZO + PIASTRE LATERALI</t>
  </si>
  <si>
    <t>STAFFE ATTACCO TRATTORE + STAFFE RINFORZO</t>
  </si>
  <si>
    <t>TELAI COMPLETI F+T L=1500 E 1750</t>
  </si>
  <si>
    <t>lamierati</t>
  </si>
  <si>
    <t>Ingrangaggi</t>
  </si>
  <si>
    <t>Alberi completi</t>
  </si>
  <si>
    <t>Alberi trasmissione</t>
  </si>
  <si>
    <t>Rastrelli</t>
  </si>
  <si>
    <t>Potenzilità Ricettiva (Q)</t>
  </si>
  <si>
    <t>Potenzialità Ricettiva (UDC)</t>
  </si>
  <si>
    <t>Dimensioni UDC</t>
  </si>
  <si>
    <t>800X1000X800</t>
  </si>
  <si>
    <t>1500X2000X2000</t>
  </si>
  <si>
    <t>dimensione vano (Larghezza mm)</t>
  </si>
  <si>
    <t>dimensione vano (Lunghezza mm)</t>
  </si>
  <si>
    <t>dimensione vano (Altezza mm)</t>
  </si>
  <si>
    <t>Sovrapponibilità 
(Valore Max per la catasta)</t>
  </si>
  <si>
    <t>\</t>
  </si>
  <si>
    <t>NL (Numero Livelli)</t>
  </si>
  <si>
    <t>NORM</t>
  </si>
  <si>
    <t>SPEC</t>
  </si>
  <si>
    <t>H SCAFFALATURA</t>
  </si>
  <si>
    <t>LARGHEZZA CORR</t>
  </si>
  <si>
    <t>DIMENSIONAMENTO MODULI BASE BIFRONTALE</t>
  </si>
  <si>
    <t>AREA MB (m^2)</t>
  </si>
  <si>
    <t>N Udc in MB</t>
  </si>
  <si>
    <t>IMPRONTA</t>
  </si>
  <si>
    <t>% Corridoi</t>
  </si>
  <si>
    <t>Area Mag</t>
  </si>
  <si>
    <t>DIMENSIONAMENTO EFFETTIVO BIFRONTALE</t>
  </si>
  <si>
    <t>Uott</t>
  </si>
  <si>
    <t>Vott</t>
  </si>
  <si>
    <t>NC (Numero Corridoi)</t>
  </si>
  <si>
    <t>Ueff</t>
  </si>
  <si>
    <t>NV (Numero di Colonne Di Vani)</t>
  </si>
  <si>
    <t>Veff</t>
  </si>
  <si>
    <t>Preff</t>
  </si>
  <si>
    <t>Area Mag Effettiva</t>
  </si>
  <si>
    <t>Rapporto</t>
  </si>
  <si>
    <t>Carrello elevatore tipo</t>
  </si>
  <si>
    <t>BT Reflex 1.6t Stretto</t>
  </si>
  <si>
    <t>Montante</t>
  </si>
  <si>
    <t>Triplex Hi-Lo - A</t>
  </si>
  <si>
    <t>Altezza max (mm)</t>
  </si>
  <si>
    <t>Corridoio di stivaggio con pallet 800x1200 (mm)</t>
  </si>
  <si>
    <t>Velocità di traslazione (m/s)</t>
  </si>
  <si>
    <t>km/h</t>
  </si>
  <si>
    <t>Velocità di sollevamento (m/s)</t>
  </si>
  <si>
    <t>m/s</t>
  </si>
  <si>
    <t>Velocità di discesa (m/s)</t>
  </si>
  <si>
    <t>Tempi Fissi (s)</t>
  </si>
  <si>
    <t>Coefficente di sicurezza</t>
  </si>
  <si>
    <t>L (m)</t>
  </si>
  <si>
    <t>H (m)</t>
  </si>
  <si>
    <t>DISTANZA CARRELLO 
ASSEMBLAGGIO - KITTING (L)</t>
  </si>
  <si>
    <t>DISTANZA CARRELLO TRINCIATURA - BUFFER TRINCIATURA</t>
  </si>
  <si>
    <t>DISTANZA CARRELLO 
PSP - BUFFER PSP</t>
  </si>
  <si>
    <t>DISTANZA CARRELLO 
SALDATURA - BUFFER SALDATURA</t>
  </si>
  <si>
    <t>DISTANZA CARRELLO 
ZONA RICETTIVA - MAG MP</t>
  </si>
  <si>
    <t>TEMPO MEDIO ATTRAVERSAMENTO ASSEMBLAGGIO - BUFFER</t>
  </si>
  <si>
    <t>TEMPO MEDIO ATTRAVERSAMENTO TRINCIATURA - BUFFER TRINCIATURA</t>
  </si>
  <si>
    <t>TEMPO MEDIO ATTRAVERSAMENTO PSP - BUFFER PSP</t>
  </si>
  <si>
    <t>TEMPO MEDIO ATTRAVERSAMENTO SALDATURA - BUFFER SALDATURA</t>
  </si>
  <si>
    <t>TEMPO MEDIO ATTRAVERSAMENTO ZONA RICETTIVA - MAG MP</t>
  </si>
  <si>
    <t>PM TEO (h)</t>
  </si>
  <si>
    <t>PMcar
(h)</t>
  </si>
  <si>
    <t>NUM. CARRELLI ELEVATORI</t>
  </si>
  <si>
    <t>POT. MOV. EFFETTIVA</t>
  </si>
  <si>
    <t>DISTANZA CARRELLO KITTING -PF</t>
  </si>
  <si>
    <t>DISTANZA CARRELLO 
BUFFER TRINCIATURA - PSP</t>
  </si>
  <si>
    <t>DISTANZA CARRELLO 
BUFFER PSP - SALDATURA</t>
  </si>
  <si>
    <t>DISTANZA CARRELLO BUFFER SALDATURA -ASSEMBLAGGIO</t>
  </si>
  <si>
    <t>DISTANZA CARRELLO 
MAG MP - PICKING</t>
  </si>
  <si>
    <t xml:space="preserve">TEMPO MEDIO ATTRAVERSAMENTO KITTING -PF </t>
  </si>
  <si>
    <t>TEMPO MEDIO ATTRAVERSAMENTO BUFFER TRINCIATURA - PSP</t>
  </si>
  <si>
    <t>TEMPO MEDIO ATTRAVERSAMENTO BUFFER SALDATURA -ASSEMBLAGGIO</t>
  </si>
  <si>
    <t>TEMPO MEDIO ATTRAVERSAMENTO MAG MP - PICKING</t>
  </si>
  <si>
    <t>DISTANZA CARRELLO 
MAG PF - AREA SPEDIZIONI</t>
  </si>
  <si>
    <t>DISTANZA CARRELLO 
BUFFER TRINCIATURA - SALDATURA</t>
  </si>
  <si>
    <t>DISTANZA CARRELLO 
PICKING - REPARTI PRODUTTIVI</t>
  </si>
  <si>
    <t>TEMPO MEDIO ATTRAVERSAMENTO MAG PF - AREA SPEDIZIONE</t>
  </si>
  <si>
    <t>TEMPO MEDIO ATTRAVERSAMENTO PICKING - REPARTI PRODUTTIVI</t>
  </si>
  <si>
    <t>PM TEO
IN</t>
  </si>
  <si>
    <t>Cicli Transfer</t>
  </si>
  <si>
    <t>Mag PF</t>
  </si>
  <si>
    <t>Buff_Trinciati</t>
  </si>
  <si>
    <t>Buff_Pressopiegati</t>
  </si>
  <si>
    <t>Buff_Saldatura</t>
  </si>
  <si>
    <t>MAG. MP</t>
  </si>
  <si>
    <t>Fresatrice</t>
  </si>
  <si>
    <t>Staffe Rinforzo Trinciate</t>
  </si>
  <si>
    <t>Piastre Attacco Trattore Trinciate</t>
  </si>
  <si>
    <t>Staffe Rinforzo Pressopiegate</t>
  </si>
  <si>
    <t>Staffe Attacco Trattore Pressopiegate</t>
  </si>
  <si>
    <t>Telaio</t>
  </si>
  <si>
    <t>Lamierati</t>
  </si>
  <si>
    <t>Ingranaggi</t>
  </si>
  <si>
    <t xml:space="preserve">Albero completo </t>
  </si>
  <si>
    <t xml:space="preserve">Albero di trasmissione </t>
  </si>
  <si>
    <t>Attività</t>
  </si>
  <si>
    <t>Assemblaggio</t>
  </si>
  <si>
    <t>MAG. SEMILAV</t>
  </si>
  <si>
    <t>MAG. SEMILVA</t>
  </si>
  <si>
    <t>Ticking</t>
  </si>
  <si>
    <t>Buff_Trinciatura</t>
  </si>
  <si>
    <t>Picking MP</t>
  </si>
  <si>
    <t>Picking semilavorati</t>
  </si>
  <si>
    <t>Magazzino PF</t>
  </si>
  <si>
    <t>Prod. Mensile</t>
  </si>
  <si>
    <t>N° Transfer</t>
  </si>
  <si>
    <t>N° UDC</t>
  </si>
  <si>
    <t>N° Totale di transfer</t>
  </si>
  <si>
    <t>DISTANZA</t>
  </si>
  <si>
    <t>ZON RIC</t>
  </si>
  <si>
    <t>MP</t>
  </si>
  <si>
    <t>M SEMIL</t>
  </si>
  <si>
    <t>PICKING T</t>
  </si>
  <si>
    <t>PICKING S/A</t>
  </si>
  <si>
    <t>TRANC</t>
  </si>
  <si>
    <t>ASS</t>
  </si>
  <si>
    <t>BUFF T</t>
  </si>
  <si>
    <t>PRESSOP</t>
  </si>
  <si>
    <t>BUFFER PP</t>
  </si>
  <si>
    <t>SAL</t>
  </si>
  <si>
    <t>BUFF S</t>
  </si>
  <si>
    <t>KITTING</t>
  </si>
  <si>
    <t>PF</t>
  </si>
  <si>
    <t>SPEDIZIONI</t>
  </si>
  <si>
    <t>BUFFER T</t>
  </si>
  <si>
    <t>https://toyota-forklifts.it/i-nostri-carrelli/carrelli-retrattili/per-corridoi-di-stivaggio-stretti/bt-reflex-16t-stretto/</t>
  </si>
  <si>
    <t>Scaffali - Scaffalature portapallet per bancali ed europallet (gaesco.it)</t>
  </si>
  <si>
    <t>DIMENSIONI BILICO</t>
  </si>
  <si>
    <t>DATI</t>
  </si>
  <si>
    <t>A base (m^2)</t>
  </si>
  <si>
    <t>Q: numero di unità di carico di materia prima in ingresso per unità di tempo.</t>
  </si>
  <si>
    <t>tS : tempo di scarico di un mezzo.</t>
  </si>
  <si>
    <t>W (m)</t>
  </si>
  <si>
    <t>Vol (m^3)</t>
  </si>
  <si>
    <t>M: tasso di arrivo di mezzi per unità di tempo</t>
  </si>
  <si>
    <t>tM tempo di accettazione merce e di movimentazione verso magazzino materie prime.</t>
  </si>
  <si>
    <t>Alberi di trasmissione</t>
  </si>
  <si>
    <t>A: area di base di un’unità di carico.</t>
  </si>
  <si>
    <t>prodotto</t>
  </si>
  <si>
    <t>dim udc</t>
  </si>
  <si>
    <t>Lunghezza</t>
  </si>
  <si>
    <t>Larghezza</t>
  </si>
  <si>
    <t>Altezza</t>
  </si>
  <si>
    <t>sovr</t>
  </si>
  <si>
    <t xml:space="preserve">udc/gg ingresso </t>
  </si>
  <si>
    <t>Area Base UDC (m^2)</t>
  </si>
  <si>
    <t>N Udc sulla base del bilico</t>
  </si>
  <si>
    <t>N Udc per bilico</t>
  </si>
  <si>
    <t>bilici necessari</t>
  </si>
  <si>
    <t>Fornitore 1</t>
  </si>
  <si>
    <t>Fornitore 2</t>
  </si>
  <si>
    <t>Fornitore 3</t>
  </si>
  <si>
    <t>ALBERO CON FRESE E ALBERI COMPLETI</t>
  </si>
  <si>
    <t>Fornitore 4</t>
  </si>
  <si>
    <t>RASTRELLO COMPLETA PER L=1500</t>
  </si>
  <si>
    <t>RASTRELLO COMPLETO PER L=1750</t>
  </si>
  <si>
    <t>Caso ottimizzato</t>
  </si>
  <si>
    <t>N° banchine ricevimento</t>
  </si>
  <si>
    <t>Area di ricevimento merci (m^2)</t>
  </si>
  <si>
    <t>Trinciatutto</t>
  </si>
  <si>
    <t>MOVIMENTI MENSILI [UDC pieni]</t>
  </si>
  <si>
    <r>
      <rPr>
        <b/>
        <sz val="12"/>
        <color theme="1"/>
        <rFont val="Calibri"/>
        <family val="2"/>
        <scheme val="minor"/>
      </rPr>
      <t>DA</t>
    </r>
    <r>
      <rPr>
        <sz val="11"/>
        <color theme="1"/>
        <rFont val="Calibri"/>
        <family val="2"/>
        <scheme val="minor"/>
      </rPr>
      <t xml:space="preserve"> (righe)</t>
    </r>
    <r>
      <rPr>
        <b/>
        <sz val="11"/>
        <color theme="1"/>
        <rFont val="Calibri"/>
        <family val="2"/>
        <scheme val="minor"/>
      </rPr>
      <t xml:space="preserve">  /</t>
    </r>
    <r>
      <rPr>
        <sz val="11"/>
        <color theme="1"/>
        <rFont val="Calibri"/>
        <family val="2"/>
        <scheme val="minor"/>
      </rPr>
      <t xml:space="preserve">
</t>
    </r>
    <r>
      <rPr>
        <b/>
        <sz val="12"/>
        <color theme="1"/>
        <rFont val="Calibri"/>
        <family val="2"/>
        <scheme val="minor"/>
      </rPr>
      <t>A</t>
    </r>
    <r>
      <rPr>
        <sz val="11"/>
        <color theme="1"/>
        <rFont val="Calibri"/>
        <family val="2"/>
        <scheme val="minor"/>
      </rPr>
      <t xml:space="preserve"> (colonne)</t>
    </r>
  </si>
  <si>
    <t>MAG. PF</t>
  </si>
  <si>
    <t>BUFF_SALD</t>
  </si>
  <si>
    <t>BUFF_PSP</t>
  </si>
  <si>
    <t>PSP</t>
  </si>
  <si>
    <t>BUFF_TRNC</t>
  </si>
  <si>
    <t>Picking Semilavorati</t>
  </si>
  <si>
    <t>N° di transfer per ciclo</t>
  </si>
  <si>
    <t>Cicli Transfer Fresatrice</t>
  </si>
  <si>
    <t>MAG SEMILAV</t>
  </si>
  <si>
    <t>Albero di trasmissione per macchine</t>
  </si>
  <si>
    <t>Ruota dentata conica</t>
  </si>
  <si>
    <t>Ruota dentata cilindrica</t>
  </si>
  <si>
    <t>Albero completo fresa per fesatrice</t>
  </si>
  <si>
    <t>Foglio Lamiera</t>
  </si>
  <si>
    <t>Cicli Transfer Trinciatutto</t>
  </si>
  <si>
    <t>Albero completo di martelli per Trinciatutto</t>
  </si>
  <si>
    <t>Rastrello per Trinciatutto</t>
  </si>
  <si>
    <t>TOT</t>
  </si>
  <si>
    <t>INGRESSI MENSILI [UDC/MESE] 
A MAG MP</t>
  </si>
  <si>
    <t>LAMIERE
(PEDANE)</t>
  </si>
  <si>
    <t>INGRANAGGI
(NORM.)</t>
  </si>
  <si>
    <t>ALBERI DI TRASM.
(NORM.)</t>
  </si>
  <si>
    <t>ALBERI CON FRESE
(SPEC.)</t>
  </si>
  <si>
    <t>Per il dimensionamento delle banchine (e delle aree di ricevimento) si considera la situazione peggiore in cui nello stesso giorno si ricevono tutte le famiglie di componenti per le quantità dei rispettivi giorni di copertura</t>
  </si>
  <si>
    <t>USCITE MENSILI [UDC/MESE] DA MAGAZZINO PF</t>
  </si>
  <si>
    <t>FRESE COMPL.1500
(SPECIF.)</t>
  </si>
  <si>
    <t>FRESE COMPL. 1750
(SPECIF.)</t>
  </si>
  <si>
    <t>Le partenze dal magazzino PF avvengono tutti i giorni. 
Si spedisce la quantità giornaliera.</t>
  </si>
  <si>
    <t>Per il dimensionamento delle banchine (e delle aree di spedizione) si calcola il numero di UDC giornaliere</t>
  </si>
  <si>
    <t>DESCRIZIONE DEI SINGOLI PEZZI/SOTTOGRUPPI/PRODOTTO FINITO  MOVIMENTATI</t>
  </si>
  <si>
    <r>
      <rPr>
        <b/>
        <sz val="12"/>
        <color theme="1"/>
        <rFont val="Calibri"/>
        <family val="2"/>
        <scheme val="minor"/>
      </rPr>
      <t xml:space="preserve">DIMENSIONI SAGOMA </t>
    </r>
    <r>
      <rPr>
        <b/>
        <sz val="9"/>
        <color theme="1"/>
        <rFont val="Calibri"/>
        <family val="2"/>
        <scheme val="minor"/>
      </rPr>
      <t>[mm]</t>
    </r>
  </si>
  <si>
    <t>PESO UN.
[kg]</t>
  </si>
  <si>
    <t>1000x1500</t>
  </si>
  <si>
    <t>1000x2000</t>
  </si>
  <si>
    <t xml:space="preserve">RUOTE DENTATE CONICHE </t>
  </si>
  <si>
    <r>
      <rPr>
        <sz val="11"/>
        <color theme="1"/>
        <rFont val="Calibri"/>
        <family val="2"/>
      </rPr>
      <t>φ80</t>
    </r>
    <r>
      <rPr>
        <sz val="11"/>
        <color theme="1"/>
        <rFont val="Calibri"/>
        <family val="2"/>
        <scheme val="minor"/>
      </rPr>
      <t>x100</t>
    </r>
  </si>
  <si>
    <r>
      <rPr>
        <sz val="11"/>
        <color theme="1"/>
        <rFont val="Calibri"/>
        <family val="2"/>
      </rPr>
      <t>φ200</t>
    </r>
    <r>
      <rPr>
        <sz val="11"/>
        <color theme="1"/>
        <rFont val="Calibri"/>
        <family val="2"/>
        <scheme val="minor"/>
      </rPr>
      <t>x30</t>
    </r>
  </si>
  <si>
    <t>https://www.directindustry.it/prod/atis-srl/product-38831-2038630.html</t>
  </si>
  <si>
    <t>1000x1500x600</t>
  </si>
  <si>
    <t>1000x1750x600</t>
  </si>
  <si>
    <r>
      <rPr>
        <sz val="11"/>
        <color theme="1"/>
        <rFont val="Calibri"/>
        <family val="2"/>
      </rPr>
      <t>φ200</t>
    </r>
    <r>
      <rPr>
        <sz val="11"/>
        <color theme="1"/>
        <rFont val="Calibri"/>
        <family val="2"/>
        <scheme val="minor"/>
      </rPr>
      <t>x1400</t>
    </r>
  </si>
  <si>
    <r>
      <rPr>
        <sz val="11"/>
        <color theme="1"/>
        <rFont val="Calibri"/>
        <family val="2"/>
      </rPr>
      <t>φ200</t>
    </r>
    <r>
      <rPr>
        <sz val="11"/>
        <color theme="1"/>
        <rFont val="Calibri"/>
        <family val="2"/>
        <scheme val="minor"/>
      </rPr>
      <t>x1650</t>
    </r>
  </si>
  <si>
    <r>
      <rPr>
        <sz val="11"/>
        <color theme="1"/>
        <rFont val="Calibri"/>
        <family val="2"/>
      </rPr>
      <t>φ50</t>
    </r>
    <r>
      <rPr>
        <sz val="11"/>
        <color theme="1"/>
        <rFont val="Calibri"/>
        <family val="2"/>
        <scheme val="minor"/>
      </rPr>
      <t>x700</t>
    </r>
  </si>
  <si>
    <r>
      <rPr>
        <sz val="11"/>
        <color theme="1"/>
        <rFont val="Calibri"/>
        <family val="2"/>
      </rPr>
      <t>φ50</t>
    </r>
    <r>
      <rPr>
        <sz val="11"/>
        <color theme="1"/>
        <rFont val="Calibri"/>
        <family val="2"/>
        <scheme val="minor"/>
      </rPr>
      <t>x900</t>
    </r>
  </si>
  <si>
    <t>600x1500</t>
  </si>
  <si>
    <t>400x1500x300</t>
  </si>
  <si>
    <t>600x1750</t>
  </si>
  <si>
    <t>400x1750x300</t>
  </si>
  <si>
    <t>200x400</t>
  </si>
  <si>
    <t>150x400x50</t>
  </si>
  <si>
    <t>200x350</t>
  </si>
  <si>
    <t>150x350x70</t>
  </si>
  <si>
    <t>500x600</t>
  </si>
  <si>
    <t xml:space="preserve">AREE DI SERVIZIO </t>
  </si>
  <si>
    <t>SUPERFICIE OCCUPATA 
[MQ]</t>
  </si>
  <si>
    <t>AREA EFFETTIVA</t>
  </si>
  <si>
    <t>Calcolo del numero di addetti alla logistica interna e numero operatori dedicati alla produzione e ai magazzini;</t>
  </si>
  <si>
    <t>Attrezzeria e manutenzione</t>
  </si>
  <si>
    <t>Isola tecnica (adiacente al fabbricato principale)</t>
  </si>
  <si>
    <t xml:space="preserve">Area ricarica carrelli </t>
  </si>
  <si>
    <t>(in funzione del numero di carrelli)</t>
  </si>
  <si>
    <t>Uffici (comprensivo di sale riunioni, ingresso, reception scale ecc)</t>
  </si>
  <si>
    <t xml:space="preserve">25 mq/dipendente </t>
  </si>
  <si>
    <t>Spogliatoi (solo per il personale di fabbrica diretto e indiretto)</t>
  </si>
  <si>
    <t>1,6 mq/dipendente</t>
  </si>
  <si>
    <t>Servizi igienici (sia in fabbrica che negli uffici)</t>
  </si>
  <si>
    <t>0,25 mq/dipendente</t>
  </si>
  <si>
    <t>UFFICI</t>
  </si>
  <si>
    <t>FABBRICA</t>
  </si>
  <si>
    <t>Mensa (per tutti i dipendenti di fabbrica e in ufficio)</t>
  </si>
  <si>
    <t>1,5 mq/dipendente</t>
  </si>
  <si>
    <t>Aree di ristoro</t>
  </si>
  <si>
    <t>20 mq/cad</t>
  </si>
  <si>
    <t>Infermeria</t>
  </si>
  <si>
    <t>80 mq</t>
  </si>
  <si>
    <t>Uffici capi e supervisori</t>
  </si>
  <si>
    <t xml:space="preserve">5 mq/dipendente </t>
  </si>
  <si>
    <t>PARCHEGGI AUTO</t>
  </si>
  <si>
    <t>0,4-0,6/dipendente*20-25mq</t>
  </si>
  <si>
    <t>PARCHEGGI BICI/MOTO</t>
  </si>
  <si>
    <t>0,1/dipendente*3mq</t>
  </si>
  <si>
    <t>UN.</t>
  </si>
  <si>
    <t>IMPORTO</t>
  </si>
  <si>
    <t>REPARTO</t>
  </si>
  <si>
    <t>DIPENDENTI</t>
  </si>
  <si>
    <t>CAPI/SUPERVISORI</t>
  </si>
  <si>
    <t>Punzonatrici</t>
  </si>
  <si>
    <t>€/cad</t>
  </si>
  <si>
    <t>PP</t>
  </si>
  <si>
    <t xml:space="preserve">Box di saldatura completi </t>
  </si>
  <si>
    <t>TRINC</t>
  </si>
  <si>
    <t>Linea di montaggio</t>
  </si>
  <si>
    <t>€/m</t>
  </si>
  <si>
    <t>CARRELLI</t>
  </si>
  <si>
    <t>Edificio industriale</t>
  </si>
  <si>
    <t>€/m2</t>
  </si>
  <si>
    <t>Impianti generali</t>
  </si>
  <si>
    <t>Scaffalature tradizionali</t>
  </si>
  <si>
    <t>€/vano</t>
  </si>
  <si>
    <t xml:space="preserve">Scaffalature drive in </t>
  </si>
  <si>
    <t>Scaffalature a gravità</t>
  </si>
  <si>
    <t>Carrelli a forche h sollev. 3m</t>
  </si>
  <si>
    <t>Carrelli a forche h sollev.  6m</t>
  </si>
  <si>
    <t>Carrelli trilaterali h soll &gt; 10 m</t>
  </si>
  <si>
    <t>Trasportatori a rulli folli</t>
  </si>
  <si>
    <t>Trasportatori a rulli motorizzati</t>
  </si>
  <si>
    <t>Trasportatori aerei a catena</t>
  </si>
  <si>
    <t>Portoni</t>
  </si>
  <si>
    <t>Bocche di carico</t>
  </si>
  <si>
    <t>Porte di sicurezza</t>
  </si>
  <si>
    <t>ORGANIZZAZIONE DEI PROCESSI PER REPARTO FRESATRICE</t>
  </si>
  <si>
    <t xml:space="preserve">ORGANIZZAZIONE DEI PROCESSI PER REPARTO FRESATRICE </t>
  </si>
  <si>
    <t>DIMENSIONAMENTO STATICO</t>
  </si>
  <si>
    <t>Fresatrice e Trinciautto (1500+ 1750)</t>
  </si>
  <si>
    <t>Cicli Transfer Totali (Fresatrice + Trinciatutto)</t>
  </si>
  <si>
    <t>CALCOLO NUMERO CARRELLI</t>
  </si>
  <si>
    <t>NUM CARRELLI BUFFER TRINCIA</t>
  </si>
  <si>
    <t>NUM CARRELLI MAG. PF</t>
  </si>
  <si>
    <t>NUM CARRELLI BUFFER PSP</t>
  </si>
  <si>
    <t>NUM CARRELLI TOTALI</t>
  </si>
  <si>
    <t>NUM CARRELLI BUFFER SALDATURA</t>
  </si>
  <si>
    <t>NUM CARRELLI MAG. MP</t>
  </si>
  <si>
    <t>DISTANZE REALI CALCOLATI DAL LAYOUT DEFINITIVO</t>
  </si>
  <si>
    <t>Capi stabilimento compreso nel 20% degli uffici</t>
  </si>
  <si>
    <t>Fresatrice Completi L=1500 + 1750</t>
  </si>
  <si>
    <t>DIMENSIONAMENTO BANCHINE MATERIE PRIME</t>
  </si>
  <si>
    <t>DIMENSIONAMENTO BANCHINE PRODOTTI FINITI</t>
  </si>
  <si>
    <r>
      <rPr>
        <b/>
        <sz val="11"/>
        <color theme="1"/>
        <rFont val="Calibri"/>
        <family val="2"/>
        <scheme val="minor"/>
      </rPr>
      <t>SCHEDULE</t>
    </r>
    <r>
      <rPr>
        <sz val="11"/>
        <color theme="1"/>
        <rFont val="Calibri"/>
        <family val="2"/>
        <scheme val="minor"/>
      </rPr>
      <t xml:space="preserve"> per la determinazione del giorno in cui arrivano il maggior numero di materie prime.</t>
    </r>
  </si>
  <si>
    <t>CSU</t>
  </si>
  <si>
    <t>CALCOLO COEFFICENTE DI SFRUTTAMENTO SUPERFICIALE</t>
  </si>
  <si>
    <t>CALCOLO COEFFICENTE DI SFRUTTAMENTO VOLUMETRICO</t>
  </si>
  <si>
    <t>Area Mag Occupata</t>
  </si>
  <si>
    <t>CUV</t>
  </si>
  <si>
    <t>Volume Mag Effettiva</t>
  </si>
  <si>
    <t>Volume Mag Occupata</t>
  </si>
  <si>
    <t>Kitting</t>
  </si>
  <si>
    <t>Altezza Capannone</t>
  </si>
  <si>
    <t>% Altezza inutilizzata</t>
  </si>
  <si>
    <t xml:space="preserve"> </t>
  </si>
  <si>
    <t>Braccio Manipolatore</t>
  </si>
  <si>
    <t>Link scaffalatura</t>
  </si>
  <si>
    <t>Link carrello elevatore</t>
  </si>
  <si>
    <t>Link utili</t>
  </si>
  <si>
    <t>Area Parcheggi</t>
  </si>
  <si>
    <t>N° Parcheggi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</si>
</sst>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_ ;\-0.00\ "/>
    <numFmt numFmtId="165" formatCode="0.0%"/>
    <numFmt numFmtId="166" formatCode="0.0"/>
    <numFmt numFmtId="167" formatCode="#,##0.0"/>
    <numFmt numFmtId="168" formatCode="0.0000"/>
    <numFmt numFmtId="169" formatCode="0.000000000000000%"/>
    <numFmt numFmtId="170" formatCode="0.000"/>
  </numFmts>
  <fonts count="54" x14ac:knownFonts="1">
    <font>
      <sz val="11"/>
      <color theme="1"/>
      <name val="Calibri"/>
      <family val="2"/>
      <scheme val="minor"/>
    </font>
    <font>
      <b/>
      <sz val="11"/>
      <color theme="1"/>
      <name val="Calibri"/>
      <family val="2"/>
      <scheme val="minor"/>
    </font>
    <font>
      <b/>
      <sz val="12"/>
      <color theme="1"/>
      <name val="Calibri"/>
      <family val="2"/>
      <scheme val="minor"/>
    </font>
    <font>
      <b/>
      <sz val="9"/>
      <color indexed="81"/>
      <name val="Tahoma"/>
      <family val="2"/>
    </font>
    <font>
      <b/>
      <sz val="16"/>
      <color theme="1"/>
      <name val="Calibri"/>
      <family val="2"/>
      <scheme val="minor"/>
    </font>
    <font>
      <sz val="12"/>
      <color theme="1"/>
      <name val="Calibri"/>
      <family val="2"/>
      <scheme val="minor"/>
    </font>
    <font>
      <b/>
      <sz val="10"/>
      <color theme="1"/>
      <name val="Calibri"/>
      <family val="2"/>
      <scheme val="minor"/>
    </font>
    <font>
      <b/>
      <sz val="9"/>
      <color theme="1"/>
      <name val="Calibri"/>
      <family val="2"/>
      <scheme val="minor"/>
    </font>
    <font>
      <b/>
      <sz val="18"/>
      <color theme="1"/>
      <name val="Calibri"/>
      <family val="2"/>
      <scheme val="minor"/>
    </font>
    <font>
      <sz val="14"/>
      <color theme="1"/>
      <name val="Calibri"/>
      <family val="2"/>
      <scheme val="minor"/>
    </font>
    <font>
      <sz val="16"/>
      <color theme="1"/>
      <name val="Calibri"/>
      <family val="2"/>
    </font>
    <font>
      <b/>
      <sz val="14"/>
      <color theme="1"/>
      <name val="Calibri"/>
      <family val="2"/>
      <scheme val="minor"/>
    </font>
    <font>
      <b/>
      <sz val="20"/>
      <color rgb="FFFF0000"/>
      <name val="Calibri"/>
      <family val="2"/>
      <scheme val="minor"/>
    </font>
    <font>
      <sz val="11"/>
      <color theme="1"/>
      <name val="Calibri"/>
      <family val="2"/>
    </font>
    <font>
      <sz val="11"/>
      <name val="Calibri"/>
      <family val="2"/>
      <scheme val="minor"/>
    </font>
    <font>
      <sz val="10"/>
      <name val="Segoe UI"/>
      <family val="2"/>
    </font>
    <font>
      <b/>
      <u/>
      <sz val="11"/>
      <color theme="1"/>
      <name val="Calibri"/>
      <family val="2"/>
      <scheme val="minor"/>
    </font>
    <font>
      <u/>
      <sz val="11"/>
      <color theme="1"/>
      <name val="Calibri"/>
      <family val="2"/>
      <scheme val="minor"/>
    </font>
    <font>
      <b/>
      <sz val="36"/>
      <color theme="1"/>
      <name val="Calibri"/>
      <family val="2"/>
      <scheme val="minor"/>
    </font>
    <font>
      <sz val="18"/>
      <color theme="1"/>
      <name val="Calibri"/>
      <family val="2"/>
      <scheme val="minor"/>
    </font>
    <font>
      <i/>
      <sz val="18"/>
      <color theme="1"/>
      <name val="Calibri"/>
      <family val="2"/>
      <scheme val="minor"/>
    </font>
    <font>
      <i/>
      <sz val="11"/>
      <color theme="1"/>
      <name val="Calibri"/>
      <family val="2"/>
      <scheme val="minor"/>
    </font>
    <font>
      <b/>
      <sz val="24"/>
      <color rgb="FFFF0000"/>
      <name val="Calibri"/>
      <family val="2"/>
      <scheme val="minor"/>
    </font>
    <font>
      <b/>
      <sz val="28"/>
      <color rgb="FFFF0000"/>
      <name val="Calibri"/>
      <family val="2"/>
      <scheme val="minor"/>
    </font>
    <font>
      <b/>
      <sz val="22"/>
      <color rgb="FFFF0000"/>
      <name val="Calibri"/>
      <family val="2"/>
      <scheme val="minor"/>
    </font>
    <font>
      <sz val="11"/>
      <color theme="7" tint="-0.249977111117893"/>
      <name val="Calibri"/>
      <family val="2"/>
      <scheme val="minor"/>
    </font>
    <font>
      <sz val="11"/>
      <color rgb="FFFF0000"/>
      <name val="Calibri"/>
      <family val="2"/>
      <scheme val="minor"/>
    </font>
    <font>
      <sz val="14"/>
      <color rgb="FF000000"/>
      <name val="Calibri"/>
      <family val="2"/>
    </font>
    <font>
      <sz val="11"/>
      <color theme="1"/>
      <name val="Calibri"/>
      <family val="2"/>
      <scheme val="minor"/>
    </font>
    <font>
      <u/>
      <sz val="14"/>
      <color rgb="FF000000"/>
      <name val="Calibri"/>
      <family val="2"/>
      <scheme val="minor"/>
    </font>
    <font>
      <sz val="14"/>
      <color rgb="FF000000"/>
      <name val="Calibri"/>
      <family val="2"/>
      <scheme val="minor"/>
    </font>
    <font>
      <sz val="11"/>
      <name val="Calibri"/>
      <family val="2"/>
    </font>
    <font>
      <b/>
      <sz val="12"/>
      <color rgb="FFFF0000"/>
      <name val="Calibri"/>
      <family val="2"/>
      <scheme val="minor"/>
    </font>
    <font>
      <b/>
      <u/>
      <sz val="11"/>
      <name val="Calibri"/>
      <family val="2"/>
    </font>
    <font>
      <b/>
      <sz val="11"/>
      <name val="Calibri"/>
      <family val="2"/>
    </font>
    <font>
      <b/>
      <sz val="11"/>
      <color rgb="FF000000"/>
      <name val="Calibri"/>
      <family val="2"/>
      <scheme val="minor"/>
    </font>
    <font>
      <i/>
      <sz val="11"/>
      <color rgb="FFC00000"/>
      <name val="Calibri"/>
      <family val="2"/>
    </font>
    <font>
      <sz val="11"/>
      <color rgb="FFC00000"/>
      <name val="Calibri"/>
      <family val="2"/>
    </font>
    <font>
      <b/>
      <sz val="20"/>
      <color theme="1"/>
      <name val="Calibri"/>
      <family val="2"/>
      <scheme val="minor"/>
    </font>
    <font>
      <b/>
      <sz val="8"/>
      <color theme="1"/>
      <name val="Calibri"/>
      <family val="2"/>
      <scheme val="minor"/>
    </font>
    <font>
      <sz val="11"/>
      <color rgb="FF000000"/>
      <name val="Calibri"/>
      <family val="2"/>
      <scheme val="minor"/>
    </font>
    <font>
      <u/>
      <sz val="11"/>
      <name val="Calibri"/>
      <family val="2"/>
    </font>
    <font>
      <b/>
      <sz val="14"/>
      <color rgb="FF000000"/>
      <name val="Calibri"/>
      <family val="2"/>
      <scheme val="minor"/>
    </font>
    <font>
      <b/>
      <sz val="12"/>
      <color rgb="FF000000"/>
      <name val="Calibri"/>
      <family val="2"/>
      <scheme val="minor"/>
    </font>
    <font>
      <sz val="16"/>
      <color rgb="FF000000"/>
      <name val="Calibri"/>
      <family val="2"/>
      <scheme val="minor"/>
    </font>
    <font>
      <sz val="16"/>
      <color theme="1"/>
      <name val="Calibri"/>
      <family val="2"/>
      <scheme val="minor"/>
    </font>
    <font>
      <u/>
      <sz val="11"/>
      <color theme="10"/>
      <name val="Calibri"/>
      <family val="2"/>
      <scheme val="minor"/>
    </font>
    <font>
      <sz val="12"/>
      <color rgb="FF040C28"/>
      <name val="Arial"/>
      <family val="2"/>
    </font>
    <font>
      <sz val="22"/>
      <color theme="1"/>
      <name val="Calibri"/>
      <family val="2"/>
      <scheme val="minor"/>
    </font>
    <font>
      <sz val="12"/>
      <name val="Calibri"/>
      <family val="2"/>
    </font>
    <font>
      <b/>
      <sz val="26"/>
      <color theme="1"/>
      <name val="Calibri"/>
      <family val="2"/>
      <scheme val="minor"/>
    </font>
    <font>
      <sz val="20"/>
      <color theme="1"/>
      <name val="Calibri"/>
      <family val="2"/>
      <scheme val="minor"/>
    </font>
    <font>
      <b/>
      <sz val="22"/>
      <color theme="1"/>
      <name val="Calibri"/>
      <family val="2"/>
      <scheme val="minor"/>
    </font>
    <font>
      <sz val="24"/>
      <color theme="1"/>
      <name val="Calibri"/>
      <family val="2"/>
      <scheme val="minor"/>
    </font>
  </fonts>
  <fills count="34">
    <fill>
      <patternFill patternType="none"/>
    </fill>
    <fill>
      <patternFill patternType="gray125"/>
    </fill>
    <fill>
      <patternFill patternType="solid">
        <fgColor theme="0" tint="-0.14999847407452621"/>
        <bgColor indexed="64"/>
      </patternFill>
    </fill>
    <fill>
      <patternFill patternType="solid">
        <fgColor theme="0" tint="-0.499984740745262"/>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9"/>
        <bgColor indexed="64"/>
      </patternFill>
    </fill>
    <fill>
      <patternFill patternType="solid">
        <fgColor theme="3"/>
        <bgColor indexed="64"/>
      </patternFill>
    </fill>
    <fill>
      <patternFill patternType="solid">
        <fgColor theme="2" tint="-0.249977111117893"/>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1" tint="0.34998626667073579"/>
        <bgColor indexed="64"/>
      </patternFill>
    </fill>
    <fill>
      <patternFill patternType="solid">
        <fgColor theme="5" tint="0.59999389629810485"/>
        <bgColor indexed="64"/>
      </patternFill>
    </fill>
    <fill>
      <patternFill patternType="solid">
        <fgColor theme="2" tint="-9.9978637043366805E-2"/>
        <bgColor indexed="64"/>
      </patternFill>
    </fill>
    <fill>
      <patternFill patternType="solid">
        <fgColor theme="5" tint="0.39997558519241921"/>
        <bgColor indexed="64"/>
      </patternFill>
    </fill>
    <fill>
      <patternFill patternType="solid">
        <fgColor theme="0"/>
        <bgColor indexed="64"/>
      </patternFill>
    </fill>
    <fill>
      <patternFill patternType="solid">
        <fgColor rgb="FFFFC000"/>
        <bgColor indexed="64"/>
      </patternFill>
    </fill>
    <fill>
      <patternFill patternType="solid">
        <fgColor theme="8" tint="0.59999389629810485"/>
        <bgColor indexed="64"/>
      </patternFill>
    </fill>
    <fill>
      <patternFill patternType="solid">
        <fgColor theme="0" tint="-4.9989318521683403E-2"/>
        <bgColor indexed="64"/>
      </patternFill>
    </fill>
    <fill>
      <patternFill patternType="solid">
        <fgColor rgb="FFF8CBAD"/>
        <bgColor rgb="FF000000"/>
      </patternFill>
    </fill>
    <fill>
      <patternFill patternType="solid">
        <fgColor rgb="FFFFFFFF"/>
        <bgColor rgb="FF000000"/>
      </patternFill>
    </fill>
    <fill>
      <patternFill patternType="solid">
        <fgColor rgb="FFD0CECE"/>
        <bgColor rgb="FF000000"/>
      </patternFill>
    </fill>
    <fill>
      <patternFill patternType="solid">
        <fgColor rgb="FFB4C6E7"/>
        <bgColor rgb="FF000000"/>
      </patternFill>
    </fill>
    <fill>
      <patternFill patternType="solid">
        <fgColor rgb="FFC6E0B4"/>
        <bgColor rgb="FF000000"/>
      </patternFill>
    </fill>
    <fill>
      <patternFill patternType="solid">
        <fgColor theme="4" tint="0.79998168889431442"/>
        <bgColor indexed="64"/>
      </patternFill>
    </fill>
    <fill>
      <patternFill patternType="solid">
        <fgColor rgb="FFFF0000"/>
        <bgColor indexed="64"/>
      </patternFill>
    </fill>
    <fill>
      <patternFill patternType="solid">
        <fgColor theme="8" tint="0.79998168889431442"/>
        <bgColor indexed="64"/>
      </patternFill>
    </fill>
    <fill>
      <patternFill patternType="solid">
        <fgColor rgb="FF00B050"/>
        <bgColor indexed="64"/>
      </patternFill>
    </fill>
    <fill>
      <patternFill patternType="solid">
        <fgColor rgb="FF00B0F0"/>
        <bgColor indexed="64"/>
      </patternFill>
    </fill>
  </fills>
  <borders count="129">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medium">
        <color indexed="64"/>
      </left>
      <right style="thin">
        <color indexed="64"/>
      </right>
      <top style="thin">
        <color indexed="64"/>
      </top>
      <bottom/>
      <diagonal/>
    </border>
    <border>
      <left style="thin">
        <color rgb="FF000000"/>
      </left>
      <right style="medium">
        <color indexed="64"/>
      </right>
      <top/>
      <bottom style="thin">
        <color rgb="FF000000"/>
      </bottom>
      <diagonal/>
    </border>
    <border>
      <left style="thin">
        <color rgb="FF000000"/>
      </left>
      <right style="medium">
        <color indexed="64"/>
      </right>
      <top style="thin">
        <color rgb="FF000000"/>
      </top>
      <bottom style="thin">
        <color rgb="FF000000"/>
      </bottom>
      <diagonal/>
    </border>
    <border>
      <left style="thin">
        <color rgb="FF000000"/>
      </left>
      <right style="medium">
        <color indexed="64"/>
      </right>
      <top style="thin">
        <color rgb="FF000000"/>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indexed="64"/>
      </right>
      <top/>
      <bottom style="thin">
        <color indexed="64"/>
      </bottom>
      <diagonal/>
    </border>
    <border>
      <left style="thin">
        <color indexed="64"/>
      </left>
      <right style="medium">
        <color rgb="FF000000"/>
      </right>
      <top/>
      <bottom style="thin">
        <color indexed="64"/>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right style="thin">
        <color rgb="FF000000"/>
      </right>
      <top style="thin">
        <color rgb="FF000000"/>
      </top>
      <bottom/>
      <diagonal/>
    </border>
    <border>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medium">
        <color indexed="64"/>
      </right>
      <top/>
      <bottom style="medium">
        <color indexed="64"/>
      </bottom>
      <diagonal/>
    </border>
    <border>
      <left/>
      <right style="thin">
        <color rgb="FF000000"/>
      </right>
      <top style="thin">
        <color rgb="FF000000"/>
      </top>
      <bottom style="thin">
        <color rgb="FF000000"/>
      </bottom>
      <diagonal/>
    </border>
    <border>
      <left/>
      <right style="thin">
        <color rgb="FF000000"/>
      </right>
      <top/>
      <bottom/>
      <diagonal/>
    </border>
    <border>
      <left style="thin">
        <color indexed="64"/>
      </left>
      <right style="thin">
        <color rgb="FF000000"/>
      </right>
      <top style="thin">
        <color indexed="64"/>
      </top>
      <bottom style="thin">
        <color rgb="FF000000"/>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thin">
        <color rgb="FF000000"/>
      </right>
      <top/>
      <bottom style="thin">
        <color rgb="FF000000"/>
      </bottom>
      <diagonal/>
    </border>
    <border>
      <left style="medium">
        <color indexed="64"/>
      </left>
      <right/>
      <top style="thin">
        <color indexed="64"/>
      </top>
      <bottom style="thin">
        <color indexed="64"/>
      </bottom>
      <diagonal/>
    </border>
    <border>
      <left style="medium">
        <color indexed="64"/>
      </left>
      <right/>
      <top style="medium">
        <color indexed="64"/>
      </top>
      <bottom style="thin">
        <color rgb="FF000000"/>
      </bottom>
      <diagonal/>
    </border>
    <border>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top style="thin">
        <color indexed="64"/>
      </top>
      <bottom/>
      <diagonal/>
    </border>
    <border>
      <left style="thin">
        <color indexed="64"/>
      </left>
      <right style="medium">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top/>
      <bottom style="thin">
        <color rgb="FF000000"/>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bottom style="medium">
        <color indexed="64"/>
      </bottom>
      <diagonal/>
    </border>
    <border>
      <left style="thin">
        <color rgb="FF000000"/>
      </left>
      <right/>
      <top style="thin">
        <color rgb="FF000000"/>
      </top>
      <bottom style="thin">
        <color rgb="FF000000"/>
      </bottom>
      <diagonal/>
    </border>
    <border>
      <left style="thin">
        <color rgb="FF000000"/>
      </left>
      <right style="medium">
        <color rgb="FF000000"/>
      </right>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top/>
      <bottom style="thin">
        <color rgb="FF000000"/>
      </bottom>
      <diagonal/>
    </border>
    <border>
      <left style="medium">
        <color rgb="FF000000"/>
      </left>
      <right style="thin">
        <color rgb="FF000000"/>
      </right>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style="thin">
        <color rgb="FF000000"/>
      </top>
      <bottom/>
      <diagonal/>
    </border>
    <border>
      <left/>
      <right/>
      <top/>
      <bottom style="thin">
        <color rgb="FF000000"/>
      </bottom>
      <diagonal/>
    </border>
    <border>
      <left/>
      <right/>
      <top/>
      <bottom style="thin">
        <color indexed="64"/>
      </bottom>
      <diagonal/>
    </border>
    <border>
      <left/>
      <right style="medium">
        <color indexed="64"/>
      </right>
      <top style="medium">
        <color indexed="64"/>
      </top>
      <bottom style="thin">
        <color indexed="64"/>
      </bottom>
      <diagonal/>
    </border>
    <border>
      <left style="thin">
        <color rgb="FF000000"/>
      </left>
      <right style="medium">
        <color indexed="64"/>
      </right>
      <top style="thin">
        <color rgb="FF000000"/>
      </top>
      <bottom style="medium">
        <color indexed="64"/>
      </bottom>
      <diagonal/>
    </border>
    <border>
      <left style="thin">
        <color indexed="64"/>
      </left>
      <right style="medium">
        <color indexed="64"/>
      </right>
      <top style="medium">
        <color indexed="64"/>
      </top>
      <bottom/>
      <diagonal/>
    </border>
    <border>
      <left style="thin">
        <color rgb="FF000000"/>
      </left>
      <right/>
      <top style="thin">
        <color rgb="FF000000"/>
      </top>
      <bottom/>
      <diagonal/>
    </border>
    <border>
      <left style="thin">
        <color rgb="FF000000"/>
      </left>
      <right/>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style="thick">
        <color indexed="64"/>
      </right>
      <top style="thin">
        <color indexed="64"/>
      </top>
      <bottom style="thick">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ck">
        <color indexed="64"/>
      </top>
      <bottom/>
      <diagonal/>
    </border>
    <border>
      <left style="thick">
        <color indexed="64"/>
      </left>
      <right/>
      <top style="thin">
        <color indexed="64"/>
      </top>
      <bottom style="thick">
        <color indexed="64"/>
      </bottom>
      <diagonal/>
    </border>
    <border>
      <left style="thick">
        <color indexed="64"/>
      </left>
      <right/>
      <top style="thick">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style="thick">
        <color indexed="64"/>
      </left>
      <right/>
      <top style="thick">
        <color indexed="64"/>
      </top>
      <bottom/>
      <diagonal/>
    </border>
    <border>
      <left style="medium">
        <color rgb="FF000000"/>
      </left>
      <right style="thin">
        <color rgb="FF000000"/>
      </right>
      <top style="thin">
        <color rgb="FF000000"/>
      </top>
      <bottom style="thin">
        <color rgb="FF000000"/>
      </bottom>
      <diagonal/>
    </border>
    <border>
      <left style="thin">
        <color indexed="64"/>
      </left>
      <right style="thick">
        <color indexed="64"/>
      </right>
      <top/>
      <bottom/>
      <diagonal/>
    </border>
    <border>
      <left style="thick">
        <color indexed="64"/>
      </left>
      <right/>
      <top/>
      <bottom/>
      <diagonal/>
    </border>
  </borders>
  <cellStyleXfs count="3">
    <xf numFmtId="0" fontId="0" fillId="0" borderId="0"/>
    <xf numFmtId="9" fontId="28" fillId="0" borderId="0" applyFont="0" applyFill="0" applyBorder="0" applyAlignment="0" applyProtection="0"/>
    <xf numFmtId="0" fontId="46" fillId="0" borderId="0" applyNumberFormat="0" applyFill="0" applyBorder="0" applyAlignment="0" applyProtection="0"/>
  </cellStyleXfs>
  <cellXfs count="1125">
    <xf numFmtId="0" fontId="0" fillId="0" borderId="0" xfId="0"/>
    <xf numFmtId="0" fontId="0" fillId="0" borderId="0" xfId="0" applyAlignment="1">
      <alignment horizontal="center" vertical="center"/>
    </xf>
    <xf numFmtId="3" fontId="0" fillId="0" borderId="0" xfId="0" applyNumberFormat="1"/>
    <xf numFmtId="0" fontId="0" fillId="0" borderId="0" xfId="0" applyAlignment="1">
      <alignment horizontal="center"/>
    </xf>
    <xf numFmtId="3" fontId="0" fillId="0" borderId="0" xfId="0" applyNumberFormat="1" applyAlignment="1">
      <alignment horizontal="center"/>
    </xf>
    <xf numFmtId="0" fontId="0" fillId="0" borderId="0" xfId="0" applyAlignment="1">
      <alignment vertical="center"/>
    </xf>
    <xf numFmtId="0" fontId="1" fillId="0" borderId="1" xfId="0" applyFont="1" applyBorder="1" applyAlignment="1">
      <alignment horizontal="center" vertical="center"/>
    </xf>
    <xf numFmtId="0" fontId="0" fillId="0" borderId="1" xfId="0" applyBorder="1" applyAlignment="1">
      <alignment horizontal="center" vertical="center"/>
    </xf>
    <xf numFmtId="3" fontId="0" fillId="0" borderId="0" xfId="0" applyNumberFormat="1" applyAlignment="1">
      <alignment horizontal="center" vertical="center"/>
    </xf>
    <xf numFmtId="165" fontId="1" fillId="0" borderId="0" xfId="0" applyNumberFormat="1" applyFont="1" applyAlignment="1">
      <alignment horizontal="center" vertical="center"/>
    </xf>
    <xf numFmtId="0" fontId="1" fillId="0" borderId="0" xfId="0" applyFont="1" applyAlignment="1">
      <alignment vertical="center" textRotation="90" wrapText="1"/>
    </xf>
    <xf numFmtId="0" fontId="0" fillId="0" borderId="1" xfId="0" applyBorder="1"/>
    <xf numFmtId="2" fontId="0" fillId="0" borderId="1" xfId="0" applyNumberFormat="1" applyBorder="1" applyAlignment="1">
      <alignment horizontal="center" vertical="center"/>
    </xf>
    <xf numFmtId="0" fontId="1" fillId="0" borderId="0" xfId="0" applyFont="1" applyAlignment="1">
      <alignment horizontal="center" vertical="center"/>
    </xf>
    <xf numFmtId="1" fontId="1" fillId="0" borderId="0" xfId="0" applyNumberFormat="1" applyFont="1" applyAlignment="1">
      <alignment horizontal="center" vertical="center"/>
    </xf>
    <xf numFmtId="3" fontId="0" fillId="0" borderId="1" xfId="0" applyNumberFormat="1" applyBorder="1" applyAlignment="1">
      <alignment horizontal="center" vertical="center"/>
    </xf>
    <xf numFmtId="0" fontId="8" fillId="0" borderId="0" xfId="0" applyFont="1" applyAlignment="1">
      <alignment horizontal="center" vertical="center"/>
    </xf>
    <xf numFmtId="2" fontId="0" fillId="0" borderId="1" xfId="0" quotePrefix="1" applyNumberFormat="1" applyBorder="1" applyAlignment="1">
      <alignment horizontal="center" vertical="center"/>
    </xf>
    <xf numFmtId="0" fontId="0" fillId="0" borderId="1" xfId="0" applyBorder="1" applyAlignment="1">
      <alignment horizontal="left" vertical="center"/>
    </xf>
    <xf numFmtId="0" fontId="0" fillId="0" borderId="15" xfId="0" applyBorder="1" applyAlignment="1">
      <alignment horizontal="center" vertical="center"/>
    </xf>
    <xf numFmtId="0" fontId="0" fillId="0" borderId="16" xfId="0" applyBorder="1" applyAlignment="1">
      <alignment horizontal="center" vertical="center"/>
    </xf>
    <xf numFmtId="0" fontId="1" fillId="0" borderId="1" xfId="0" applyFont="1" applyBorder="1" applyAlignment="1">
      <alignment horizontal="center"/>
    </xf>
    <xf numFmtId="0" fontId="10" fillId="0" borderId="1" xfId="0" applyFont="1" applyBorder="1" applyAlignment="1">
      <alignment horizontal="center" vertical="center"/>
    </xf>
    <xf numFmtId="0" fontId="0" fillId="0" borderId="11" xfId="0" applyBorder="1" applyAlignment="1">
      <alignment horizontal="center" vertical="center"/>
    </xf>
    <xf numFmtId="0" fontId="0" fillId="0" borderId="11" xfId="0" applyBorder="1" applyAlignment="1">
      <alignment horizontal="left" vertical="center"/>
    </xf>
    <xf numFmtId="0" fontId="1" fillId="0" borderId="0" xfId="0" applyFont="1" applyAlignment="1">
      <alignment horizontal="center" vertical="center" wrapText="1"/>
    </xf>
    <xf numFmtId="164" fontId="0" fillId="0" borderId="1" xfId="0" applyNumberFormat="1" applyBorder="1" applyAlignment="1">
      <alignment horizontal="center" vertical="center"/>
    </xf>
    <xf numFmtId="0" fontId="0" fillId="0" borderId="9" xfId="0" applyBorder="1"/>
    <xf numFmtId="0" fontId="0" fillId="0" borderId="10" xfId="0" applyBorder="1"/>
    <xf numFmtId="3" fontId="0" fillId="7" borderId="1" xfId="0" applyNumberFormat="1" applyFill="1" applyBorder="1"/>
    <xf numFmtId="0" fontId="0" fillId="7" borderId="1" xfId="0" applyFill="1" applyBorder="1" applyAlignment="1">
      <alignment horizontal="center" vertical="center"/>
    </xf>
    <xf numFmtId="2" fontId="0" fillId="7" borderId="1" xfId="0" applyNumberFormat="1" applyFill="1" applyBorder="1" applyAlignment="1">
      <alignment horizontal="center" vertical="center"/>
    </xf>
    <xf numFmtId="3" fontId="0" fillId="7" borderId="1" xfId="0" applyNumberFormat="1" applyFill="1" applyBorder="1" applyAlignment="1">
      <alignment horizontal="center"/>
    </xf>
    <xf numFmtId="3" fontId="0" fillId="7" borderId="1" xfId="0" applyNumberFormat="1" applyFill="1" applyBorder="1" applyAlignment="1">
      <alignment horizontal="center" vertical="center"/>
    </xf>
    <xf numFmtId="3" fontId="1" fillId="7" borderId="1" xfId="0" applyNumberFormat="1" applyFont="1" applyFill="1" applyBorder="1" applyAlignment="1">
      <alignment horizontal="center" vertical="center"/>
    </xf>
    <xf numFmtId="165" fontId="1" fillId="7" borderId="1" xfId="0" applyNumberFormat="1" applyFont="1" applyFill="1" applyBorder="1" applyAlignment="1">
      <alignment horizontal="center" vertical="center"/>
    </xf>
    <xf numFmtId="0" fontId="0" fillId="7" borderId="1" xfId="0" applyFill="1" applyBorder="1" applyAlignment="1">
      <alignment horizontal="center"/>
    </xf>
    <xf numFmtId="1" fontId="0" fillId="7" borderId="1" xfId="0" applyNumberFormat="1" applyFill="1" applyBorder="1" applyAlignment="1">
      <alignment horizontal="center"/>
    </xf>
    <xf numFmtId="1" fontId="0" fillId="7" borderId="1" xfId="0" applyNumberFormat="1" applyFill="1" applyBorder="1" applyAlignment="1">
      <alignment horizontal="center" vertical="center"/>
    </xf>
    <xf numFmtId="0" fontId="4" fillId="7" borderId="1" xfId="0" applyFont="1" applyFill="1" applyBorder="1" applyAlignment="1">
      <alignment horizontal="center" vertical="center"/>
    </xf>
    <xf numFmtId="0" fontId="0" fillId="7" borderId="1" xfId="0" applyFill="1" applyBorder="1"/>
    <xf numFmtId="2" fontId="4" fillId="7" borderId="1" xfId="0" applyNumberFormat="1" applyFont="1" applyFill="1" applyBorder="1" applyAlignment="1">
      <alignment horizontal="center" vertical="center"/>
    </xf>
    <xf numFmtId="2" fontId="4" fillId="7" borderId="5" xfId="0" applyNumberFormat="1" applyFont="1" applyFill="1" applyBorder="1" applyAlignment="1">
      <alignment horizontal="center" vertical="center"/>
    </xf>
    <xf numFmtId="2" fontId="0" fillId="7" borderId="1" xfId="0" applyNumberFormat="1" applyFill="1" applyBorder="1" applyAlignment="1">
      <alignment horizontal="center" vertical="center" wrapText="1"/>
    </xf>
    <xf numFmtId="167" fontId="0" fillId="0" borderId="1" xfId="0" applyNumberFormat="1" applyBorder="1" applyAlignment="1">
      <alignment horizontal="center" vertical="center"/>
    </xf>
    <xf numFmtId="167" fontId="0" fillId="0" borderId="11" xfId="0" applyNumberFormat="1" applyBorder="1" applyAlignment="1">
      <alignment horizontal="center" vertical="center"/>
    </xf>
    <xf numFmtId="3" fontId="1" fillId="7" borderId="0" xfId="0" applyNumberFormat="1" applyFont="1" applyFill="1" applyAlignment="1">
      <alignment horizontal="center" vertical="center"/>
    </xf>
    <xf numFmtId="3" fontId="1" fillId="7" borderId="0" xfId="0" applyNumberFormat="1" applyFont="1" applyFill="1" applyAlignment="1">
      <alignment horizontal="center"/>
    </xf>
    <xf numFmtId="0" fontId="0" fillId="0" borderId="0" xfId="0" applyAlignment="1">
      <alignment horizontal="left"/>
    </xf>
    <xf numFmtId="0" fontId="0" fillId="0" borderId="1" xfId="0" applyBorder="1" applyAlignment="1">
      <alignment horizontal="right" vertical="center"/>
    </xf>
    <xf numFmtId="0" fontId="5" fillId="0" borderId="1" xfId="0" applyFont="1" applyBorder="1" applyAlignment="1">
      <alignment horizontal="left"/>
    </xf>
    <xf numFmtId="0" fontId="2" fillId="0" borderId="1" xfId="0" applyFont="1" applyBorder="1" applyAlignment="1">
      <alignment horizontal="left"/>
    </xf>
    <xf numFmtId="0" fontId="2" fillId="0" borderId="5" xfId="0" applyFont="1" applyBorder="1" applyAlignment="1">
      <alignment horizontal="left"/>
    </xf>
    <xf numFmtId="3" fontId="2" fillId="0" borderId="1" xfId="0" applyNumberFormat="1" applyFont="1" applyBorder="1" applyAlignment="1">
      <alignment horizontal="right" vertical="center"/>
    </xf>
    <xf numFmtId="0" fontId="0" fillId="0" borderId="17" xfId="0" applyBorder="1" applyAlignment="1">
      <alignment horizontal="center" vertical="center"/>
    </xf>
    <xf numFmtId="0" fontId="0" fillId="0" borderId="17" xfId="0" applyBorder="1"/>
    <xf numFmtId="0" fontId="0" fillId="0" borderId="17" xfId="0" applyBorder="1" applyAlignment="1">
      <alignment horizontal="right" vertical="center"/>
    </xf>
    <xf numFmtId="0" fontId="1" fillId="0" borderId="1" xfId="0" applyFont="1" applyBorder="1" applyAlignment="1">
      <alignment horizontal="right" vertical="center"/>
    </xf>
    <xf numFmtId="3" fontId="14" fillId="0" borderId="1" xfId="0" applyNumberFormat="1" applyFont="1" applyBorder="1"/>
    <xf numFmtId="0" fontId="15" fillId="0" borderId="1" xfId="0" applyFont="1" applyBorder="1"/>
    <xf numFmtId="0" fontId="5" fillId="0" borderId="1" xfId="0" applyFont="1" applyBorder="1"/>
    <xf numFmtId="0" fontId="2" fillId="0" borderId="1" xfId="0" applyFont="1" applyBorder="1"/>
    <xf numFmtId="0" fontId="2" fillId="0" borderId="5" xfId="0" applyFont="1" applyBorder="1"/>
    <xf numFmtId="0" fontId="2" fillId="0" borderId="1" xfId="0" applyFont="1" applyBorder="1" applyAlignment="1">
      <alignment horizontal="right"/>
    </xf>
    <xf numFmtId="0" fontId="2" fillId="0" borderId="1" xfId="0" applyFont="1" applyBorder="1" applyAlignment="1">
      <alignment horizontal="right" vertical="center"/>
    </xf>
    <xf numFmtId="2" fontId="0" fillId="0" borderId="0" xfId="0" applyNumberFormat="1"/>
    <xf numFmtId="9" fontId="14" fillId="0" borderId="1" xfId="0" applyNumberFormat="1" applyFont="1" applyBorder="1"/>
    <xf numFmtId="0" fontId="1" fillId="0" borderId="1" xfId="0" applyFont="1" applyBorder="1"/>
    <xf numFmtId="1" fontId="2" fillId="0" borderId="1" xfId="0" applyNumberFormat="1" applyFont="1" applyBorder="1" applyAlignment="1">
      <alignment horizontal="right" vertical="center"/>
    </xf>
    <xf numFmtId="0" fontId="1" fillId="0" borderId="0" xfId="0" applyFont="1"/>
    <xf numFmtId="0" fontId="2" fillId="0" borderId="0" xfId="0" applyFont="1" applyAlignment="1">
      <alignment vertical="center"/>
    </xf>
    <xf numFmtId="0" fontId="2" fillId="0" borderId="0" xfId="0" applyFont="1" applyAlignment="1">
      <alignment vertical="center" wrapText="1"/>
    </xf>
    <xf numFmtId="9" fontId="0" fillId="0" borderId="0" xfId="0" applyNumberFormat="1"/>
    <xf numFmtId="3" fontId="2" fillId="0" borderId="1" xfId="0" applyNumberFormat="1" applyFont="1" applyBorder="1" applyAlignment="1">
      <alignment horizontal="center" vertical="center"/>
    </xf>
    <xf numFmtId="0" fontId="1" fillId="0" borderId="1" xfId="0" applyFont="1" applyBorder="1" applyAlignment="1">
      <alignment vertical="center"/>
    </xf>
    <xf numFmtId="0" fontId="1" fillId="0" borderId="1" xfId="0" applyFont="1" applyBorder="1" applyAlignment="1">
      <alignment horizontal="left" vertical="center"/>
    </xf>
    <xf numFmtId="165" fontId="2" fillId="0" borderId="1" xfId="0" applyNumberFormat="1" applyFont="1" applyBorder="1" applyAlignment="1">
      <alignment horizontal="center" vertical="center"/>
    </xf>
    <xf numFmtId="165" fontId="2" fillId="0" borderId="0" xfId="0" applyNumberFormat="1" applyFont="1" applyAlignment="1">
      <alignment horizontal="center" vertical="center"/>
    </xf>
    <xf numFmtId="0" fontId="1" fillId="0" borderId="0" xfId="0" applyFont="1" applyAlignment="1">
      <alignment horizontal="left" vertical="center"/>
    </xf>
    <xf numFmtId="0" fontId="0" fillId="0" borderId="0" xfId="0" applyAlignment="1">
      <alignment horizontal="left" vertical="center"/>
    </xf>
    <xf numFmtId="9" fontId="0" fillId="0" borderId="0" xfId="0" applyNumberFormat="1" applyAlignment="1">
      <alignment horizontal="center" vertical="center"/>
    </xf>
    <xf numFmtId="0" fontId="6" fillId="0" borderId="0" xfId="0" applyFont="1" applyAlignment="1">
      <alignment horizontal="center" vertical="center"/>
    </xf>
    <xf numFmtId="0" fontId="1" fillId="0" borderId="0" xfId="0" applyFont="1" applyAlignment="1">
      <alignment vertical="center"/>
    </xf>
    <xf numFmtId="0" fontId="1" fillId="0" borderId="13" xfId="0" applyFont="1" applyBorder="1" applyAlignment="1">
      <alignment horizontal="center" vertical="center"/>
    </xf>
    <xf numFmtId="0" fontId="1" fillId="0" borderId="14" xfId="0" applyFont="1" applyBorder="1" applyAlignment="1">
      <alignment horizontal="center" vertical="center"/>
    </xf>
    <xf numFmtId="2" fontId="0" fillId="0" borderId="15" xfId="0" applyNumberFormat="1" applyBorder="1" applyAlignment="1">
      <alignment horizontal="center" vertical="center"/>
    </xf>
    <xf numFmtId="2" fontId="0" fillId="0" borderId="16" xfId="0" applyNumberFormat="1" applyBorder="1" applyAlignment="1">
      <alignment horizontal="center" vertical="center"/>
    </xf>
    <xf numFmtId="3" fontId="0" fillId="0" borderId="11" xfId="0" applyNumberFormat="1" applyBorder="1" applyAlignment="1">
      <alignment horizontal="center" vertical="center"/>
    </xf>
    <xf numFmtId="0" fontId="1" fillId="8" borderId="1" xfId="0" applyFont="1" applyFill="1" applyBorder="1" applyAlignment="1">
      <alignment horizontal="center" vertical="center"/>
    </xf>
    <xf numFmtId="0" fontId="0" fillId="9" borderId="1" xfId="0" applyFill="1" applyBorder="1" applyAlignment="1">
      <alignment horizontal="center" vertical="center"/>
    </xf>
    <xf numFmtId="2" fontId="1" fillId="9" borderId="1" xfId="0" applyNumberFormat="1" applyFont="1" applyFill="1" applyBorder="1" applyAlignment="1">
      <alignment horizontal="center" vertical="center"/>
    </xf>
    <xf numFmtId="165" fontId="0" fillId="9" borderId="1" xfId="0" applyNumberFormat="1" applyFill="1" applyBorder="1"/>
    <xf numFmtId="2" fontId="0" fillId="8" borderId="1" xfId="0" applyNumberFormat="1" applyFill="1" applyBorder="1" applyAlignment="1">
      <alignment horizontal="center" vertical="center"/>
    </xf>
    <xf numFmtId="2" fontId="0" fillId="0" borderId="1" xfId="0" applyNumberFormat="1" applyBorder="1"/>
    <xf numFmtId="2" fontId="1" fillId="9" borderId="0" xfId="0" applyNumberFormat="1" applyFont="1" applyFill="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xf>
    <xf numFmtId="3" fontId="6" fillId="0" borderId="0" xfId="0" applyNumberFormat="1" applyFont="1" applyAlignment="1">
      <alignment horizontal="center"/>
    </xf>
    <xf numFmtId="0" fontId="0" fillId="7" borderId="0" xfId="0" applyFill="1" applyAlignment="1">
      <alignment horizontal="center" vertical="center"/>
    </xf>
    <xf numFmtId="0" fontId="0" fillId="9" borderId="0" xfId="0" applyFill="1" applyAlignment="1">
      <alignment horizontal="center" vertical="center"/>
    </xf>
    <xf numFmtId="49" fontId="0" fillId="9" borderId="0" xfId="0" applyNumberFormat="1" applyFill="1" applyAlignment="1">
      <alignment horizontal="center" vertical="center"/>
    </xf>
    <xf numFmtId="2" fontId="0" fillId="9" borderId="0" xfId="0" applyNumberFormat="1" applyFill="1"/>
    <xf numFmtId="3" fontId="0" fillId="9" borderId="0" xfId="0" applyNumberFormat="1" applyFill="1"/>
    <xf numFmtId="0" fontId="0" fillId="9" borderId="0" xfId="0" applyFill="1"/>
    <xf numFmtId="0" fontId="18" fillId="0" borderId="0" xfId="0" applyFont="1" applyAlignment="1">
      <alignment horizontal="center"/>
    </xf>
    <xf numFmtId="9" fontId="0" fillId="7" borderId="0" xfId="0" applyNumberFormat="1" applyFill="1"/>
    <xf numFmtId="3" fontId="0" fillId="7" borderId="0" xfId="0" applyNumberFormat="1" applyFill="1"/>
    <xf numFmtId="2" fontId="0" fillId="7" borderId="0" xfId="0" applyNumberFormat="1" applyFill="1"/>
    <xf numFmtId="0" fontId="19" fillId="10" borderId="0" xfId="0" applyFont="1" applyFill="1"/>
    <xf numFmtId="0" fontId="20" fillId="0" borderId="0" xfId="0" applyFont="1"/>
    <xf numFmtId="0" fontId="19" fillId="11" borderId="0" xfId="0" applyFont="1" applyFill="1"/>
    <xf numFmtId="0" fontId="0" fillId="7" borderId="0" xfId="0" applyFill="1"/>
    <xf numFmtId="164" fontId="0" fillId="0" borderId="0" xfId="0" applyNumberFormat="1" applyAlignment="1">
      <alignment horizontal="center" vertical="center"/>
    </xf>
    <xf numFmtId="0" fontId="18" fillId="0" borderId="0" xfId="0" applyFont="1"/>
    <xf numFmtId="0" fontId="0" fillId="16" borderId="0" xfId="0" applyFill="1"/>
    <xf numFmtId="0" fontId="20" fillId="0" borderId="0" xfId="0" applyFont="1" applyAlignment="1">
      <alignment vertical="center"/>
    </xf>
    <xf numFmtId="3" fontId="0" fillId="14" borderId="1" xfId="0" applyNumberFormat="1" applyFill="1" applyBorder="1"/>
    <xf numFmtId="0" fontId="0" fillId="14" borderId="1" xfId="0" applyFill="1" applyBorder="1" applyAlignment="1">
      <alignment horizontal="center" vertical="center"/>
    </xf>
    <xf numFmtId="2" fontId="0" fillId="14" borderId="1" xfId="0" applyNumberFormat="1" applyFill="1" applyBorder="1" applyAlignment="1">
      <alignment horizontal="center" vertical="center"/>
    </xf>
    <xf numFmtId="3" fontId="0" fillId="14" borderId="1" xfId="0" applyNumberFormat="1" applyFill="1" applyBorder="1" applyAlignment="1">
      <alignment horizontal="center"/>
    </xf>
    <xf numFmtId="3" fontId="0" fillId="14" borderId="1" xfId="0" applyNumberFormat="1" applyFill="1" applyBorder="1" applyAlignment="1">
      <alignment horizontal="center" vertical="center"/>
    </xf>
    <xf numFmtId="3" fontId="0" fillId="17" borderId="1" xfId="0" applyNumberFormat="1" applyFill="1" applyBorder="1"/>
    <xf numFmtId="0" fontId="0" fillId="17" borderId="1" xfId="0" applyFill="1" applyBorder="1" applyAlignment="1">
      <alignment horizontal="center" vertical="center"/>
    </xf>
    <xf numFmtId="2" fontId="0" fillId="17" borderId="1" xfId="0" applyNumberFormat="1" applyFill="1" applyBorder="1" applyAlignment="1">
      <alignment horizontal="center" vertical="center"/>
    </xf>
    <xf numFmtId="3" fontId="0" fillId="17" borderId="1" xfId="0" applyNumberFormat="1" applyFill="1" applyBorder="1" applyAlignment="1">
      <alignment horizontal="center"/>
    </xf>
    <xf numFmtId="3" fontId="0" fillId="17" borderId="1" xfId="0" applyNumberFormat="1" applyFill="1" applyBorder="1" applyAlignment="1">
      <alignment horizontal="center" vertical="center"/>
    </xf>
    <xf numFmtId="3" fontId="0" fillId="2" borderId="1" xfId="0" applyNumberFormat="1" applyFill="1" applyBorder="1"/>
    <xf numFmtId="0" fontId="0" fillId="2" borderId="1" xfId="0" applyFill="1" applyBorder="1" applyAlignment="1">
      <alignment horizontal="center" vertical="center"/>
    </xf>
    <xf numFmtId="2" fontId="0" fillId="2" borderId="1" xfId="0" applyNumberFormat="1" applyFill="1" applyBorder="1" applyAlignment="1">
      <alignment horizontal="center" vertical="center"/>
    </xf>
    <xf numFmtId="3" fontId="0" fillId="2" borderId="1" xfId="0" applyNumberFormat="1" applyFill="1" applyBorder="1" applyAlignment="1">
      <alignment horizontal="center"/>
    </xf>
    <xf numFmtId="3" fontId="0" fillId="2" borderId="1" xfId="0" applyNumberFormat="1" applyFill="1" applyBorder="1" applyAlignment="1">
      <alignment horizontal="center" vertical="center"/>
    </xf>
    <xf numFmtId="1" fontId="0" fillId="0" borderId="0" xfId="0" applyNumberFormat="1"/>
    <xf numFmtId="0" fontId="21" fillId="0" borderId="0" xfId="0" applyFont="1"/>
    <xf numFmtId="0" fontId="22" fillId="0" borderId="0" xfId="0" applyFont="1"/>
    <xf numFmtId="0" fontId="23" fillId="0" borderId="0" xfId="0" applyFont="1"/>
    <xf numFmtId="0" fontId="24" fillId="0" borderId="0" xfId="0" applyFont="1"/>
    <xf numFmtId="0" fontId="25" fillId="0" borderId="0" xfId="0" applyFont="1"/>
    <xf numFmtId="0" fontId="0" fillId="0" borderId="31" xfId="0" applyBorder="1"/>
    <xf numFmtId="0" fontId="0" fillId="0" borderId="26" xfId="0" applyBorder="1"/>
    <xf numFmtId="0" fontId="0" fillId="0" borderId="33" xfId="0" applyBorder="1"/>
    <xf numFmtId="0" fontId="0" fillId="7" borderId="34" xfId="0" applyFill="1" applyBorder="1"/>
    <xf numFmtId="0" fontId="0" fillId="0" borderId="35" xfId="0" applyBorder="1"/>
    <xf numFmtId="0" fontId="0" fillId="0" borderId="32" xfId="0" applyBorder="1"/>
    <xf numFmtId="0" fontId="0" fillId="0" borderId="36" xfId="0" applyBorder="1"/>
    <xf numFmtId="0" fontId="0" fillId="0" borderId="30" xfId="0" applyBorder="1"/>
    <xf numFmtId="0" fontId="0" fillId="0" borderId="34" xfId="0" applyBorder="1"/>
    <xf numFmtId="0" fontId="0" fillId="17" borderId="30" xfId="0" applyFill="1" applyBorder="1"/>
    <xf numFmtId="0" fontId="0" fillId="2" borderId="26" xfId="0" applyFill="1" applyBorder="1"/>
    <xf numFmtId="0" fontId="0" fillId="14" borderId="26" xfId="0" applyFill="1" applyBorder="1"/>
    <xf numFmtId="166" fontId="0" fillId="0" borderId="0" xfId="0" applyNumberFormat="1"/>
    <xf numFmtId="0" fontId="9" fillId="10" borderId="0" xfId="0" applyFont="1" applyFill="1"/>
    <xf numFmtId="0" fontId="9" fillId="0" borderId="0" xfId="0" applyFont="1"/>
    <xf numFmtId="0" fontId="9" fillId="0" borderId="0" xfId="0" applyFont="1" applyAlignment="1">
      <alignment wrapText="1"/>
    </xf>
    <xf numFmtId="1" fontId="0" fillId="19" borderId="0" xfId="0" applyNumberFormat="1" applyFill="1"/>
    <xf numFmtId="0" fontId="27" fillId="0" borderId="0" xfId="0" applyFont="1"/>
    <xf numFmtId="0" fontId="0" fillId="7" borderId="39" xfId="0" applyFill="1" applyBorder="1" applyAlignment="1">
      <alignment horizontal="center" vertical="center"/>
    </xf>
    <xf numFmtId="0" fontId="0" fillId="7" borderId="40" xfId="0" applyFill="1" applyBorder="1" applyAlignment="1">
      <alignment horizontal="center" vertical="center"/>
    </xf>
    <xf numFmtId="0" fontId="0" fillId="0" borderId="40" xfId="0" applyBorder="1" applyAlignment="1">
      <alignment horizontal="center" vertical="center"/>
    </xf>
    <xf numFmtId="2" fontId="0" fillId="7" borderId="40" xfId="0" applyNumberFormat="1" applyFill="1" applyBorder="1"/>
    <xf numFmtId="3" fontId="0" fillId="7" borderId="40" xfId="0" applyNumberFormat="1" applyFill="1" applyBorder="1"/>
    <xf numFmtId="0" fontId="0" fillId="7" borderId="41" xfId="0" applyFill="1" applyBorder="1" applyAlignment="1">
      <alignment horizontal="center" vertical="center"/>
    </xf>
    <xf numFmtId="2" fontId="0" fillId="8" borderId="0" xfId="0" applyNumberFormat="1" applyFill="1"/>
    <xf numFmtId="0" fontId="0" fillId="7" borderId="43" xfId="0" applyFill="1" applyBorder="1" applyAlignment="1">
      <alignment horizontal="center" vertical="center"/>
    </xf>
    <xf numFmtId="0" fontId="0" fillId="7" borderId="44" xfId="0" applyFill="1" applyBorder="1" applyAlignment="1">
      <alignment horizontal="center" vertical="center"/>
    </xf>
    <xf numFmtId="0" fontId="0" fillId="0" borderId="44" xfId="0" applyBorder="1" applyAlignment="1">
      <alignment horizontal="center" vertical="center"/>
    </xf>
    <xf numFmtId="0" fontId="0" fillId="8" borderId="44" xfId="0" applyFill="1" applyBorder="1"/>
    <xf numFmtId="3" fontId="0" fillId="7" borderId="44" xfId="0" applyNumberFormat="1" applyFill="1" applyBorder="1"/>
    <xf numFmtId="3" fontId="0" fillId="7" borderId="45" xfId="0" applyNumberFormat="1" applyFill="1" applyBorder="1"/>
    <xf numFmtId="0" fontId="0" fillId="7" borderId="40" xfId="0" applyFill="1" applyBorder="1"/>
    <xf numFmtId="0" fontId="0" fillId="17" borderId="46" xfId="0" applyFill="1" applyBorder="1" applyAlignment="1">
      <alignment horizontal="center" vertical="center"/>
    </xf>
    <xf numFmtId="0" fontId="0" fillId="17" borderId="47" xfId="0" applyFill="1" applyBorder="1" applyAlignment="1">
      <alignment horizontal="center" vertical="center"/>
    </xf>
    <xf numFmtId="2" fontId="0" fillId="17" borderId="48" xfId="0" applyNumberFormat="1" applyFill="1" applyBorder="1" applyAlignment="1">
      <alignment horizontal="center" vertical="center"/>
    </xf>
    <xf numFmtId="0" fontId="0" fillId="17" borderId="49" xfId="0" applyFill="1" applyBorder="1" applyAlignment="1">
      <alignment horizontal="center" vertical="center"/>
    </xf>
    <xf numFmtId="2" fontId="0" fillId="17" borderId="50" xfId="0" applyNumberFormat="1" applyFill="1" applyBorder="1" applyAlignment="1">
      <alignment horizontal="center" vertical="center"/>
    </xf>
    <xf numFmtId="0" fontId="0" fillId="0" borderId="41" xfId="0" applyBorder="1" applyAlignment="1">
      <alignment horizontal="center" vertical="center"/>
    </xf>
    <xf numFmtId="2" fontId="0" fillId="0" borderId="42" xfId="0" applyNumberFormat="1" applyBorder="1" applyAlignment="1">
      <alignment horizontal="center" vertical="center"/>
    </xf>
    <xf numFmtId="0" fontId="0" fillId="2" borderId="49" xfId="0" applyFill="1" applyBorder="1" applyAlignment="1">
      <alignment horizontal="center" vertical="center"/>
    </xf>
    <xf numFmtId="2" fontId="0" fillId="2" borderId="50" xfId="0" applyNumberFormat="1" applyFill="1" applyBorder="1" applyAlignment="1">
      <alignment horizontal="center" vertical="center"/>
    </xf>
    <xf numFmtId="0" fontId="0" fillId="14" borderId="49" xfId="0" applyFill="1" applyBorder="1" applyAlignment="1">
      <alignment horizontal="center" vertical="center"/>
    </xf>
    <xf numFmtId="2" fontId="0" fillId="14" borderId="50" xfId="0" applyNumberFormat="1" applyFill="1" applyBorder="1" applyAlignment="1">
      <alignment horizontal="center" vertical="center"/>
    </xf>
    <xf numFmtId="0" fontId="0" fillId="7" borderId="49" xfId="0" applyFill="1" applyBorder="1" applyAlignment="1">
      <alignment horizontal="center" vertical="center"/>
    </xf>
    <xf numFmtId="2" fontId="0" fillId="7" borderId="50" xfId="0" applyNumberFormat="1" applyFill="1" applyBorder="1" applyAlignment="1">
      <alignment horizontal="center" vertical="center"/>
    </xf>
    <xf numFmtId="0" fontId="0" fillId="7" borderId="51" xfId="0" applyFill="1" applyBorder="1" applyAlignment="1">
      <alignment horizontal="center" vertical="center"/>
    </xf>
    <xf numFmtId="0" fontId="0" fillId="7" borderId="52" xfId="0" applyFill="1" applyBorder="1" applyAlignment="1">
      <alignment horizontal="center" vertical="center"/>
    </xf>
    <xf numFmtId="2" fontId="0" fillId="7" borderId="53" xfId="0" applyNumberFormat="1" applyFill="1" applyBorder="1" applyAlignment="1">
      <alignment horizontal="center" vertical="center"/>
    </xf>
    <xf numFmtId="3" fontId="0" fillId="17" borderId="5" xfId="0" applyNumberFormat="1" applyFill="1" applyBorder="1"/>
    <xf numFmtId="3" fontId="0" fillId="2" borderId="5" xfId="0" applyNumberFormat="1" applyFill="1" applyBorder="1"/>
    <xf numFmtId="3" fontId="0" fillId="14" borderId="5" xfId="0" applyNumberFormat="1" applyFill="1" applyBorder="1"/>
    <xf numFmtId="3" fontId="0" fillId="7" borderId="5" xfId="0" applyNumberFormat="1" applyFill="1" applyBorder="1"/>
    <xf numFmtId="3" fontId="0" fillId="17" borderId="22" xfId="0" applyNumberFormat="1" applyFill="1" applyBorder="1" applyAlignment="1">
      <alignment horizontal="center"/>
    </xf>
    <xf numFmtId="3" fontId="0" fillId="2" borderId="22" xfId="0" applyNumberFormat="1" applyFill="1" applyBorder="1" applyAlignment="1">
      <alignment horizontal="center"/>
    </xf>
    <xf numFmtId="3" fontId="0" fillId="14" borderId="22" xfId="0" applyNumberFormat="1" applyFill="1" applyBorder="1" applyAlignment="1">
      <alignment horizontal="center"/>
    </xf>
    <xf numFmtId="3" fontId="0" fillId="7" borderId="22" xfId="0" applyNumberFormat="1" applyFill="1" applyBorder="1" applyAlignment="1">
      <alignment horizontal="center"/>
    </xf>
    <xf numFmtId="0" fontId="0" fillId="0" borderId="55" xfId="0" applyBorder="1"/>
    <xf numFmtId="2" fontId="0" fillId="9" borderId="54" xfId="0" applyNumberFormat="1" applyFill="1" applyBorder="1"/>
    <xf numFmtId="2" fontId="0" fillId="9" borderId="56" xfId="0" applyNumberFormat="1" applyFill="1" applyBorder="1"/>
    <xf numFmtId="0" fontId="1" fillId="0" borderId="54" xfId="0" applyFont="1" applyBorder="1" applyAlignment="1">
      <alignment horizontal="center" vertical="center"/>
    </xf>
    <xf numFmtId="3" fontId="2" fillId="0" borderId="54" xfId="0" applyNumberFormat="1" applyFont="1" applyBorder="1" applyAlignment="1">
      <alignment horizontal="center" vertical="center"/>
    </xf>
    <xf numFmtId="0" fontId="0" fillId="0" borderId="54" xfId="0" applyBorder="1" applyAlignment="1">
      <alignment horizontal="center" vertical="center"/>
    </xf>
    <xf numFmtId="0" fontId="0" fillId="7" borderId="1" xfId="0" applyFill="1" applyBorder="1" applyAlignment="1">
      <alignment wrapText="1"/>
    </xf>
    <xf numFmtId="0" fontId="0" fillId="7" borderId="17" xfId="0" applyFill="1" applyBorder="1" applyAlignment="1">
      <alignment horizontal="center" vertical="center"/>
    </xf>
    <xf numFmtId="0" fontId="0" fillId="7" borderId="10" xfId="0" applyFill="1" applyBorder="1" applyAlignment="1">
      <alignment horizontal="center" vertical="center"/>
    </xf>
    <xf numFmtId="2" fontId="0" fillId="7" borderId="11" xfId="0" applyNumberFormat="1" applyFill="1" applyBorder="1" applyAlignment="1">
      <alignment horizontal="center" vertical="center"/>
    </xf>
    <xf numFmtId="0" fontId="0" fillId="7" borderId="11" xfId="0" applyFill="1" applyBorder="1" applyAlignment="1">
      <alignment horizontal="center" vertical="center"/>
    </xf>
    <xf numFmtId="0" fontId="0" fillId="7" borderId="11" xfId="0" applyFill="1" applyBorder="1"/>
    <xf numFmtId="0" fontId="0" fillId="7" borderId="16" xfId="0" applyFill="1" applyBorder="1" applyAlignment="1">
      <alignment horizontal="center" vertical="center"/>
    </xf>
    <xf numFmtId="2" fontId="0" fillId="7" borderId="5" xfId="0" applyNumberFormat="1" applyFill="1" applyBorder="1" applyAlignment="1">
      <alignment horizontal="center" vertical="center"/>
    </xf>
    <xf numFmtId="2" fontId="0" fillId="7" borderId="22" xfId="0" applyNumberFormat="1" applyFill="1" applyBorder="1" applyAlignment="1">
      <alignment horizontal="center" vertical="center"/>
    </xf>
    <xf numFmtId="2" fontId="0" fillId="7" borderId="3" xfId="0" applyNumberFormat="1" applyFill="1" applyBorder="1" applyAlignment="1">
      <alignment horizontal="center" vertical="center"/>
    </xf>
    <xf numFmtId="0" fontId="4" fillId="7" borderId="17" xfId="0" applyFont="1" applyFill="1" applyBorder="1" applyAlignment="1">
      <alignment horizontal="center" vertical="center"/>
    </xf>
    <xf numFmtId="2" fontId="4" fillId="7" borderId="17" xfId="0" applyNumberFormat="1" applyFont="1" applyFill="1" applyBorder="1" applyAlignment="1">
      <alignment horizontal="center" vertical="center"/>
    </xf>
    <xf numFmtId="168" fontId="2" fillId="0" borderId="0" xfId="1" applyNumberFormat="1" applyFont="1" applyAlignment="1">
      <alignment horizontal="center" vertical="center"/>
    </xf>
    <xf numFmtId="0" fontId="26" fillId="0" borderId="0" xfId="0" applyFont="1"/>
    <xf numFmtId="0" fontId="0" fillId="7" borderId="26" xfId="0" applyFill="1" applyBorder="1"/>
    <xf numFmtId="0" fontId="0" fillId="0" borderId="15" xfId="0" applyBorder="1"/>
    <xf numFmtId="10" fontId="0" fillId="9" borderId="59" xfId="0" applyNumberFormat="1" applyFill="1" applyBorder="1"/>
    <xf numFmtId="0" fontId="0" fillId="0" borderId="60" xfId="0" applyBorder="1"/>
    <xf numFmtId="0" fontId="2" fillId="0" borderId="0" xfId="0" applyFont="1"/>
    <xf numFmtId="2" fontId="0" fillId="7" borderId="0" xfId="0" applyNumberFormat="1" applyFill="1" applyAlignment="1">
      <alignment horizontal="center"/>
    </xf>
    <xf numFmtId="2" fontId="0" fillId="7" borderId="18" xfId="0" applyNumberFormat="1" applyFill="1" applyBorder="1" applyAlignment="1">
      <alignment horizontal="center" vertical="center"/>
    </xf>
    <xf numFmtId="0" fontId="0" fillId="7" borderId="18" xfId="0" applyFill="1" applyBorder="1" applyAlignment="1">
      <alignment horizontal="center" vertical="center"/>
    </xf>
    <xf numFmtId="0" fontId="0" fillId="7" borderId="18" xfId="0" applyFill="1" applyBorder="1" applyAlignment="1">
      <alignment wrapText="1"/>
    </xf>
    <xf numFmtId="0" fontId="0" fillId="7" borderId="61" xfId="0" applyFill="1" applyBorder="1" applyAlignment="1">
      <alignment horizontal="center" vertical="center"/>
    </xf>
    <xf numFmtId="2" fontId="0" fillId="7" borderId="17" xfId="0" applyNumberFormat="1" applyFill="1" applyBorder="1" applyAlignment="1">
      <alignment horizontal="center" vertical="center"/>
    </xf>
    <xf numFmtId="0" fontId="0" fillId="7" borderId="17" xfId="0" applyFill="1" applyBorder="1" applyAlignment="1">
      <alignment wrapText="1"/>
    </xf>
    <xf numFmtId="0" fontId="0" fillId="7" borderId="62" xfId="0" applyFill="1" applyBorder="1" applyAlignment="1">
      <alignment horizontal="center" vertical="center"/>
    </xf>
    <xf numFmtId="0" fontId="0" fillId="7" borderId="46" xfId="0" applyFill="1" applyBorder="1" applyAlignment="1">
      <alignment horizontal="center" vertical="center"/>
    </xf>
    <xf numFmtId="2" fontId="0" fillId="7" borderId="47" xfId="0" applyNumberFormat="1" applyFill="1" applyBorder="1" applyAlignment="1">
      <alignment horizontal="center" vertical="center"/>
    </xf>
    <xf numFmtId="0" fontId="0" fillId="7" borderId="47" xfId="0" applyFill="1" applyBorder="1" applyAlignment="1">
      <alignment horizontal="center" vertical="center"/>
    </xf>
    <xf numFmtId="0" fontId="0" fillId="7" borderId="47" xfId="0" applyFill="1" applyBorder="1" applyAlignment="1">
      <alignment wrapText="1"/>
    </xf>
    <xf numFmtId="0" fontId="0" fillId="7" borderId="48" xfId="0" applyFill="1" applyBorder="1" applyAlignment="1">
      <alignment horizontal="center" vertical="center"/>
    </xf>
    <xf numFmtId="0" fontId="0" fillId="7" borderId="50" xfId="0" applyFill="1" applyBorder="1" applyAlignment="1">
      <alignment horizontal="center" vertical="center"/>
    </xf>
    <xf numFmtId="2" fontId="0" fillId="7" borderId="52" xfId="0" applyNumberFormat="1" applyFill="1" applyBorder="1" applyAlignment="1">
      <alignment horizontal="center" vertical="center"/>
    </xf>
    <xf numFmtId="0" fontId="0" fillId="7" borderId="53" xfId="0" applyFill="1" applyBorder="1" applyAlignment="1">
      <alignment horizontal="center" vertical="center"/>
    </xf>
    <xf numFmtId="0" fontId="0" fillId="7" borderId="63" xfId="0" applyFill="1" applyBorder="1" applyAlignment="1">
      <alignment horizontal="center" vertical="center"/>
    </xf>
    <xf numFmtId="2" fontId="0" fillId="7" borderId="64" xfId="0" applyNumberFormat="1" applyFill="1" applyBorder="1" applyAlignment="1">
      <alignment horizontal="center" vertical="center"/>
    </xf>
    <xf numFmtId="0" fontId="0" fillId="7" borderId="64" xfId="0" applyFill="1" applyBorder="1" applyAlignment="1">
      <alignment horizontal="center" vertical="center"/>
    </xf>
    <xf numFmtId="0" fontId="0" fillId="7" borderId="64" xfId="0" applyFill="1" applyBorder="1" applyAlignment="1">
      <alignment wrapText="1"/>
    </xf>
    <xf numFmtId="0" fontId="0" fillId="7" borderId="65" xfId="0" applyFill="1" applyBorder="1" applyAlignment="1">
      <alignment horizontal="center" vertical="center"/>
    </xf>
    <xf numFmtId="0" fontId="0" fillId="7" borderId="66" xfId="0" applyFill="1" applyBorder="1" applyAlignment="1">
      <alignment horizontal="center" vertical="center"/>
    </xf>
    <xf numFmtId="0" fontId="0" fillId="7" borderId="67" xfId="0" applyFill="1" applyBorder="1" applyAlignment="1">
      <alignment horizontal="center" vertical="center"/>
    </xf>
    <xf numFmtId="0" fontId="0" fillId="7" borderId="68" xfId="0" applyFill="1" applyBorder="1" applyAlignment="1">
      <alignment horizontal="center" vertical="center"/>
    </xf>
    <xf numFmtId="0" fontId="0" fillId="7" borderId="69" xfId="0" applyFill="1" applyBorder="1" applyAlignment="1">
      <alignment horizontal="center" vertical="center"/>
    </xf>
    <xf numFmtId="0" fontId="0" fillId="7" borderId="17" xfId="0" applyFill="1" applyBorder="1"/>
    <xf numFmtId="0" fontId="0" fillId="7" borderId="64" xfId="0" applyFill="1" applyBorder="1"/>
    <xf numFmtId="0" fontId="0" fillId="7" borderId="52" xfId="0" applyFill="1" applyBorder="1"/>
    <xf numFmtId="3" fontId="0" fillId="0" borderId="35" xfId="0" applyNumberFormat="1" applyBorder="1"/>
    <xf numFmtId="0" fontId="0" fillId="9" borderId="72" xfId="0" applyFill="1" applyBorder="1"/>
    <xf numFmtId="10" fontId="0" fillId="9" borderId="73" xfId="0" applyNumberFormat="1" applyFill="1" applyBorder="1"/>
    <xf numFmtId="169" fontId="0" fillId="0" borderId="0" xfId="0" applyNumberFormat="1"/>
    <xf numFmtId="0" fontId="1" fillId="0" borderId="35" xfId="0" applyFont="1" applyBorder="1" applyAlignment="1">
      <alignment horizontal="center"/>
    </xf>
    <xf numFmtId="0" fontId="1" fillId="0" borderId="71" xfId="0" applyFont="1" applyBorder="1" applyAlignment="1">
      <alignment horizontal="center"/>
    </xf>
    <xf numFmtId="0" fontId="1" fillId="0" borderId="70" xfId="0" applyFont="1" applyBorder="1" applyAlignment="1">
      <alignment horizontal="center"/>
    </xf>
    <xf numFmtId="0" fontId="0" fillId="0" borderId="76" xfId="0" applyBorder="1"/>
    <xf numFmtId="0" fontId="1" fillId="0" borderId="75" xfId="0" applyFont="1" applyBorder="1" applyAlignment="1">
      <alignment horizontal="center"/>
    </xf>
    <xf numFmtId="10" fontId="0" fillId="9" borderId="58" xfId="0" applyNumberFormat="1" applyFill="1" applyBorder="1"/>
    <xf numFmtId="0" fontId="1" fillId="0" borderId="31" xfId="0" applyFont="1" applyBorder="1" applyAlignment="1">
      <alignment horizontal="center"/>
    </xf>
    <xf numFmtId="2" fontId="0" fillId="9" borderId="1" xfId="0" applyNumberFormat="1" applyFill="1" applyBorder="1"/>
    <xf numFmtId="0" fontId="1" fillId="0" borderId="18" xfId="0" applyFont="1" applyBorder="1"/>
    <xf numFmtId="0" fontId="0" fillId="7" borderId="77" xfId="0" applyFill="1" applyBorder="1" applyAlignment="1">
      <alignment horizontal="center" vertical="center"/>
    </xf>
    <xf numFmtId="0" fontId="0" fillId="7" borderId="78" xfId="0" applyFill="1" applyBorder="1" applyAlignment="1">
      <alignment horizontal="center" vertical="center"/>
    </xf>
    <xf numFmtId="0" fontId="0" fillId="7" borderId="22" xfId="0" applyFill="1" applyBorder="1" applyAlignment="1">
      <alignment horizontal="center" vertical="center"/>
    </xf>
    <xf numFmtId="0" fontId="0" fillId="7" borderId="7" xfId="0" applyFill="1" applyBorder="1" applyAlignment="1">
      <alignment horizontal="center" vertical="center"/>
    </xf>
    <xf numFmtId="0" fontId="0" fillId="7" borderId="2" xfId="0" applyFill="1" applyBorder="1" applyAlignment="1">
      <alignment horizontal="center" vertical="center"/>
    </xf>
    <xf numFmtId="0" fontId="0" fillId="7" borderId="29" xfId="0" applyFill="1" applyBorder="1" applyAlignment="1">
      <alignment horizontal="center" vertical="center"/>
    </xf>
    <xf numFmtId="0" fontId="0" fillId="7" borderId="79" xfId="0" applyFill="1" applyBorder="1" applyAlignment="1">
      <alignment horizontal="center" vertical="center"/>
    </xf>
    <xf numFmtId="0" fontId="0" fillId="7" borderId="56" xfId="0" applyFill="1" applyBorder="1" applyAlignment="1">
      <alignment wrapText="1"/>
    </xf>
    <xf numFmtId="0" fontId="0" fillId="7" borderId="23" xfId="0" applyFill="1" applyBorder="1" applyAlignment="1">
      <alignment horizontal="center" vertical="center"/>
    </xf>
    <xf numFmtId="2" fontId="0" fillId="7" borderId="13" xfId="0" applyNumberFormat="1" applyFill="1" applyBorder="1" applyAlignment="1">
      <alignment horizontal="center" vertical="center"/>
    </xf>
    <xf numFmtId="0" fontId="0" fillId="7" borderId="25" xfId="0" applyFill="1" applyBorder="1" applyAlignment="1">
      <alignment horizontal="center" vertical="center"/>
    </xf>
    <xf numFmtId="0" fontId="0" fillId="7" borderId="13" xfId="0" applyFill="1" applyBorder="1" applyAlignment="1">
      <alignment wrapText="1"/>
    </xf>
    <xf numFmtId="0" fontId="0" fillId="7" borderId="80" xfId="0" applyFill="1" applyBorder="1" applyAlignment="1">
      <alignment horizontal="center" vertical="center"/>
    </xf>
    <xf numFmtId="0" fontId="0" fillId="7" borderId="81" xfId="0" applyFill="1" applyBorder="1" applyAlignment="1">
      <alignment horizontal="center" vertical="center"/>
    </xf>
    <xf numFmtId="0" fontId="0" fillId="7" borderId="82" xfId="0" applyFill="1" applyBorder="1" applyAlignment="1">
      <alignment horizontal="center" vertical="center"/>
    </xf>
    <xf numFmtId="0" fontId="0" fillId="7" borderId="83" xfId="0" applyFill="1" applyBorder="1"/>
    <xf numFmtId="0" fontId="0" fillId="7" borderId="85" xfId="0" applyFill="1" applyBorder="1" applyAlignment="1">
      <alignment horizontal="center" vertical="center"/>
    </xf>
    <xf numFmtId="0" fontId="0" fillId="7" borderId="18" xfId="0" applyFill="1" applyBorder="1"/>
    <xf numFmtId="0" fontId="0" fillId="7" borderId="12" xfId="0" applyFill="1" applyBorder="1" applyAlignment="1">
      <alignment horizontal="center" vertical="center"/>
    </xf>
    <xf numFmtId="0" fontId="0" fillId="7" borderId="13" xfId="0" applyFill="1" applyBorder="1" applyAlignment="1">
      <alignment horizontal="center" vertical="center"/>
    </xf>
    <xf numFmtId="0" fontId="0" fillId="7" borderId="26" xfId="0" applyFill="1" applyBorder="1" applyAlignment="1">
      <alignment horizontal="center" vertical="center"/>
    </xf>
    <xf numFmtId="0" fontId="0" fillId="7" borderId="87" xfId="0" applyFill="1" applyBorder="1" applyAlignment="1">
      <alignment horizontal="center" vertical="center"/>
    </xf>
    <xf numFmtId="0" fontId="0" fillId="7" borderId="88" xfId="0" applyFill="1" applyBorder="1"/>
    <xf numFmtId="0" fontId="0" fillId="7" borderId="90" xfId="0" applyFill="1" applyBorder="1" applyAlignment="1">
      <alignment horizontal="center" vertical="center"/>
    </xf>
    <xf numFmtId="0" fontId="0" fillId="7" borderId="34" xfId="0" applyFill="1" applyBorder="1" applyAlignment="1">
      <alignment horizontal="center" vertical="center"/>
    </xf>
    <xf numFmtId="0" fontId="0" fillId="7" borderId="91" xfId="0" applyFill="1" applyBorder="1" applyAlignment="1">
      <alignment horizontal="center" vertical="center"/>
    </xf>
    <xf numFmtId="0" fontId="0" fillId="7" borderId="92" xfId="0" applyFill="1" applyBorder="1" applyAlignment="1">
      <alignment wrapText="1"/>
    </xf>
    <xf numFmtId="0" fontId="0" fillId="0" borderId="32" xfId="0" applyBorder="1" applyAlignment="1">
      <alignment horizontal="left"/>
    </xf>
    <xf numFmtId="0" fontId="0" fillId="0" borderId="33" xfId="0" applyBorder="1" applyAlignment="1">
      <alignment horizontal="left"/>
    </xf>
    <xf numFmtId="0" fontId="0" fillId="9" borderId="1" xfId="0" applyFill="1" applyBorder="1"/>
    <xf numFmtId="10" fontId="0" fillId="9" borderId="15" xfId="1" applyNumberFormat="1" applyFont="1" applyFill="1" applyBorder="1"/>
    <xf numFmtId="10" fontId="0" fillId="0" borderId="0" xfId="0" applyNumberFormat="1"/>
    <xf numFmtId="0" fontId="1" fillId="7" borderId="14" xfId="0" applyFont="1" applyFill="1" applyBorder="1" applyAlignment="1">
      <alignment horizontal="center" vertical="center"/>
    </xf>
    <xf numFmtId="0" fontId="1" fillId="7" borderId="15" xfId="0" applyFont="1" applyFill="1" applyBorder="1" applyAlignment="1">
      <alignment horizontal="center" vertical="center"/>
    </xf>
    <xf numFmtId="0" fontId="1" fillId="7" borderId="89" xfId="0" applyFont="1" applyFill="1" applyBorder="1" applyAlignment="1">
      <alignment horizontal="center" vertical="center"/>
    </xf>
    <xf numFmtId="0" fontId="1" fillId="7" borderId="58" xfId="0" applyFont="1" applyFill="1" applyBorder="1" applyAlignment="1">
      <alignment horizontal="center" vertical="center"/>
    </xf>
    <xf numFmtId="0" fontId="1" fillId="7" borderId="93" xfId="0" applyFont="1" applyFill="1" applyBorder="1" applyAlignment="1">
      <alignment horizontal="center" vertical="center"/>
    </xf>
    <xf numFmtId="0" fontId="1" fillId="7" borderId="84" xfId="0" applyFont="1" applyFill="1" applyBorder="1" applyAlignment="1">
      <alignment horizontal="center" vertical="center"/>
    </xf>
    <xf numFmtId="0" fontId="1" fillId="7" borderId="86" xfId="0" applyFont="1" applyFill="1" applyBorder="1" applyAlignment="1">
      <alignment horizontal="center" vertical="center"/>
    </xf>
    <xf numFmtId="0" fontId="1" fillId="7" borderId="62" xfId="0" applyFont="1" applyFill="1" applyBorder="1" applyAlignment="1">
      <alignment horizontal="center" vertical="center"/>
    </xf>
    <xf numFmtId="0" fontId="1" fillId="7" borderId="16" xfId="0" applyFont="1" applyFill="1" applyBorder="1" applyAlignment="1">
      <alignment horizontal="center" vertical="center"/>
    </xf>
    <xf numFmtId="0" fontId="11" fillId="0" borderId="0" xfId="0" applyFont="1" applyAlignment="1">
      <alignment vertical="top"/>
    </xf>
    <xf numFmtId="0" fontId="0" fillId="0" borderId="0" xfId="0" applyAlignment="1">
      <alignment wrapText="1"/>
    </xf>
    <xf numFmtId="0" fontId="0" fillId="7" borderId="9" xfId="0" applyFill="1" applyBorder="1"/>
    <xf numFmtId="2" fontId="0" fillId="7" borderId="1" xfId="0" applyNumberFormat="1" applyFill="1" applyBorder="1"/>
    <xf numFmtId="10" fontId="0" fillId="7" borderId="15" xfId="0" applyNumberFormat="1" applyFill="1" applyBorder="1"/>
    <xf numFmtId="0" fontId="0" fillId="22" borderId="9" xfId="0" applyFill="1" applyBorder="1"/>
    <xf numFmtId="0" fontId="0" fillId="22" borderId="74" xfId="0" applyFill="1" applyBorder="1"/>
    <xf numFmtId="3" fontId="0" fillId="22" borderId="54" xfId="0" applyNumberFormat="1" applyFill="1" applyBorder="1"/>
    <xf numFmtId="2" fontId="0" fillId="22" borderId="54" xfId="0" applyNumberFormat="1" applyFill="1" applyBorder="1"/>
    <xf numFmtId="10" fontId="0" fillId="22" borderId="59" xfId="0" applyNumberFormat="1" applyFill="1" applyBorder="1"/>
    <xf numFmtId="0" fontId="0" fillId="22" borderId="57" xfId="0" applyFill="1" applyBorder="1"/>
    <xf numFmtId="0" fontId="0" fillId="22" borderId="70" xfId="0" applyFill="1" applyBorder="1"/>
    <xf numFmtId="3" fontId="0" fillId="22" borderId="55" xfId="0" applyNumberFormat="1" applyFill="1" applyBorder="1"/>
    <xf numFmtId="2" fontId="0" fillId="22" borderId="55" xfId="0" applyNumberFormat="1" applyFill="1" applyBorder="1"/>
    <xf numFmtId="0" fontId="0" fillId="22" borderId="1" xfId="0" applyFill="1" applyBorder="1"/>
    <xf numFmtId="3" fontId="0" fillId="22" borderId="1" xfId="0" applyNumberFormat="1" applyFill="1" applyBorder="1"/>
    <xf numFmtId="2" fontId="0" fillId="22" borderId="1" xfId="0" applyNumberFormat="1" applyFill="1" applyBorder="1"/>
    <xf numFmtId="2" fontId="0" fillId="22" borderId="74" xfId="0" applyNumberFormat="1" applyFill="1" applyBorder="1"/>
    <xf numFmtId="10" fontId="0" fillId="22" borderId="60" xfId="0" applyNumberFormat="1" applyFill="1" applyBorder="1"/>
    <xf numFmtId="0" fontId="0" fillId="18" borderId="9" xfId="0" applyFill="1" applyBorder="1"/>
    <xf numFmtId="3" fontId="0" fillId="18" borderId="1" xfId="0" applyNumberFormat="1" applyFill="1" applyBorder="1"/>
    <xf numFmtId="2" fontId="0" fillId="18" borderId="1" xfId="0" applyNumberFormat="1" applyFill="1" applyBorder="1"/>
    <xf numFmtId="0" fontId="0" fillId="18" borderId="1" xfId="0" applyFill="1" applyBorder="1"/>
    <xf numFmtId="10" fontId="0" fillId="18" borderId="15" xfId="0" applyNumberFormat="1" applyFill="1" applyBorder="1"/>
    <xf numFmtId="0" fontId="0" fillId="0" borderId="1" xfId="0" applyBorder="1" applyAlignment="1">
      <alignment horizontal="left"/>
    </xf>
    <xf numFmtId="0" fontId="29" fillId="0" borderId="0" xfId="0" applyFont="1"/>
    <xf numFmtId="0" fontId="30" fillId="0" borderId="0" xfId="0" applyFont="1"/>
    <xf numFmtId="0" fontId="1" fillId="0" borderId="23" xfId="0" applyFont="1" applyBorder="1" applyAlignment="1">
      <alignment horizontal="center"/>
    </xf>
    <xf numFmtId="0" fontId="1" fillId="0" borderId="13" xfId="0" applyFont="1" applyBorder="1" applyAlignment="1">
      <alignment horizontal="center"/>
    </xf>
    <xf numFmtId="0" fontId="1" fillId="0" borderId="14" xfId="0" applyFont="1" applyBorder="1" applyAlignment="1">
      <alignment horizontal="center"/>
    </xf>
    <xf numFmtId="3" fontId="0" fillId="17" borderId="5" xfId="0" applyNumberFormat="1" applyFill="1" applyBorder="1" applyAlignment="1">
      <alignment horizontal="center" vertical="center"/>
    </xf>
    <xf numFmtId="3" fontId="0" fillId="2" borderId="5" xfId="0" applyNumberFormat="1" applyFill="1" applyBorder="1" applyAlignment="1">
      <alignment horizontal="center" vertical="center"/>
    </xf>
    <xf numFmtId="3" fontId="0" fillId="14" borderId="5" xfId="0" applyNumberFormat="1" applyFill="1" applyBorder="1" applyAlignment="1">
      <alignment horizontal="center" vertical="center"/>
    </xf>
    <xf numFmtId="3" fontId="0" fillId="7" borderId="5" xfId="0" applyNumberFormat="1" applyFill="1" applyBorder="1" applyAlignment="1">
      <alignment horizontal="center" vertical="center"/>
    </xf>
    <xf numFmtId="0" fontId="0" fillId="0" borderId="22" xfId="0" applyBorder="1" applyAlignment="1">
      <alignment horizontal="center"/>
    </xf>
    <xf numFmtId="2" fontId="0" fillId="17" borderId="12" xfId="0" applyNumberFormat="1" applyFill="1" applyBorder="1" applyAlignment="1">
      <alignment horizontal="center" vertical="center"/>
    </xf>
    <xf numFmtId="2" fontId="0" fillId="17" borderId="13" xfId="0" applyNumberFormat="1" applyFill="1" applyBorder="1" applyAlignment="1">
      <alignment horizontal="center" vertical="center"/>
    </xf>
    <xf numFmtId="2" fontId="0" fillId="17" borderId="9" xfId="0" applyNumberFormat="1" applyFill="1" applyBorder="1" applyAlignment="1">
      <alignment horizontal="center" vertical="center"/>
    </xf>
    <xf numFmtId="2" fontId="0" fillId="2" borderId="9" xfId="0" applyNumberFormat="1" applyFill="1" applyBorder="1" applyAlignment="1">
      <alignment horizontal="center" vertical="center"/>
    </xf>
    <xf numFmtId="2" fontId="0" fillId="14" borderId="9" xfId="0" applyNumberFormat="1" applyFill="1" applyBorder="1" applyAlignment="1">
      <alignment horizontal="center" vertical="center"/>
    </xf>
    <xf numFmtId="2" fontId="0" fillId="7" borderId="9" xfId="0" applyNumberFormat="1" applyFill="1" applyBorder="1" applyAlignment="1">
      <alignment horizontal="center" vertical="center"/>
    </xf>
    <xf numFmtId="2" fontId="0" fillId="7" borderId="10" xfId="0" applyNumberFormat="1" applyFill="1" applyBorder="1" applyAlignment="1">
      <alignment horizontal="center" vertical="center"/>
    </xf>
    <xf numFmtId="0" fontId="1" fillId="0" borderId="1" xfId="0" applyFont="1" applyBorder="1" applyAlignment="1">
      <alignment horizontal="left"/>
    </xf>
    <xf numFmtId="0" fontId="17" fillId="0" borderId="1" xfId="0" applyFont="1" applyBorder="1" applyAlignment="1">
      <alignment horizontal="left"/>
    </xf>
    <xf numFmtId="0" fontId="16" fillId="9" borderId="1" xfId="0" applyFont="1" applyFill="1" applyBorder="1" applyAlignment="1">
      <alignment horizontal="left"/>
    </xf>
    <xf numFmtId="0" fontId="0" fillId="20" borderId="0" xfId="0" applyFill="1"/>
    <xf numFmtId="0" fontId="32" fillId="0" borderId="0" xfId="0" applyFont="1" applyAlignment="1">
      <alignment horizontal="center" vertical="center" wrapText="1"/>
    </xf>
    <xf numFmtId="0" fontId="26" fillId="0" borderId="0" xfId="0" applyFont="1" applyAlignment="1">
      <alignment horizontal="left"/>
    </xf>
    <xf numFmtId="3" fontId="26" fillId="0" borderId="0" xfId="0" applyNumberFormat="1" applyFont="1"/>
    <xf numFmtId="0" fontId="26" fillId="0" borderId="0" xfId="0" applyFont="1" applyAlignment="1">
      <alignment horizontal="center" vertical="center"/>
    </xf>
    <xf numFmtId="3" fontId="26" fillId="0" borderId="0" xfId="0" applyNumberFormat="1" applyFont="1" applyAlignment="1">
      <alignment horizontal="center"/>
    </xf>
    <xf numFmtId="3" fontId="26" fillId="0" borderId="0" xfId="0" applyNumberFormat="1" applyFont="1" applyAlignment="1">
      <alignment horizontal="center" vertical="center"/>
    </xf>
    <xf numFmtId="2" fontId="26" fillId="0" borderId="0" xfId="0" applyNumberFormat="1" applyFont="1" applyAlignment="1">
      <alignment horizontal="center" vertical="center"/>
    </xf>
    <xf numFmtId="0" fontId="26" fillId="0" borderId="0" xfId="0" applyFont="1" applyAlignment="1">
      <alignment horizontal="center"/>
    </xf>
    <xf numFmtId="0" fontId="0" fillId="0" borderId="54" xfId="0" applyBorder="1"/>
    <xf numFmtId="0" fontId="0" fillId="0" borderId="102" xfId="0" applyBorder="1"/>
    <xf numFmtId="0" fontId="0" fillId="0" borderId="44" xfId="0" applyBorder="1"/>
    <xf numFmtId="0" fontId="0" fillId="0" borderId="56" xfId="0" applyBorder="1"/>
    <xf numFmtId="0" fontId="0" fillId="0" borderId="103" xfId="0" applyBorder="1"/>
    <xf numFmtId="0" fontId="0" fillId="0" borderId="5" xfId="0" applyBorder="1"/>
    <xf numFmtId="0" fontId="1" fillId="0" borderId="1" xfId="0" applyFont="1" applyBorder="1" applyAlignment="1">
      <alignment horizontal="center" vertical="center" wrapText="1"/>
    </xf>
    <xf numFmtId="0" fontId="0" fillId="0" borderId="88" xfId="0" applyBorder="1"/>
    <xf numFmtId="3" fontId="0" fillId="7" borderId="1" xfId="0" quotePrefix="1" applyNumberFormat="1" applyFill="1" applyBorder="1"/>
    <xf numFmtId="166" fontId="0" fillId="7" borderId="1" xfId="0" applyNumberFormat="1" applyFill="1" applyBorder="1" applyAlignment="1">
      <alignment horizontal="center"/>
    </xf>
    <xf numFmtId="10" fontId="0" fillId="0" borderId="0" xfId="1" applyNumberFormat="1" applyFont="1" applyFill="1" applyBorder="1"/>
    <xf numFmtId="3" fontId="5" fillId="0" borderId="0" xfId="0" applyNumberFormat="1" applyFont="1" applyAlignment="1">
      <alignment vertical="top" wrapText="1"/>
    </xf>
    <xf numFmtId="0" fontId="1" fillId="0" borderId="9" xfId="0" applyFont="1" applyBorder="1" applyAlignment="1">
      <alignment horizontal="center" vertical="center"/>
    </xf>
    <xf numFmtId="9" fontId="0" fillId="0" borderId="1" xfId="0" applyNumberFormat="1" applyBorder="1" applyAlignment="1">
      <alignment horizontal="center" vertical="center"/>
    </xf>
    <xf numFmtId="9" fontId="0" fillId="0" borderId="15" xfId="0" applyNumberFormat="1" applyBorder="1" applyAlignment="1">
      <alignment horizontal="center" vertical="center"/>
    </xf>
    <xf numFmtId="0" fontId="1" fillId="0" borderId="10" xfId="0" applyFont="1" applyBorder="1" applyAlignment="1">
      <alignment horizontal="center" vertical="center"/>
    </xf>
    <xf numFmtId="9" fontId="0" fillId="0" borderId="11" xfId="0" applyNumberFormat="1" applyBorder="1" applyAlignment="1">
      <alignment horizontal="center" vertical="center"/>
    </xf>
    <xf numFmtId="9" fontId="0" fillId="0" borderId="16" xfId="0" applyNumberFormat="1" applyBorder="1" applyAlignment="1">
      <alignment horizontal="center" vertical="center"/>
    </xf>
    <xf numFmtId="0" fontId="1" fillId="0" borderId="94" xfId="0" applyFont="1" applyBorder="1" applyAlignment="1">
      <alignment horizontal="center"/>
    </xf>
    <xf numFmtId="0" fontId="1" fillId="0" borderId="24" xfId="0" applyFont="1" applyBorder="1" applyAlignment="1">
      <alignment horizontal="center"/>
    </xf>
    <xf numFmtId="0" fontId="1" fillId="0" borderId="25" xfId="0" applyFont="1" applyBorder="1" applyAlignment="1">
      <alignment horizontal="center"/>
    </xf>
    <xf numFmtId="0" fontId="0" fillId="0" borderId="30" xfId="0" applyBorder="1" applyAlignment="1">
      <alignment horizontal="center"/>
    </xf>
    <xf numFmtId="0" fontId="0" fillId="0" borderId="31" xfId="0" applyBorder="1" applyAlignment="1">
      <alignment horizontal="center"/>
    </xf>
    <xf numFmtId="0" fontId="0" fillId="0" borderId="32" xfId="0" applyBorder="1" applyAlignment="1">
      <alignment horizontal="center"/>
    </xf>
    <xf numFmtId="0" fontId="0" fillId="0" borderId="26" xfId="0" applyBorder="1" applyAlignment="1">
      <alignment horizontal="center"/>
    </xf>
    <xf numFmtId="0" fontId="0" fillId="0" borderId="33" xfId="0" applyBorder="1" applyAlignment="1">
      <alignment horizontal="center"/>
    </xf>
    <xf numFmtId="0" fontId="0" fillId="0" borderId="34" xfId="0" applyBorder="1" applyAlignment="1">
      <alignment horizontal="center"/>
    </xf>
    <xf numFmtId="0" fontId="0" fillId="0" borderId="35" xfId="0" applyBorder="1" applyAlignment="1">
      <alignment horizontal="center"/>
    </xf>
    <xf numFmtId="0" fontId="0" fillId="0" borderId="36" xfId="0" applyBorder="1" applyAlignment="1">
      <alignment horizontal="center"/>
    </xf>
    <xf numFmtId="0" fontId="0" fillId="0" borderId="6" xfId="0" applyBorder="1" applyAlignment="1">
      <alignment horizontal="left" vertical="center"/>
    </xf>
    <xf numFmtId="0" fontId="0" fillId="0" borderId="4" xfId="0" applyBorder="1" applyAlignment="1">
      <alignment horizontal="left" vertical="center"/>
    </xf>
    <xf numFmtId="0" fontId="0" fillId="0" borderId="7" xfId="0" applyBorder="1" applyAlignment="1">
      <alignment horizontal="left" vertical="center"/>
    </xf>
    <xf numFmtId="0" fontId="0" fillId="0" borderId="95" xfId="0" applyBorder="1" applyAlignment="1">
      <alignment horizontal="left" vertical="center"/>
    </xf>
    <xf numFmtId="0" fontId="0" fillId="0" borderId="35" xfId="0" applyBorder="1" applyAlignment="1">
      <alignment horizontal="left" vertical="center"/>
    </xf>
    <xf numFmtId="0" fontId="0" fillId="0" borderId="91" xfId="0" applyBorder="1" applyAlignment="1">
      <alignment horizontal="left" vertical="center"/>
    </xf>
    <xf numFmtId="170" fontId="0" fillId="0" borderId="0" xfId="0" applyNumberFormat="1"/>
    <xf numFmtId="0" fontId="31" fillId="0" borderId="0" xfId="0" applyFont="1" applyAlignment="1">
      <alignment vertical="center"/>
    </xf>
    <xf numFmtId="2" fontId="0" fillId="0" borderId="0" xfId="0" applyNumberFormat="1" applyAlignment="1">
      <alignment horizontal="center" vertical="center"/>
    </xf>
    <xf numFmtId="9" fontId="0" fillId="0" borderId="0" xfId="0" applyNumberFormat="1" applyAlignment="1">
      <alignment vertical="center"/>
    </xf>
    <xf numFmtId="0" fontId="0" fillId="0" borderId="22" xfId="0" applyBorder="1"/>
    <xf numFmtId="0" fontId="0" fillId="18" borderId="22" xfId="0" applyFill="1" applyBorder="1"/>
    <xf numFmtId="0" fontId="0" fillId="2" borderId="9" xfId="0" applyFill="1" applyBorder="1"/>
    <xf numFmtId="0" fontId="0" fillId="18" borderId="18" xfId="0" applyFill="1" applyBorder="1"/>
    <xf numFmtId="10" fontId="0" fillId="18" borderId="86" xfId="0" applyNumberFormat="1" applyFill="1" applyBorder="1"/>
    <xf numFmtId="2" fontId="0" fillId="18" borderId="18" xfId="0" applyNumberFormat="1" applyFill="1" applyBorder="1"/>
    <xf numFmtId="10" fontId="0" fillId="9" borderId="15" xfId="0" applyNumberFormat="1" applyFill="1" applyBorder="1"/>
    <xf numFmtId="0" fontId="0" fillId="9" borderId="11" xfId="0" applyFill="1" applyBorder="1"/>
    <xf numFmtId="10" fontId="0" fillId="9" borderId="16" xfId="0" applyNumberFormat="1" applyFill="1" applyBorder="1"/>
    <xf numFmtId="0" fontId="40" fillId="0" borderId="0" xfId="0" applyFont="1"/>
    <xf numFmtId="0" fontId="40" fillId="0" borderId="0" xfId="0" applyFont="1" applyAlignment="1">
      <alignment horizontal="center"/>
    </xf>
    <xf numFmtId="0" fontId="40" fillId="0" borderId="0" xfId="0" applyFont="1" applyAlignment="1">
      <alignment horizontal="center" vertical="center"/>
    </xf>
    <xf numFmtId="0" fontId="40" fillId="0" borderId="33" xfId="0" applyFont="1" applyBorder="1"/>
    <xf numFmtId="10" fontId="0" fillId="9" borderId="108" xfId="0" applyNumberFormat="1" applyFill="1" applyBorder="1"/>
    <xf numFmtId="0" fontId="40" fillId="0" borderId="0" xfId="0" applyFont="1" applyAlignment="1">
      <alignment horizontal="center" vertical="center" wrapText="1"/>
    </xf>
    <xf numFmtId="0" fontId="1" fillId="0" borderId="30" xfId="0" applyFont="1" applyBorder="1"/>
    <xf numFmtId="0" fontId="1" fillId="0" borderId="31" xfId="0" applyFont="1" applyBorder="1"/>
    <xf numFmtId="10" fontId="0" fillId="9" borderId="60" xfId="0" applyNumberFormat="1" applyFill="1" applyBorder="1"/>
    <xf numFmtId="2" fontId="0" fillId="9" borderId="70" xfId="0" applyNumberFormat="1" applyFill="1" applyBorder="1"/>
    <xf numFmtId="3" fontId="0" fillId="22" borderId="18" xfId="0" applyNumberFormat="1" applyFill="1" applyBorder="1"/>
    <xf numFmtId="2" fontId="0" fillId="22" borderId="18" xfId="0" applyNumberFormat="1" applyFill="1" applyBorder="1"/>
    <xf numFmtId="2" fontId="0" fillId="22" borderId="70" xfId="0" applyNumberFormat="1" applyFill="1" applyBorder="1"/>
    <xf numFmtId="2" fontId="0" fillId="9" borderId="79" xfId="0" applyNumberFormat="1" applyFill="1" applyBorder="1"/>
    <xf numFmtId="2" fontId="0" fillId="9" borderId="71" xfId="0" applyNumberFormat="1" applyFill="1" applyBorder="1"/>
    <xf numFmtId="0" fontId="40" fillId="0" borderId="1" xfId="0" applyFont="1" applyBorder="1"/>
    <xf numFmtId="3" fontId="40" fillId="24" borderId="1" xfId="0" applyNumberFormat="1" applyFont="1" applyFill="1" applyBorder="1"/>
    <xf numFmtId="0" fontId="40" fillId="24" borderId="1" xfId="0" applyFont="1" applyFill="1" applyBorder="1"/>
    <xf numFmtId="0" fontId="40" fillId="24" borderId="1" xfId="0" applyFont="1" applyFill="1" applyBorder="1" applyAlignment="1">
      <alignment horizontal="center" vertical="center"/>
    </xf>
    <xf numFmtId="3" fontId="40" fillId="24" borderId="1" xfId="0" applyNumberFormat="1" applyFont="1" applyFill="1" applyBorder="1" applyAlignment="1">
      <alignment horizontal="center"/>
    </xf>
    <xf numFmtId="0" fontId="40" fillId="0" borderId="1" xfId="0" applyFont="1" applyBorder="1" applyAlignment="1">
      <alignment horizontal="center"/>
    </xf>
    <xf numFmtId="3" fontId="40" fillId="26" borderId="1" xfId="0" applyNumberFormat="1" applyFont="1" applyFill="1" applyBorder="1"/>
    <xf numFmtId="0" fontId="40" fillId="26" borderId="1" xfId="0" applyFont="1" applyFill="1" applyBorder="1"/>
    <xf numFmtId="0" fontId="40" fillId="26" borderId="1" xfId="0" applyFont="1" applyFill="1" applyBorder="1" applyAlignment="1">
      <alignment horizontal="center" vertical="center"/>
    </xf>
    <xf numFmtId="3" fontId="40" fillId="26" borderId="1" xfId="0" applyNumberFormat="1" applyFont="1" applyFill="1" applyBorder="1" applyAlignment="1">
      <alignment horizontal="center"/>
    </xf>
    <xf numFmtId="3" fontId="40" fillId="27" borderId="1" xfId="0" applyNumberFormat="1" applyFont="1" applyFill="1" applyBorder="1"/>
    <xf numFmtId="0" fontId="40" fillId="27" borderId="1" xfId="0" applyFont="1" applyFill="1" applyBorder="1"/>
    <xf numFmtId="0" fontId="40" fillId="27" borderId="1" xfId="0" applyFont="1" applyFill="1" applyBorder="1" applyAlignment="1">
      <alignment horizontal="center" vertical="center"/>
    </xf>
    <xf numFmtId="3" fontId="40" fillId="27" borderId="1" xfId="0" applyNumberFormat="1" applyFont="1" applyFill="1" applyBorder="1" applyAlignment="1">
      <alignment horizontal="center"/>
    </xf>
    <xf numFmtId="3" fontId="40" fillId="28" borderId="1" xfId="0" applyNumberFormat="1" applyFont="1" applyFill="1" applyBorder="1"/>
    <xf numFmtId="0" fontId="40" fillId="28" borderId="1" xfId="0" applyFont="1" applyFill="1" applyBorder="1"/>
    <xf numFmtId="0" fontId="40" fillId="28" borderId="1" xfId="0" applyFont="1" applyFill="1" applyBorder="1" applyAlignment="1">
      <alignment horizontal="center" vertical="center"/>
    </xf>
    <xf numFmtId="3" fontId="40" fillId="28" borderId="1" xfId="0" applyNumberFormat="1" applyFont="1" applyFill="1" applyBorder="1" applyAlignment="1">
      <alignment horizontal="center"/>
    </xf>
    <xf numFmtId="0" fontId="40" fillId="27" borderId="1" xfId="0" applyFont="1" applyFill="1" applyBorder="1" applyAlignment="1">
      <alignment horizontal="center"/>
    </xf>
    <xf numFmtId="0" fontId="40" fillId="28" borderId="1" xfId="0" applyFont="1" applyFill="1" applyBorder="1" applyAlignment="1">
      <alignment horizontal="center"/>
    </xf>
    <xf numFmtId="0" fontId="40" fillId="0" borderId="22" xfId="0" applyFont="1" applyBorder="1" applyAlignment="1">
      <alignment horizontal="center"/>
    </xf>
    <xf numFmtId="3" fontId="40" fillId="24" borderId="5" xfId="0" applyNumberFormat="1" applyFont="1" applyFill="1" applyBorder="1" applyAlignment="1">
      <alignment horizontal="center"/>
    </xf>
    <xf numFmtId="3" fontId="40" fillId="26" borderId="5" xfId="0" applyNumberFormat="1" applyFont="1" applyFill="1" applyBorder="1" applyAlignment="1">
      <alignment horizontal="center"/>
    </xf>
    <xf numFmtId="3" fontId="40" fillId="27" borderId="5" xfId="0" applyNumberFormat="1" applyFont="1" applyFill="1" applyBorder="1" applyAlignment="1">
      <alignment horizontal="center"/>
    </xf>
    <xf numFmtId="3" fontId="40" fillId="28" borderId="5" xfId="0" applyNumberFormat="1" applyFont="1" applyFill="1" applyBorder="1" applyAlignment="1">
      <alignment horizontal="center"/>
    </xf>
    <xf numFmtId="0" fontId="40" fillId="24" borderId="12" xfId="0" applyFont="1" applyFill="1" applyBorder="1" applyAlignment="1">
      <alignment horizontal="center" vertical="center"/>
    </xf>
    <xf numFmtId="0" fontId="40" fillId="24" borderId="13" xfId="0" applyFont="1" applyFill="1" applyBorder="1" applyAlignment="1">
      <alignment horizontal="center" vertical="center"/>
    </xf>
    <xf numFmtId="0" fontId="40" fillId="24" borderId="9" xfId="0" applyFont="1" applyFill="1" applyBorder="1" applyAlignment="1">
      <alignment horizontal="center" vertical="center"/>
    </xf>
    <xf numFmtId="0" fontId="40" fillId="25" borderId="9" xfId="0" applyFont="1" applyFill="1" applyBorder="1" applyAlignment="1">
      <alignment horizontal="center" vertical="center"/>
    </xf>
    <xf numFmtId="0" fontId="40" fillId="26" borderId="9" xfId="0" applyFont="1" applyFill="1" applyBorder="1" applyAlignment="1">
      <alignment horizontal="center" vertical="center"/>
    </xf>
    <xf numFmtId="0" fontId="40" fillId="27" borderId="9" xfId="0" applyFont="1" applyFill="1" applyBorder="1" applyAlignment="1">
      <alignment horizontal="center" vertical="center"/>
    </xf>
    <xf numFmtId="0" fontId="40" fillId="28" borderId="9" xfId="0" applyFont="1" applyFill="1" applyBorder="1" applyAlignment="1">
      <alignment horizontal="center" vertical="center"/>
    </xf>
    <xf numFmtId="0" fontId="40" fillId="28" borderId="10" xfId="0" applyFont="1" applyFill="1" applyBorder="1" applyAlignment="1">
      <alignment horizontal="center" vertical="center"/>
    </xf>
    <xf numFmtId="0" fontId="40" fillId="28" borderId="11" xfId="0" applyFont="1" applyFill="1" applyBorder="1" applyAlignment="1">
      <alignment horizontal="center" vertical="center"/>
    </xf>
    <xf numFmtId="0" fontId="45" fillId="0" borderId="0" xfId="0" applyFont="1"/>
    <xf numFmtId="0" fontId="0" fillId="0" borderId="0" xfId="0" applyAlignment="1">
      <alignment vertical="center" wrapText="1"/>
    </xf>
    <xf numFmtId="0" fontId="0" fillId="0" borderId="0" xfId="0" applyAlignment="1">
      <alignment horizontal="center" vertical="center" wrapText="1"/>
    </xf>
    <xf numFmtId="1" fontId="0" fillId="0" borderId="0" xfId="0" applyNumberFormat="1" applyAlignment="1">
      <alignment horizontal="center" vertical="center"/>
    </xf>
    <xf numFmtId="2" fontId="0" fillId="5" borderId="5" xfId="0" applyNumberFormat="1" applyFill="1" applyBorder="1" applyAlignment="1">
      <alignment horizontal="center" vertical="center"/>
    </xf>
    <xf numFmtId="2" fontId="0" fillId="17" borderId="5" xfId="0" applyNumberFormat="1" applyFill="1" applyBorder="1" applyAlignment="1">
      <alignment horizontal="center" vertical="center"/>
    </xf>
    <xf numFmtId="165" fontId="1" fillId="0" borderId="0" xfId="0" applyNumberFormat="1" applyFont="1" applyAlignment="1">
      <alignment horizontal="center" vertical="center" wrapText="1"/>
    </xf>
    <xf numFmtId="2" fontId="0" fillId="14" borderId="5" xfId="0" applyNumberFormat="1" applyFill="1" applyBorder="1" applyAlignment="1">
      <alignment horizontal="center" vertical="center"/>
    </xf>
    <xf numFmtId="2" fontId="0" fillId="0" borderId="5" xfId="0" applyNumberFormat="1" applyBorder="1" applyAlignment="1">
      <alignment horizontal="center" vertical="center"/>
    </xf>
    <xf numFmtId="0" fontId="0" fillId="0" borderId="5" xfId="0" applyBorder="1" applyAlignment="1">
      <alignment horizontal="center" vertical="center"/>
    </xf>
    <xf numFmtId="3" fontId="0" fillId="0" borderId="17" xfId="0" applyNumberFormat="1" applyBorder="1" applyAlignment="1">
      <alignment horizontal="center" vertical="center"/>
    </xf>
    <xf numFmtId="0" fontId="47" fillId="0" borderId="0" xfId="0" applyFont="1"/>
    <xf numFmtId="0" fontId="38" fillId="0" borderId="0" xfId="0" applyFont="1" applyAlignment="1">
      <alignment vertical="center"/>
    </xf>
    <xf numFmtId="0" fontId="48" fillId="0" borderId="0" xfId="0" applyFont="1"/>
    <xf numFmtId="2" fontId="45" fillId="0" borderId="0" xfId="0" applyNumberFormat="1" applyFont="1" applyAlignment="1">
      <alignment vertical="center"/>
    </xf>
    <xf numFmtId="10" fontId="45" fillId="0" borderId="0" xfId="1" applyNumberFormat="1" applyFont="1" applyFill="1" applyBorder="1" applyAlignment="1">
      <alignment vertical="center"/>
    </xf>
    <xf numFmtId="0" fontId="45" fillId="0" borderId="0" xfId="0" applyFont="1" applyAlignment="1">
      <alignment vertical="center"/>
    </xf>
    <xf numFmtId="3" fontId="45" fillId="0" borderId="0" xfId="0" applyNumberFormat="1" applyFont="1" applyAlignment="1">
      <alignment vertical="center"/>
    </xf>
    <xf numFmtId="3" fontId="45" fillId="0" borderId="0" xfId="0" applyNumberFormat="1" applyFont="1" applyAlignment="1">
      <alignment vertical="center" wrapText="1"/>
    </xf>
    <xf numFmtId="0" fontId="1" fillId="0" borderId="0" xfId="0" applyFont="1" applyAlignment="1">
      <alignment vertical="center" wrapText="1"/>
    </xf>
    <xf numFmtId="0" fontId="18" fillId="0" borderId="0" xfId="0" applyFont="1" applyAlignment="1">
      <alignment vertical="center"/>
    </xf>
    <xf numFmtId="166" fontId="0" fillId="0" borderId="1" xfId="0" applyNumberFormat="1" applyBorder="1" applyAlignment="1">
      <alignment horizontal="center" vertical="center"/>
    </xf>
    <xf numFmtId="2" fontId="0" fillId="0" borderId="17" xfId="0" applyNumberFormat="1" applyBorder="1" applyAlignment="1">
      <alignment horizontal="center" vertical="center"/>
    </xf>
    <xf numFmtId="0" fontId="34" fillId="0" borderId="0" xfId="0" applyFont="1" applyAlignment="1">
      <alignment vertical="center"/>
    </xf>
    <xf numFmtId="0" fontId="49" fillId="0" borderId="0" xfId="0" applyFont="1" applyAlignment="1">
      <alignment vertical="center"/>
    </xf>
    <xf numFmtId="0" fontId="41" fillId="0" borderId="0" xfId="0" applyFont="1" applyAlignment="1">
      <alignment vertical="center"/>
    </xf>
    <xf numFmtId="9" fontId="0" fillId="0" borderId="0" xfId="0" applyNumberFormat="1" applyAlignment="1">
      <alignment horizontal="center"/>
    </xf>
    <xf numFmtId="1" fontId="0" fillId="0" borderId="0" xfId="0" applyNumberFormat="1" applyAlignment="1">
      <alignment horizontal="center"/>
    </xf>
    <xf numFmtId="0" fontId="46" fillId="0" borderId="0" xfId="2" applyBorder="1"/>
    <xf numFmtId="0" fontId="11" fillId="0" borderId="0" xfId="0" applyFont="1"/>
    <xf numFmtId="0" fontId="5" fillId="0" borderId="0" xfId="0" applyFont="1"/>
    <xf numFmtId="166" fontId="0" fillId="0" borderId="0" xfId="0" applyNumberFormat="1" applyAlignment="1">
      <alignment horizontal="center"/>
    </xf>
    <xf numFmtId="166" fontId="0" fillId="0" borderId="0" xfId="0" applyNumberFormat="1" applyAlignment="1">
      <alignment horizontal="center" vertical="center"/>
    </xf>
    <xf numFmtId="166" fontId="0" fillId="0" borderId="0" xfId="0" applyNumberFormat="1" applyAlignment="1">
      <alignment vertical="center"/>
    </xf>
    <xf numFmtId="1" fontId="0" fillId="0" borderId="0" xfId="0" applyNumberFormat="1" applyAlignment="1">
      <alignment vertical="center"/>
    </xf>
    <xf numFmtId="0" fontId="11" fillId="0" borderId="0" xfId="0" applyFont="1" applyAlignment="1">
      <alignment vertical="center"/>
    </xf>
    <xf numFmtId="0" fontId="0" fillId="0" borderId="3" xfId="0" applyBorder="1" applyAlignment="1">
      <alignment horizontal="center" vertical="center"/>
    </xf>
    <xf numFmtId="0" fontId="0" fillId="0" borderId="22" xfId="0" applyBorder="1" applyAlignment="1">
      <alignment horizontal="center" vertical="center"/>
    </xf>
    <xf numFmtId="166" fontId="0" fillId="0" borderId="1" xfId="0" applyNumberFormat="1" applyBorder="1" applyAlignment="1">
      <alignment horizontal="left" vertical="center"/>
    </xf>
    <xf numFmtId="0" fontId="40" fillId="0" borderId="18" xfId="0" applyFont="1" applyBorder="1" applyAlignment="1">
      <alignment horizontal="center" vertical="center"/>
    </xf>
    <xf numFmtId="0" fontId="40" fillId="0" borderId="1" xfId="0" applyFont="1" applyBorder="1" applyAlignment="1">
      <alignment horizontal="center" vertical="center"/>
    </xf>
    <xf numFmtId="0" fontId="0" fillId="0" borderId="62" xfId="0" applyBorder="1"/>
    <xf numFmtId="3" fontId="0" fillId="9" borderId="22" xfId="0" applyNumberFormat="1" applyFill="1" applyBorder="1" applyAlignment="1">
      <alignment horizontal="center" vertical="center"/>
    </xf>
    <xf numFmtId="0" fontId="40" fillId="9" borderId="1" xfId="0" applyFont="1" applyFill="1" applyBorder="1" applyAlignment="1">
      <alignment horizontal="center" vertical="center"/>
    </xf>
    <xf numFmtId="2" fontId="0" fillId="9" borderId="1" xfId="0" applyNumberFormat="1" applyFill="1" applyBorder="1" applyAlignment="1">
      <alignment horizontal="center" vertical="center"/>
    </xf>
    <xf numFmtId="3" fontId="0" fillId="9" borderId="1" xfId="0" applyNumberFormat="1" applyFill="1" applyBorder="1" applyAlignment="1">
      <alignment horizontal="center" vertical="center"/>
    </xf>
    <xf numFmtId="0" fontId="0" fillId="0" borderId="106" xfId="0" applyBorder="1"/>
    <xf numFmtId="0" fontId="0" fillId="0" borderId="62" xfId="0" applyBorder="1" applyAlignment="1">
      <alignment horizontal="center" vertical="center"/>
    </xf>
    <xf numFmtId="2" fontId="0" fillId="0" borderId="11" xfId="0" applyNumberFormat="1" applyBorder="1" applyAlignment="1">
      <alignment horizontal="center" vertical="center"/>
    </xf>
    <xf numFmtId="0" fontId="0" fillId="0" borderId="61" xfId="0" applyBorder="1"/>
    <xf numFmtId="0" fontId="0" fillId="0" borderId="11" xfId="0" applyBorder="1"/>
    <xf numFmtId="0" fontId="0" fillId="0" borderId="0" xfId="0" applyAlignment="1">
      <alignment horizontal="right"/>
    </xf>
    <xf numFmtId="0" fontId="1" fillId="0" borderId="5" xfId="0" applyFont="1" applyBorder="1" applyAlignment="1">
      <alignment horizontal="center" vertical="center" wrapText="1"/>
    </xf>
    <xf numFmtId="3" fontId="45" fillId="0" borderId="1" xfId="0" applyNumberFormat="1" applyFont="1" applyBorder="1" applyAlignment="1">
      <alignment horizontal="center" vertical="center"/>
    </xf>
    <xf numFmtId="0" fontId="0" fillId="0" borderId="18" xfId="0" applyBorder="1" applyAlignment="1">
      <alignment horizontal="center" vertical="center"/>
    </xf>
    <xf numFmtId="0" fontId="0" fillId="10" borderId="1" xfId="0" applyFill="1" applyBorder="1"/>
    <xf numFmtId="0" fontId="0" fillId="9" borderId="5" xfId="0" applyFill="1" applyBorder="1" applyAlignment="1">
      <alignment horizontal="center" vertical="center"/>
    </xf>
    <xf numFmtId="2" fontId="0" fillId="9" borderId="22" xfId="0" applyNumberFormat="1" applyFill="1" applyBorder="1" applyAlignment="1">
      <alignment horizontal="center" vertical="center"/>
    </xf>
    <xf numFmtId="0" fontId="40" fillId="0" borderId="17" xfId="0" applyFont="1" applyBorder="1" applyAlignment="1">
      <alignment horizontal="center" vertical="center"/>
    </xf>
    <xf numFmtId="2" fontId="0" fillId="0" borderId="8" xfId="0" applyNumberFormat="1" applyBorder="1" applyAlignment="1">
      <alignment horizontal="center" vertical="center"/>
    </xf>
    <xf numFmtId="2" fontId="0" fillId="0" borderId="18" xfId="0" applyNumberFormat="1" applyBorder="1" applyAlignment="1">
      <alignment horizontal="center" vertical="center"/>
    </xf>
    <xf numFmtId="2" fontId="0" fillId="0" borderId="37" xfId="0" applyNumberFormat="1" applyBorder="1" applyAlignment="1">
      <alignment horizontal="center" vertical="center"/>
    </xf>
    <xf numFmtId="0" fontId="0" fillId="30" borderId="1" xfId="0" applyFill="1" applyBorder="1" applyAlignment="1">
      <alignment horizontal="center" vertical="center"/>
    </xf>
    <xf numFmtId="0" fontId="0" fillId="10" borderId="17" xfId="0" applyFill="1" applyBorder="1"/>
    <xf numFmtId="0" fontId="1" fillId="0" borderId="37" xfId="0" applyFont="1" applyBorder="1" applyAlignment="1">
      <alignment vertical="center" wrapText="1"/>
    </xf>
    <xf numFmtId="3" fontId="45" fillId="0" borderId="37" xfId="0" applyNumberFormat="1" applyFont="1" applyBorder="1" applyAlignment="1">
      <alignment vertical="center"/>
    </xf>
    <xf numFmtId="0" fontId="45" fillId="0" borderId="37" xfId="0" applyFont="1" applyBorder="1" applyAlignment="1">
      <alignment vertical="center"/>
    </xf>
    <xf numFmtId="0" fontId="9" fillId="0" borderId="1" xfId="0" applyFont="1" applyBorder="1" applyAlignment="1">
      <alignment horizontal="center" vertical="center"/>
    </xf>
    <xf numFmtId="3" fontId="45" fillId="0" borderId="37" xfId="0" applyNumberFormat="1" applyFont="1" applyBorder="1" applyAlignment="1">
      <alignment vertical="center" wrapText="1"/>
    </xf>
    <xf numFmtId="0" fontId="0" fillId="0" borderId="37" xfId="0" applyBorder="1" applyAlignment="1">
      <alignment vertical="center"/>
    </xf>
    <xf numFmtId="2" fontId="45" fillId="0" borderId="37" xfId="0" applyNumberFormat="1" applyFont="1" applyBorder="1" applyAlignment="1">
      <alignment vertical="center"/>
    </xf>
    <xf numFmtId="10" fontId="45" fillId="0" borderId="37" xfId="1" applyNumberFormat="1" applyFont="1" applyFill="1" applyBorder="1" applyAlignment="1">
      <alignment vertical="center"/>
    </xf>
    <xf numFmtId="2" fontId="45" fillId="0" borderId="37" xfId="0" applyNumberFormat="1" applyFont="1" applyBorder="1"/>
    <xf numFmtId="2" fontId="45" fillId="0" borderId="0" xfId="0" applyNumberFormat="1" applyFont="1"/>
    <xf numFmtId="0" fontId="45" fillId="0" borderId="37" xfId="0" applyFont="1" applyBorder="1"/>
    <xf numFmtId="1" fontId="0" fillId="0" borderId="0" xfId="0" applyNumberFormat="1" applyAlignment="1">
      <alignment horizontal="right" vertical="center"/>
    </xf>
    <xf numFmtId="166" fontId="0" fillId="0" borderId="0" xfId="0" applyNumberFormat="1" applyAlignment="1">
      <alignment horizontal="right"/>
    </xf>
    <xf numFmtId="0" fontId="4" fillId="0" borderId="0" xfId="0" applyFont="1"/>
    <xf numFmtId="3" fontId="0" fillId="0" borderId="0" xfId="0" applyNumberFormat="1" applyAlignment="1">
      <alignment vertical="center"/>
    </xf>
    <xf numFmtId="0" fontId="31" fillId="0" borderId="0" xfId="0" applyFont="1" applyAlignment="1">
      <alignment vertical="top"/>
    </xf>
    <xf numFmtId="2" fontId="0" fillId="0" borderId="0" xfId="0" applyNumberFormat="1" applyAlignment="1">
      <alignment vertical="center"/>
    </xf>
    <xf numFmtId="0" fontId="33" fillId="0" borderId="0" xfId="0" applyFont="1" applyAlignment="1">
      <alignment vertical="center"/>
    </xf>
    <xf numFmtId="0" fontId="37" fillId="0" borderId="0" xfId="0" applyFont="1" applyAlignment="1">
      <alignment vertical="center"/>
    </xf>
    <xf numFmtId="0" fontId="0" fillId="0" borderId="1" xfId="0" applyBorder="1" applyAlignment="1">
      <alignment wrapText="1"/>
    </xf>
    <xf numFmtId="0" fontId="0" fillId="0" borderId="126" xfId="0" applyBorder="1"/>
    <xf numFmtId="0" fontId="0" fillId="0" borderId="98" xfId="0" applyBorder="1"/>
    <xf numFmtId="0" fontId="0" fillId="0" borderId="101" xfId="0" applyBorder="1"/>
    <xf numFmtId="0" fontId="0" fillId="0" borderId="100" xfId="0" applyBorder="1"/>
    <xf numFmtId="0" fontId="0" fillId="0" borderId="97" xfId="0" applyBorder="1"/>
    <xf numFmtId="0" fontId="1" fillId="29" borderId="124" xfId="0" applyFont="1" applyFill="1" applyBorder="1" applyAlignment="1">
      <alignment horizontal="center" vertical="center"/>
    </xf>
    <xf numFmtId="0" fontId="1" fillId="29" borderId="123" xfId="0" applyFont="1" applyFill="1" applyBorder="1" applyAlignment="1">
      <alignment horizontal="center" vertical="center"/>
    </xf>
    <xf numFmtId="0" fontId="1" fillId="29" borderId="38" xfId="0" applyFont="1" applyFill="1" applyBorder="1" applyAlignment="1">
      <alignment horizontal="center" vertical="center"/>
    </xf>
    <xf numFmtId="0" fontId="0" fillId="10" borderId="1" xfId="0" applyFill="1" applyBorder="1" applyAlignment="1">
      <alignment horizontal="center" vertical="center"/>
    </xf>
    <xf numFmtId="0" fontId="1" fillId="0" borderId="8" xfId="0" applyFont="1" applyBorder="1" applyAlignment="1">
      <alignment horizontal="center" vertical="center" wrapText="1"/>
    </xf>
    <xf numFmtId="0" fontId="0" fillId="0" borderId="0" xfId="0" applyAlignment="1">
      <alignment horizontal="left" vertical="center" wrapText="1"/>
    </xf>
    <xf numFmtId="0" fontId="1" fillId="0" borderId="2" xfId="0" applyFont="1" applyBorder="1" applyAlignment="1">
      <alignment horizontal="center" vertical="center"/>
    </xf>
    <xf numFmtId="0" fontId="1" fillId="0" borderId="18" xfId="0" applyFont="1" applyBorder="1" applyAlignment="1">
      <alignment horizontal="center" vertical="center" wrapText="1"/>
    </xf>
    <xf numFmtId="0" fontId="1" fillId="0" borderId="17" xfId="0" applyFont="1" applyBorder="1" applyAlignment="1">
      <alignment horizontal="center" vertical="center" wrapText="1"/>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 fillId="0" borderId="36" xfId="0" applyFont="1" applyBorder="1" applyAlignment="1">
      <alignment horizontal="center" vertical="center" wrapText="1"/>
    </xf>
    <xf numFmtId="0" fontId="1" fillId="0" borderId="18" xfId="0" applyFont="1" applyBorder="1" applyAlignment="1">
      <alignment horizontal="center" vertical="center"/>
    </xf>
    <xf numFmtId="3" fontId="1" fillId="0" borderId="0" xfId="0" applyNumberFormat="1" applyFont="1" applyAlignment="1">
      <alignment horizontal="center" vertical="center"/>
    </xf>
    <xf numFmtId="10" fontId="0" fillId="0" borderId="0" xfId="1" applyNumberFormat="1" applyFont="1" applyFill="1" applyBorder="1" applyAlignment="1"/>
    <xf numFmtId="2" fontId="40" fillId="0" borderId="0" xfId="0" applyNumberFormat="1" applyFont="1"/>
    <xf numFmtId="0" fontId="35" fillId="0" borderId="0" xfId="0" applyFont="1" applyAlignment="1">
      <alignment vertical="center" wrapText="1"/>
    </xf>
    <xf numFmtId="0" fontId="36" fillId="0" borderId="0" xfId="0" applyFont="1"/>
    <xf numFmtId="0" fontId="33" fillId="0" borderId="0" xfId="0" applyFont="1" applyAlignment="1">
      <alignment vertical="top"/>
    </xf>
    <xf numFmtId="1" fontId="31" fillId="0" borderId="0" xfId="0" applyNumberFormat="1" applyFont="1" applyAlignment="1">
      <alignment vertical="top"/>
    </xf>
    <xf numFmtId="1" fontId="31" fillId="0" borderId="0" xfId="0" applyNumberFormat="1" applyFont="1" applyAlignment="1">
      <alignment vertical="center"/>
    </xf>
    <xf numFmtId="2" fontId="0" fillId="21" borderId="1" xfId="0" applyNumberFormat="1" applyFill="1" applyBorder="1" applyAlignment="1">
      <alignment horizontal="center" vertical="center"/>
    </xf>
    <xf numFmtId="2" fontId="0" fillId="32" borderId="1" xfId="0" applyNumberFormat="1" applyFill="1" applyBorder="1" applyAlignment="1">
      <alignment horizontal="center" vertical="center"/>
    </xf>
    <xf numFmtId="2" fontId="0" fillId="33" borderId="1" xfId="0" applyNumberFormat="1" applyFill="1" applyBorder="1" applyAlignment="1">
      <alignment horizontal="center" vertical="center"/>
    </xf>
    <xf numFmtId="1" fontId="0" fillId="10" borderId="0" xfId="0" applyNumberFormat="1" applyFill="1"/>
    <xf numFmtId="3" fontId="0" fillId="10" borderId="0" xfId="0" applyNumberFormat="1" applyFill="1"/>
    <xf numFmtId="167" fontId="0" fillId="0" borderId="0" xfId="0" applyNumberFormat="1"/>
    <xf numFmtId="0" fontId="1" fillId="0" borderId="0" xfId="0" applyFont="1" applyAlignment="1">
      <alignment wrapText="1"/>
    </xf>
    <xf numFmtId="3" fontId="2" fillId="0" borderId="0" xfId="0" applyNumberFormat="1" applyFont="1" applyAlignment="1">
      <alignment vertical="center"/>
    </xf>
    <xf numFmtId="0" fontId="2" fillId="0" borderId="0" xfId="0" applyFont="1" applyAlignment="1">
      <alignment horizontal="left"/>
    </xf>
    <xf numFmtId="0" fontId="4" fillId="0" borderId="0" xfId="0" applyFont="1" applyAlignment="1">
      <alignment vertical="center"/>
    </xf>
    <xf numFmtId="2" fontId="5" fillId="0" borderId="0" xfId="0" applyNumberFormat="1" applyFont="1"/>
    <xf numFmtId="4" fontId="0" fillId="0" borderId="0" xfId="0" applyNumberFormat="1"/>
    <xf numFmtId="2" fontId="4" fillId="0" borderId="0" xfId="0" applyNumberFormat="1" applyFont="1" applyAlignment="1">
      <alignment vertical="center"/>
    </xf>
    <xf numFmtId="2" fontId="0" fillId="0" borderId="0" xfId="0" applyNumberFormat="1" applyAlignment="1">
      <alignment vertical="center" wrapText="1"/>
    </xf>
    <xf numFmtId="170" fontId="45" fillId="0" borderId="0" xfId="0" applyNumberFormat="1" applyFont="1" applyAlignment="1">
      <alignment vertical="center"/>
    </xf>
    <xf numFmtId="2" fontId="1" fillId="0" borderId="0" xfId="0" applyNumberFormat="1" applyFont="1" applyAlignment="1">
      <alignment vertical="center" wrapText="1"/>
    </xf>
    <xf numFmtId="2" fontId="19" fillId="0" borderId="0" xfId="0" applyNumberFormat="1" applyFont="1"/>
    <xf numFmtId="0" fontId="40" fillId="0" borderId="0" xfId="0" applyFont="1" applyAlignment="1">
      <alignment vertical="center" wrapText="1"/>
    </xf>
    <xf numFmtId="0" fontId="40" fillId="0" borderId="0" xfId="0" applyFont="1" applyAlignment="1">
      <alignment vertical="center"/>
    </xf>
    <xf numFmtId="2" fontId="18" fillId="0" borderId="0" xfId="0" applyNumberFormat="1" applyFont="1" applyAlignment="1">
      <alignment vertical="center"/>
    </xf>
    <xf numFmtId="0" fontId="0" fillId="0" borderId="4" xfId="0" applyBorder="1"/>
    <xf numFmtId="0" fontId="19" fillId="0" borderId="0" xfId="0" applyFont="1"/>
    <xf numFmtId="0" fontId="51" fillId="0" borderId="0" xfId="0" applyFont="1" applyAlignment="1">
      <alignment vertical="center"/>
    </xf>
    <xf numFmtId="0" fontId="19" fillId="0" borderId="0" xfId="0" applyFont="1" applyAlignment="1">
      <alignment horizontal="center" vertical="center"/>
    </xf>
    <xf numFmtId="0" fontId="0" fillId="0" borderId="1" xfId="0" applyBorder="1" applyAlignment="1">
      <alignment horizontal="center" vertical="center" wrapText="1"/>
    </xf>
    <xf numFmtId="0" fontId="0" fillId="0" borderId="11" xfId="0" applyBorder="1" applyAlignment="1">
      <alignment horizontal="left" vertical="center"/>
    </xf>
    <xf numFmtId="0" fontId="0" fillId="0" borderId="11" xfId="0"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xf>
    <xf numFmtId="0" fontId="0" fillId="0" borderId="1" xfId="0" applyBorder="1" applyAlignment="1">
      <alignment horizontal="left" vertical="center"/>
    </xf>
    <xf numFmtId="0" fontId="0" fillId="0" borderId="1" xfId="0" applyBorder="1" applyAlignment="1">
      <alignment horizontal="center" vertical="center"/>
    </xf>
    <xf numFmtId="2" fontId="0" fillId="0" borderId="26" xfId="0" applyNumberFormat="1"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vertical="center"/>
    </xf>
    <xf numFmtId="0" fontId="0" fillId="0" borderId="22" xfId="0" applyBorder="1" applyAlignment="1">
      <alignment horizontal="center" vertical="center"/>
    </xf>
    <xf numFmtId="0" fontId="0" fillId="9" borderId="1" xfId="0" applyFill="1" applyBorder="1" applyAlignment="1">
      <alignment horizontal="left" vertical="center"/>
    </xf>
    <xf numFmtId="0" fontId="1" fillId="0" borderId="9" xfId="0" applyFont="1" applyBorder="1" applyAlignment="1">
      <alignment horizontal="center" vertical="center" wrapText="1"/>
    </xf>
    <xf numFmtId="0" fontId="1" fillId="0" borderId="1" xfId="0" applyFont="1" applyBorder="1" applyAlignment="1">
      <alignment horizontal="center" vertical="center" wrapText="1"/>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0" fillId="0" borderId="27" xfId="0"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xf>
    <xf numFmtId="0" fontId="1" fillId="0" borderId="23" xfId="0" applyFont="1" applyBorder="1" applyAlignment="1">
      <alignment horizontal="center" vertical="center"/>
    </xf>
    <xf numFmtId="0" fontId="1" fillId="0" borderId="24" xfId="0" applyFont="1" applyBorder="1" applyAlignment="1">
      <alignment horizontal="center" vertical="center"/>
    </xf>
    <xf numFmtId="0" fontId="1" fillId="0" borderId="25" xfId="0" applyFont="1" applyBorder="1" applyAlignment="1">
      <alignment horizontal="center" vertical="center"/>
    </xf>
    <xf numFmtId="0" fontId="5" fillId="0" borderId="1" xfId="0" applyFont="1" applyBorder="1" applyAlignment="1">
      <alignment horizontal="center" vertical="center"/>
    </xf>
    <xf numFmtId="0" fontId="5" fillId="0" borderId="11" xfId="0" applyFont="1"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5" xfId="0" applyBorder="1" applyAlignment="1">
      <alignment horizontal="left" vertical="center"/>
    </xf>
    <xf numFmtId="0" fontId="0" fillId="0" borderId="3" xfId="0" applyBorder="1" applyAlignment="1">
      <alignment horizontal="left" vertical="center"/>
    </xf>
    <xf numFmtId="0" fontId="0" fillId="0" borderId="22" xfId="0" applyBorder="1" applyAlignment="1">
      <alignment horizontal="left" vertical="center"/>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1" fillId="0" borderId="12" xfId="0" applyFont="1" applyBorder="1" applyAlignment="1">
      <alignment horizontal="center" vertical="center"/>
    </xf>
    <xf numFmtId="0" fontId="6" fillId="0" borderId="13"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3" xfId="0" applyFont="1" applyBorder="1" applyAlignment="1">
      <alignment horizontal="center" vertical="center" wrapText="1"/>
    </xf>
    <xf numFmtId="0" fontId="7" fillId="0" borderId="13" xfId="0" applyFont="1" applyBorder="1" applyAlignment="1">
      <alignment horizontal="center" vertical="center"/>
    </xf>
    <xf numFmtId="0" fontId="7" fillId="0" borderId="1" xfId="0" applyFont="1" applyBorder="1" applyAlignment="1">
      <alignment horizontal="center" vertical="center"/>
    </xf>
    <xf numFmtId="0" fontId="6" fillId="0" borderId="14" xfId="0" applyFont="1" applyBorder="1" applyAlignment="1">
      <alignment horizontal="center" vertical="center"/>
    </xf>
    <xf numFmtId="0" fontId="6" fillId="0" borderId="15" xfId="0" applyFont="1" applyBorder="1" applyAlignment="1">
      <alignment horizontal="center" vertical="center"/>
    </xf>
    <xf numFmtId="9" fontId="0" fillId="0" borderId="1" xfId="0" applyNumberFormat="1" applyBorder="1" applyAlignment="1">
      <alignment horizontal="center" vertical="center"/>
    </xf>
    <xf numFmtId="9" fontId="0" fillId="0" borderId="11" xfId="0" applyNumberFormat="1" applyBorder="1" applyAlignment="1">
      <alignment horizontal="center" vertical="center"/>
    </xf>
    <xf numFmtId="9" fontId="0" fillId="0" borderId="15" xfId="0" applyNumberFormat="1" applyBorder="1" applyAlignment="1">
      <alignment horizontal="center" vertical="center"/>
    </xf>
    <xf numFmtId="9" fontId="0" fillId="0" borderId="16" xfId="0" applyNumberFormat="1" applyBorder="1" applyAlignment="1">
      <alignment horizontal="center" vertical="center"/>
    </xf>
    <xf numFmtId="0" fontId="1" fillId="0" borderId="5" xfId="0" applyFont="1" applyBorder="1" applyAlignment="1">
      <alignment horizontal="center"/>
    </xf>
    <xf numFmtId="0" fontId="1" fillId="0" borderId="3" xfId="0" applyFont="1" applyBorder="1" applyAlignment="1">
      <alignment horizontal="center"/>
    </xf>
    <xf numFmtId="0" fontId="1" fillId="0" borderId="5" xfId="0" applyFont="1" applyBorder="1" applyAlignment="1">
      <alignment horizontal="center" vertical="center"/>
    </xf>
    <xf numFmtId="0" fontId="1" fillId="0" borderId="3" xfId="0" applyFont="1" applyBorder="1" applyAlignment="1">
      <alignment horizontal="center" vertical="center"/>
    </xf>
    <xf numFmtId="0" fontId="1" fillId="0" borderId="22" xfId="0" applyFont="1" applyBorder="1" applyAlignment="1">
      <alignment horizontal="center" vertical="center"/>
    </xf>
    <xf numFmtId="0" fontId="1" fillId="0" borderId="22" xfId="0" applyFont="1" applyBorder="1" applyAlignment="1">
      <alignment horizontal="center"/>
    </xf>
    <xf numFmtId="0" fontId="2" fillId="0" borderId="12" xfId="0" applyFont="1" applyBorder="1" applyAlignment="1">
      <alignment horizontal="center" vertical="center"/>
    </xf>
    <xf numFmtId="0" fontId="2" fillId="0" borderId="9" xfId="0" applyFont="1" applyBorder="1" applyAlignment="1">
      <alignment horizontal="center" vertical="center"/>
    </xf>
    <xf numFmtId="0" fontId="2" fillId="0" borderId="1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12" fillId="0" borderId="0" xfId="0" applyFont="1" applyAlignment="1">
      <alignment horizontal="center" vertical="center" wrapText="1"/>
    </xf>
    <xf numFmtId="0" fontId="1" fillId="0" borderId="0" xfId="0" applyFont="1" applyAlignment="1">
      <alignment horizontal="left"/>
    </xf>
    <xf numFmtId="0" fontId="1" fillId="15" borderId="0" xfId="0" applyFont="1" applyFill="1" applyAlignment="1">
      <alignment horizontal="left"/>
    </xf>
    <xf numFmtId="0" fontId="0" fillId="0" borderId="0" xfId="0" applyAlignment="1">
      <alignment horizontal="left"/>
    </xf>
    <xf numFmtId="0" fontId="18" fillId="0" borderId="0" xfId="0" applyFont="1" applyAlignment="1">
      <alignment horizontal="center"/>
    </xf>
    <xf numFmtId="0" fontId="0" fillId="14" borderId="0" xfId="0" applyFill="1" applyAlignment="1">
      <alignment horizontal="left"/>
    </xf>
    <xf numFmtId="0" fontId="17" fillId="0" borderId="0" xfId="0" applyFont="1" applyAlignment="1">
      <alignment horizontal="left"/>
    </xf>
    <xf numFmtId="0" fontId="0" fillId="14" borderId="44" xfId="0" applyFill="1" applyBorder="1" applyAlignment="1">
      <alignment horizontal="left"/>
    </xf>
    <xf numFmtId="0" fontId="17" fillId="0" borderId="40" xfId="0" applyFont="1" applyBorder="1" applyAlignment="1">
      <alignment horizontal="left"/>
    </xf>
    <xf numFmtId="0" fontId="0" fillId="12" borderId="0" xfId="0" applyFill="1" applyAlignment="1">
      <alignment horizontal="left"/>
    </xf>
    <xf numFmtId="0" fontId="0" fillId="13" borderId="0" xfId="0" applyFill="1" applyAlignment="1">
      <alignment horizontal="left"/>
    </xf>
    <xf numFmtId="0" fontId="16" fillId="9" borderId="0" xfId="0" applyFont="1" applyFill="1" applyAlignment="1">
      <alignment horizontal="left"/>
    </xf>
    <xf numFmtId="0" fontId="1" fillId="0" borderId="0" xfId="0" applyFont="1" applyAlignment="1">
      <alignment horizontal="center" vertical="center"/>
    </xf>
    <xf numFmtId="0" fontId="1" fillId="0" borderId="0" xfId="0" applyFont="1" applyAlignment="1">
      <alignment horizontal="center"/>
    </xf>
    <xf numFmtId="0" fontId="1" fillId="20" borderId="30" xfId="0" applyFont="1" applyFill="1" applyBorder="1" applyAlignment="1">
      <alignment horizontal="center" vertical="center"/>
    </xf>
    <xf numFmtId="0" fontId="1" fillId="20" borderId="31" xfId="0" applyFont="1" applyFill="1" applyBorder="1" applyAlignment="1">
      <alignment horizontal="center" vertical="center"/>
    </xf>
    <xf numFmtId="0" fontId="1" fillId="20" borderId="32" xfId="0" applyFont="1" applyFill="1" applyBorder="1" applyAlignment="1">
      <alignment horizontal="center" vertical="center"/>
    </xf>
    <xf numFmtId="0" fontId="1" fillId="20" borderId="26" xfId="0" applyFont="1" applyFill="1" applyBorder="1" applyAlignment="1">
      <alignment horizontal="center" vertical="center"/>
    </xf>
    <xf numFmtId="0" fontId="1" fillId="20" borderId="0" xfId="0" applyFont="1" applyFill="1" applyAlignment="1">
      <alignment horizontal="center" vertical="center"/>
    </xf>
    <xf numFmtId="0" fontId="1" fillId="20" borderId="33" xfId="0" applyFont="1" applyFill="1" applyBorder="1" applyAlignment="1">
      <alignment horizontal="center" vertical="center"/>
    </xf>
    <xf numFmtId="0" fontId="1" fillId="20" borderId="34" xfId="0" applyFont="1" applyFill="1" applyBorder="1" applyAlignment="1">
      <alignment horizontal="center" vertical="center"/>
    </xf>
    <xf numFmtId="0" fontId="1" fillId="20" borderId="35" xfId="0" applyFont="1" applyFill="1" applyBorder="1" applyAlignment="1">
      <alignment horizontal="center" vertical="center"/>
    </xf>
    <xf numFmtId="0" fontId="1" fillId="20" borderId="36" xfId="0" applyFont="1" applyFill="1" applyBorder="1" applyAlignment="1">
      <alignment horizontal="center" vertical="center"/>
    </xf>
    <xf numFmtId="0" fontId="1" fillId="0" borderId="94" xfId="0" applyFont="1" applyBorder="1" applyAlignment="1">
      <alignment horizontal="center"/>
    </xf>
    <xf numFmtId="0" fontId="1" fillId="0" borderId="24" xfId="0" applyFont="1" applyBorder="1" applyAlignment="1">
      <alignment horizontal="center"/>
    </xf>
    <xf numFmtId="0" fontId="1" fillId="0" borderId="25" xfId="0" applyFont="1" applyBorder="1" applyAlignment="1">
      <alignment horizontal="center"/>
    </xf>
    <xf numFmtId="0" fontId="0" fillId="0" borderId="6" xfId="0" applyBorder="1" applyAlignment="1">
      <alignment horizontal="left" vertical="center"/>
    </xf>
    <xf numFmtId="0" fontId="0" fillId="0" borderId="4" xfId="0" applyBorder="1" applyAlignment="1">
      <alignment horizontal="left" vertical="center"/>
    </xf>
    <xf numFmtId="0" fontId="0" fillId="0" borderId="7" xfId="0" applyBorder="1" applyAlignment="1">
      <alignment horizontal="left" vertical="center"/>
    </xf>
    <xf numFmtId="0" fontId="0" fillId="0" borderId="95" xfId="0" applyBorder="1" applyAlignment="1">
      <alignment horizontal="left" vertical="center"/>
    </xf>
    <xf numFmtId="0" fontId="0" fillId="0" borderId="35" xfId="0" applyBorder="1" applyAlignment="1">
      <alignment horizontal="left" vertical="center"/>
    </xf>
    <xf numFmtId="0" fontId="0" fillId="0" borderId="91" xfId="0" applyBorder="1" applyAlignment="1">
      <alignment horizontal="left" vertical="center"/>
    </xf>
    <xf numFmtId="0" fontId="1" fillId="0" borderId="19" xfId="0" applyFont="1" applyBorder="1" applyAlignment="1">
      <alignment horizontal="center"/>
    </xf>
    <xf numFmtId="0" fontId="1" fillId="0" borderId="20" xfId="0" applyFont="1" applyBorder="1" applyAlignment="1">
      <alignment horizontal="center"/>
    </xf>
    <xf numFmtId="0" fontId="1" fillId="0" borderId="21" xfId="0" applyFont="1" applyBorder="1" applyAlignment="1">
      <alignment horizontal="center"/>
    </xf>
    <xf numFmtId="0" fontId="0" fillId="0" borderId="0" xfId="0" applyAlignment="1">
      <alignment horizontal="right"/>
    </xf>
    <xf numFmtId="3" fontId="0" fillId="0" borderId="0" xfId="0" applyNumberFormat="1" applyAlignment="1">
      <alignment horizontal="center" vertical="center"/>
    </xf>
    <xf numFmtId="0" fontId="1" fillId="0" borderId="5" xfId="0" applyFont="1" applyBorder="1" applyAlignment="1">
      <alignment horizontal="center" vertical="center" wrapText="1"/>
    </xf>
    <xf numFmtId="2" fontId="11" fillId="17" borderId="5" xfId="0" applyNumberFormat="1" applyFont="1" applyFill="1" applyBorder="1" applyAlignment="1">
      <alignment horizontal="center" vertical="center"/>
    </xf>
    <xf numFmtId="0" fontId="11" fillId="17" borderId="5" xfId="0" applyFont="1" applyFill="1" applyBorder="1" applyAlignment="1">
      <alignment horizontal="center" vertical="center"/>
    </xf>
    <xf numFmtId="0" fontId="0" fillId="0" borderId="1" xfId="0" applyBorder="1" applyAlignment="1">
      <alignment horizontal="left"/>
    </xf>
    <xf numFmtId="0" fontId="0" fillId="0" borderId="3" xfId="0" applyBorder="1" applyAlignment="1">
      <alignment horizontal="center"/>
    </xf>
    <xf numFmtId="2" fontId="11" fillId="2" borderId="5" xfId="0" applyNumberFormat="1" applyFont="1" applyFill="1" applyBorder="1" applyAlignment="1">
      <alignment horizontal="center" vertical="center"/>
    </xf>
    <xf numFmtId="0" fontId="11" fillId="2" borderId="5" xfId="0" applyFont="1" applyFill="1" applyBorder="1" applyAlignment="1">
      <alignment horizontal="center" vertical="center"/>
    </xf>
    <xf numFmtId="0" fontId="0" fillId="0" borderId="0" xfId="0" applyAlignment="1">
      <alignment horizontal="center"/>
    </xf>
    <xf numFmtId="0" fontId="0" fillId="0" borderId="35" xfId="0" applyBorder="1" applyAlignment="1">
      <alignment horizontal="left" wrapText="1"/>
    </xf>
    <xf numFmtId="0" fontId="0" fillId="0" borderId="36" xfId="0" applyBorder="1" applyAlignment="1">
      <alignment horizontal="left" wrapText="1"/>
    </xf>
    <xf numFmtId="0" fontId="0" fillId="0" borderId="30" xfId="0" applyBorder="1" applyAlignment="1">
      <alignment horizontal="center"/>
    </xf>
    <xf numFmtId="0" fontId="0" fillId="0" borderId="31" xfId="0" applyBorder="1" applyAlignment="1">
      <alignment horizontal="center"/>
    </xf>
    <xf numFmtId="0" fontId="0" fillId="0" borderId="32" xfId="0" applyBorder="1" applyAlignment="1">
      <alignment horizontal="center"/>
    </xf>
    <xf numFmtId="0" fontId="0" fillId="0" borderId="26" xfId="0" applyBorder="1" applyAlignment="1">
      <alignment horizontal="center"/>
    </xf>
    <xf numFmtId="0" fontId="0" fillId="0" borderId="33" xfId="0" applyBorder="1" applyAlignment="1">
      <alignment horizontal="center"/>
    </xf>
    <xf numFmtId="0" fontId="0" fillId="0" borderId="34" xfId="0" applyBorder="1" applyAlignment="1">
      <alignment horizontal="center"/>
    </xf>
    <xf numFmtId="0" fontId="0" fillId="0" borderId="35" xfId="0" applyBorder="1" applyAlignment="1">
      <alignment horizontal="center"/>
    </xf>
    <xf numFmtId="0" fontId="0" fillId="0" borderId="36" xfId="0" applyBorder="1" applyAlignment="1">
      <alignment horizontal="center"/>
    </xf>
    <xf numFmtId="166" fontId="11" fillId="14" borderId="5" xfId="0" applyNumberFormat="1" applyFont="1" applyFill="1" applyBorder="1" applyAlignment="1">
      <alignment horizontal="center" vertical="center"/>
    </xf>
    <xf numFmtId="2" fontId="11" fillId="7" borderId="37" xfId="0" applyNumberFormat="1" applyFont="1" applyFill="1" applyBorder="1" applyAlignment="1">
      <alignment horizontal="center" vertical="center"/>
    </xf>
    <xf numFmtId="0" fontId="11" fillId="7" borderId="37" xfId="0" applyFont="1" applyFill="1" applyBorder="1" applyAlignment="1">
      <alignment horizontal="center" vertical="center"/>
    </xf>
    <xf numFmtId="0" fontId="11" fillId="7" borderId="8" xfId="0" applyFont="1" applyFill="1" applyBorder="1" applyAlignment="1">
      <alignment horizontal="center" vertical="center"/>
    </xf>
    <xf numFmtId="0" fontId="11" fillId="0" borderId="0" xfId="0" applyFont="1" applyAlignment="1">
      <alignment horizontal="center"/>
    </xf>
    <xf numFmtId="166" fontId="11" fillId="14" borderId="15" xfId="0" applyNumberFormat="1" applyFont="1" applyFill="1" applyBorder="1" applyAlignment="1">
      <alignment horizontal="center" vertical="center"/>
    </xf>
    <xf numFmtId="2" fontId="11" fillId="7" borderId="89" xfId="0" applyNumberFormat="1" applyFont="1" applyFill="1" applyBorder="1" applyAlignment="1">
      <alignment horizontal="center" vertical="center"/>
    </xf>
    <xf numFmtId="0" fontId="11" fillId="7" borderId="89" xfId="0" applyFont="1" applyFill="1" applyBorder="1" applyAlignment="1">
      <alignment horizontal="center" vertical="center"/>
    </xf>
    <xf numFmtId="0" fontId="11" fillId="7" borderId="93" xfId="0" applyFont="1" applyFill="1" applyBorder="1" applyAlignment="1">
      <alignment horizontal="center" vertical="center"/>
    </xf>
    <xf numFmtId="2" fontId="11" fillId="17" borderId="14" xfId="0" applyNumberFormat="1" applyFont="1" applyFill="1" applyBorder="1" applyAlignment="1">
      <alignment horizontal="center" vertical="center"/>
    </xf>
    <xf numFmtId="0" fontId="11" fillId="17" borderId="15" xfId="0" applyFont="1" applyFill="1" applyBorder="1" applyAlignment="1">
      <alignment horizontal="center" vertical="center"/>
    </xf>
    <xf numFmtId="2" fontId="11" fillId="2" borderId="15" xfId="0" applyNumberFormat="1" applyFont="1" applyFill="1" applyBorder="1" applyAlignment="1">
      <alignment horizontal="center" vertical="center"/>
    </xf>
    <xf numFmtId="0" fontId="11" fillId="2" borderId="15" xfId="0" applyFont="1" applyFill="1" applyBorder="1" applyAlignment="1">
      <alignment horizontal="center" vertical="center"/>
    </xf>
    <xf numFmtId="0" fontId="40" fillId="0" borderId="5" xfId="0" applyFont="1" applyBorder="1" applyAlignment="1">
      <alignment horizontal="left"/>
    </xf>
    <xf numFmtId="0" fontId="40" fillId="0" borderId="3" xfId="0" applyFont="1" applyBorder="1" applyAlignment="1">
      <alignment horizontal="left"/>
    </xf>
    <xf numFmtId="0" fontId="40" fillId="0" borderId="22" xfId="0" applyFont="1" applyBorder="1" applyAlignment="1">
      <alignment horizontal="left"/>
    </xf>
    <xf numFmtId="0" fontId="40" fillId="0" borderId="3" xfId="0" applyFont="1" applyBorder="1" applyAlignment="1">
      <alignment horizontal="center"/>
    </xf>
    <xf numFmtId="0" fontId="35" fillId="0" borderId="6" xfId="0" applyFont="1" applyBorder="1" applyAlignment="1">
      <alignment horizontal="center" vertical="center" wrapText="1"/>
    </xf>
    <xf numFmtId="0" fontId="35" fillId="0" borderId="7" xfId="0" applyFont="1" applyBorder="1" applyAlignment="1">
      <alignment horizontal="center" vertical="center" wrapText="1"/>
    </xf>
    <xf numFmtId="0" fontId="35" fillId="0" borderId="8" xfId="0" applyFont="1" applyBorder="1" applyAlignment="1">
      <alignment horizontal="center" vertical="center" wrapText="1"/>
    </xf>
    <xf numFmtId="0" fontId="35" fillId="0" borderId="2" xfId="0" applyFont="1" applyBorder="1" applyAlignment="1">
      <alignment horizontal="center" vertical="center" wrapText="1"/>
    </xf>
    <xf numFmtId="0" fontId="1" fillId="0" borderId="18" xfId="0" applyFont="1" applyBorder="1" applyAlignment="1">
      <alignment horizontal="center"/>
    </xf>
    <xf numFmtId="0" fontId="1" fillId="0" borderId="11" xfId="0" applyFont="1" applyBorder="1" applyAlignment="1">
      <alignment horizontal="center"/>
    </xf>
    <xf numFmtId="0" fontId="5" fillId="0" borderId="26" xfId="0" applyFont="1" applyBorder="1" applyAlignment="1">
      <alignment horizontal="center" vertical="center"/>
    </xf>
    <xf numFmtId="0" fontId="40" fillId="0" borderId="22" xfId="0" applyFont="1" applyBorder="1" applyAlignment="1">
      <alignment horizontal="center"/>
    </xf>
    <xf numFmtId="0" fontId="43" fillId="0" borderId="6" xfId="0" applyFont="1" applyBorder="1" applyAlignment="1">
      <alignment horizontal="center" vertical="center" wrapText="1"/>
    </xf>
    <xf numFmtId="0" fontId="43" fillId="0" borderId="7" xfId="0" applyFont="1" applyBorder="1" applyAlignment="1">
      <alignment horizontal="center" vertical="center" wrapText="1"/>
    </xf>
    <xf numFmtId="0" fontId="43" fillId="0" borderId="37" xfId="0" applyFont="1" applyBorder="1" applyAlignment="1">
      <alignment horizontal="center" vertical="center" wrapText="1"/>
    </xf>
    <xf numFmtId="0" fontId="43" fillId="0" borderId="87" xfId="0" applyFont="1" applyBorder="1" applyAlignment="1">
      <alignment horizontal="center" vertical="center" wrapText="1"/>
    </xf>
    <xf numFmtId="0" fontId="42" fillId="24" borderId="109" xfId="0" applyFont="1" applyFill="1" applyBorder="1" applyAlignment="1">
      <alignment horizontal="center" vertical="center"/>
    </xf>
    <xf numFmtId="0" fontId="42" fillId="24" borderId="62" xfId="0" applyFont="1" applyFill="1" applyBorder="1" applyAlignment="1">
      <alignment horizontal="center" vertical="center"/>
    </xf>
    <xf numFmtId="0" fontId="42" fillId="26" borderId="86" xfId="0" applyFont="1" applyFill="1" applyBorder="1" applyAlignment="1">
      <alignment horizontal="center" vertical="center"/>
    </xf>
    <xf numFmtId="0" fontId="42" fillId="26" borderId="62" xfId="0" applyFont="1" applyFill="1" applyBorder="1" applyAlignment="1">
      <alignment horizontal="center" vertical="center"/>
    </xf>
    <xf numFmtId="0" fontId="40" fillId="0" borderId="0" xfId="0" applyFont="1" applyAlignment="1">
      <alignment horizontal="center"/>
    </xf>
    <xf numFmtId="0" fontId="42" fillId="27" borderId="86" xfId="0" applyFont="1" applyFill="1" applyBorder="1" applyAlignment="1">
      <alignment horizontal="center" vertical="center"/>
    </xf>
    <xf numFmtId="0" fontId="42" fillId="27" borderId="89" xfId="0" applyFont="1" applyFill="1" applyBorder="1" applyAlignment="1">
      <alignment horizontal="center" vertical="center"/>
    </xf>
    <xf numFmtId="0" fontId="42" fillId="27" borderId="62" xfId="0" applyFont="1" applyFill="1" applyBorder="1" applyAlignment="1">
      <alignment horizontal="center" vertical="center"/>
    </xf>
    <xf numFmtId="0" fontId="42" fillId="28" borderId="86" xfId="0" applyFont="1" applyFill="1" applyBorder="1" applyAlignment="1">
      <alignment horizontal="center" vertical="center"/>
    </xf>
    <xf numFmtId="0" fontId="42" fillId="28" borderId="89" xfId="0" applyFont="1" applyFill="1" applyBorder="1" applyAlignment="1">
      <alignment horizontal="center" vertical="center"/>
    </xf>
    <xf numFmtId="0" fontId="42" fillId="28" borderId="93" xfId="0" applyFont="1" applyFill="1" applyBorder="1" applyAlignment="1">
      <alignment horizontal="center" vertical="center"/>
    </xf>
    <xf numFmtId="10" fontId="4" fillId="7" borderId="5" xfId="0" applyNumberFormat="1" applyFont="1" applyFill="1" applyBorder="1" applyAlignment="1">
      <alignment horizontal="center" vertical="center"/>
    </xf>
    <xf numFmtId="10" fontId="4" fillId="7" borderId="22" xfId="0" applyNumberFormat="1" applyFont="1" applyFill="1" applyBorder="1" applyAlignment="1">
      <alignment horizontal="center" vertical="center"/>
    </xf>
    <xf numFmtId="0" fontId="4" fillId="0" borderId="5" xfId="0" applyFont="1" applyBorder="1" applyAlignment="1">
      <alignment horizontal="center" vertical="center"/>
    </xf>
    <xf numFmtId="0" fontId="4" fillId="0" borderId="3" xfId="0" applyFont="1" applyBorder="1" applyAlignment="1">
      <alignment horizontal="center" vertical="center"/>
    </xf>
    <xf numFmtId="0" fontId="4" fillId="0" borderId="22" xfId="0" applyFont="1" applyBorder="1" applyAlignment="1">
      <alignment horizontal="center" vertical="center"/>
    </xf>
    <xf numFmtId="0" fontId="9" fillId="0" borderId="5" xfId="0" applyFont="1" applyBorder="1" applyAlignment="1">
      <alignment horizontal="center" vertical="center"/>
    </xf>
    <xf numFmtId="0" fontId="9" fillId="0" borderId="3" xfId="0" applyFont="1" applyBorder="1" applyAlignment="1">
      <alignment horizontal="center" vertical="center"/>
    </xf>
    <xf numFmtId="0" fontId="9" fillId="0" borderId="22" xfId="0" applyFont="1" applyBorder="1" applyAlignment="1">
      <alignment horizontal="center" vertical="center"/>
    </xf>
    <xf numFmtId="0" fontId="4" fillId="5" borderId="18" xfId="0" applyFont="1" applyFill="1" applyBorder="1" applyAlignment="1">
      <alignment horizontal="center" vertical="center"/>
    </xf>
    <xf numFmtId="0" fontId="4" fillId="5" borderId="1" xfId="0" applyFont="1" applyFill="1" applyBorder="1" applyAlignment="1">
      <alignment horizontal="center" vertical="center"/>
    </xf>
    <xf numFmtId="0" fontId="4" fillId="2" borderId="18" xfId="0" applyFont="1" applyFill="1" applyBorder="1" applyAlignment="1">
      <alignment horizontal="center" vertical="center"/>
    </xf>
    <xf numFmtId="0" fontId="4" fillId="2" borderId="1" xfId="0" applyFont="1" applyFill="1" applyBorder="1" applyAlignment="1">
      <alignment horizontal="center" vertical="center"/>
    </xf>
    <xf numFmtId="0" fontId="16" fillId="0" borderId="0" xfId="0" applyFont="1" applyAlignment="1">
      <alignment horizontal="center" vertical="center"/>
    </xf>
    <xf numFmtId="0" fontId="4" fillId="6" borderId="18" xfId="0" applyFont="1" applyFill="1" applyBorder="1" applyAlignment="1">
      <alignment horizontal="center" vertical="center"/>
    </xf>
    <xf numFmtId="0" fontId="4" fillId="6" borderId="1" xfId="0" applyFont="1" applyFill="1" applyBorder="1" applyAlignment="1">
      <alignment horizontal="center" vertical="center"/>
    </xf>
    <xf numFmtId="0" fontId="4" fillId="4" borderId="1" xfId="0" applyFont="1" applyFill="1" applyBorder="1" applyAlignment="1">
      <alignment horizontal="center" vertical="center"/>
    </xf>
    <xf numFmtId="0" fontId="44" fillId="0" borderId="0" xfId="0" applyFont="1" applyAlignment="1">
      <alignment horizontal="center" wrapText="1"/>
    </xf>
    <xf numFmtId="0" fontId="0" fillId="0" borderId="0" xfId="0" applyAlignment="1">
      <alignment horizontal="center" wrapText="1"/>
    </xf>
    <xf numFmtId="0" fontId="0" fillId="7" borderId="1" xfId="0" applyFill="1" applyBorder="1" applyAlignment="1">
      <alignment horizontal="left"/>
    </xf>
    <xf numFmtId="0" fontId="0" fillId="0" borderId="1" xfId="0" applyBorder="1" applyAlignment="1">
      <alignment horizontal="right" vertical="center"/>
    </xf>
    <xf numFmtId="165" fontId="1" fillId="0" borderId="0" xfId="0" applyNumberFormat="1" applyFont="1" applyAlignment="1">
      <alignment horizontal="center" vertical="center"/>
    </xf>
    <xf numFmtId="3" fontId="0" fillId="0" borderId="1" xfId="0" applyNumberFormat="1" applyBorder="1" applyAlignment="1">
      <alignment horizontal="center" vertical="center"/>
    </xf>
    <xf numFmtId="165" fontId="2" fillId="0" borderId="1" xfId="0" applyNumberFormat="1" applyFont="1" applyBorder="1" applyAlignment="1">
      <alignment horizontal="center" vertical="center" wrapText="1"/>
    </xf>
    <xf numFmtId="0" fontId="0" fillId="0" borderId="37" xfId="0" applyBorder="1" applyAlignment="1">
      <alignment horizontal="center"/>
    </xf>
    <xf numFmtId="0" fontId="2" fillId="0" borderId="17" xfId="0" applyFont="1" applyBorder="1" applyAlignment="1">
      <alignment horizontal="center" vertical="center"/>
    </xf>
    <xf numFmtId="165" fontId="39" fillId="0" borderId="1" xfId="0" applyNumberFormat="1" applyFont="1" applyBorder="1" applyAlignment="1">
      <alignment horizontal="center" vertical="center"/>
    </xf>
    <xf numFmtId="0" fontId="1" fillId="0" borderId="1" xfId="0" applyFont="1" applyBorder="1" applyAlignment="1">
      <alignment horizontal="center" wrapText="1"/>
    </xf>
    <xf numFmtId="165" fontId="1" fillId="0" borderId="1" xfId="0" applyNumberFormat="1" applyFont="1" applyBorder="1" applyAlignment="1">
      <alignment horizontal="center" vertical="center"/>
    </xf>
    <xf numFmtId="166" fontId="0" fillId="7" borderId="1" xfId="0" applyNumberFormat="1" applyFill="1" applyBorder="1" applyAlignment="1">
      <alignment horizontal="left"/>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37" xfId="0" applyFont="1" applyBorder="1" applyAlignment="1">
      <alignment horizontal="center" vertical="center" wrapText="1"/>
    </xf>
    <xf numFmtId="0" fontId="1" fillId="0" borderId="8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106" xfId="0" applyFont="1" applyBorder="1" applyAlignment="1">
      <alignment horizontal="center" vertical="center" wrapText="1"/>
    </xf>
    <xf numFmtId="0" fontId="0" fillId="0" borderId="5" xfId="0" applyBorder="1" applyAlignment="1">
      <alignment horizontal="center"/>
    </xf>
    <xf numFmtId="0" fontId="0" fillId="0" borderId="22" xfId="0" applyBorder="1" applyAlignment="1">
      <alignment horizontal="center"/>
    </xf>
    <xf numFmtId="0" fontId="1" fillId="0" borderId="2" xfId="0" applyFont="1" applyBorder="1" applyAlignment="1">
      <alignment horizontal="center" vertical="center" wrapText="1"/>
    </xf>
    <xf numFmtId="165" fontId="2" fillId="0" borderId="5" xfId="0" applyNumberFormat="1" applyFont="1" applyBorder="1" applyAlignment="1">
      <alignment horizontal="center" vertical="center" wrapText="1"/>
    </xf>
    <xf numFmtId="165" fontId="39" fillId="0" borderId="5" xfId="0" applyNumberFormat="1" applyFont="1" applyBorder="1" applyAlignment="1">
      <alignment horizontal="center" vertical="center"/>
    </xf>
    <xf numFmtId="166" fontId="0" fillId="0" borderId="0" xfId="0" applyNumberFormat="1" applyAlignment="1">
      <alignment horizontal="center"/>
    </xf>
    <xf numFmtId="166" fontId="0" fillId="0" borderId="0" xfId="0" applyNumberFormat="1" applyAlignment="1">
      <alignment horizontal="center" vertical="center"/>
    </xf>
    <xf numFmtId="0" fontId="0" fillId="0" borderId="0" xfId="0" applyAlignment="1">
      <alignment horizontal="center" vertical="center" wrapText="1"/>
    </xf>
    <xf numFmtId="0" fontId="1" fillId="0" borderId="0" xfId="0" applyFont="1" applyAlignment="1">
      <alignment horizontal="center" vertical="center" wrapText="1"/>
    </xf>
    <xf numFmtId="0" fontId="52" fillId="0" borderId="30" xfId="0" applyFont="1" applyBorder="1" applyAlignment="1">
      <alignment horizontal="center" vertical="center"/>
    </xf>
    <xf numFmtId="0" fontId="52" fillId="0" borderId="31" xfId="0" applyFont="1" applyBorder="1" applyAlignment="1">
      <alignment horizontal="center" vertical="center"/>
    </xf>
    <xf numFmtId="0" fontId="52" fillId="0" borderId="32" xfId="0" applyFont="1" applyBorder="1" applyAlignment="1">
      <alignment horizontal="center" vertical="center"/>
    </xf>
    <xf numFmtId="0" fontId="53" fillId="0" borderId="1" xfId="0" applyFont="1" applyBorder="1" applyAlignment="1">
      <alignment horizontal="center" vertical="center"/>
    </xf>
    <xf numFmtId="2" fontId="45" fillId="0" borderId="1" xfId="0" applyNumberFormat="1" applyFont="1" applyBorder="1" applyAlignment="1">
      <alignment horizontal="center" vertical="center"/>
    </xf>
    <xf numFmtId="9" fontId="45" fillId="0" borderId="1" xfId="1"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2" xfId="0" applyFont="1" applyBorder="1" applyAlignment="1">
      <alignment horizontal="center" vertical="center"/>
    </xf>
    <xf numFmtId="10" fontId="45" fillId="0" borderId="6" xfId="1" applyNumberFormat="1" applyFont="1" applyBorder="1" applyAlignment="1">
      <alignment horizontal="center" vertical="center"/>
    </xf>
    <xf numFmtId="10" fontId="45" fillId="0" borderId="7" xfId="1" applyNumberFormat="1" applyFont="1" applyBorder="1" applyAlignment="1">
      <alignment horizontal="center" vertical="center"/>
    </xf>
    <xf numFmtId="10" fontId="45" fillId="0" borderId="8" xfId="1" applyNumberFormat="1" applyFont="1" applyBorder="1" applyAlignment="1">
      <alignment horizontal="center" vertical="center"/>
    </xf>
    <xf numFmtId="10" fontId="45" fillId="0" borderId="2" xfId="1" applyNumberFormat="1" applyFont="1" applyBorder="1" applyAlignment="1">
      <alignment horizontal="center" vertical="center"/>
    </xf>
    <xf numFmtId="10" fontId="45" fillId="0" borderId="18" xfId="1" applyNumberFormat="1" applyFont="1" applyBorder="1" applyAlignment="1">
      <alignment horizontal="center" vertical="center"/>
    </xf>
    <xf numFmtId="10" fontId="45" fillId="0" borderId="17" xfId="1" applyNumberFormat="1" applyFont="1" applyBorder="1" applyAlignment="1">
      <alignment horizontal="center" vertical="center"/>
    </xf>
    <xf numFmtId="0" fontId="38" fillId="0" borderId="19" xfId="0" applyFont="1" applyBorder="1" applyAlignment="1">
      <alignment horizontal="center" vertical="center"/>
    </xf>
    <xf numFmtId="0" fontId="38" fillId="0" borderId="20" xfId="0" applyFont="1" applyBorder="1" applyAlignment="1">
      <alignment horizontal="center" vertical="center"/>
    </xf>
    <xf numFmtId="0" fontId="38" fillId="0" borderId="21" xfId="0" applyFont="1" applyBorder="1" applyAlignment="1">
      <alignment horizontal="center" vertical="center"/>
    </xf>
    <xf numFmtId="2" fontId="45" fillId="0" borderId="1" xfId="0" applyNumberFormat="1" applyFont="1" applyBorder="1" applyAlignment="1">
      <alignment horizontal="center"/>
    </xf>
    <xf numFmtId="9" fontId="45" fillId="0" borderId="1" xfId="1" applyFont="1" applyBorder="1" applyAlignment="1">
      <alignment horizontal="center"/>
    </xf>
    <xf numFmtId="0" fontId="45" fillId="0" borderId="1" xfId="0" applyFont="1" applyBorder="1" applyAlignment="1">
      <alignment horizontal="center"/>
    </xf>
    <xf numFmtId="0" fontId="1" fillId="0" borderId="127" xfId="0" applyFont="1" applyBorder="1" applyAlignment="1">
      <alignment horizontal="center" vertical="center" wrapText="1"/>
    </xf>
    <xf numFmtId="0" fontId="1" fillId="0" borderId="128" xfId="0" applyFont="1" applyBorder="1" applyAlignment="1">
      <alignment horizontal="center" vertical="center" wrapText="1"/>
    </xf>
    <xf numFmtId="3" fontId="45" fillId="0" borderId="114" xfId="0" applyNumberFormat="1" applyFont="1" applyBorder="1" applyAlignment="1">
      <alignment horizontal="center" vertical="center"/>
    </xf>
    <xf numFmtId="0" fontId="45" fillId="0" borderId="117" xfId="0" applyFont="1" applyBorder="1" applyAlignment="1">
      <alignment horizontal="center" vertical="center"/>
    </xf>
    <xf numFmtId="0" fontId="45" fillId="0" borderId="116" xfId="0" applyFont="1" applyBorder="1" applyAlignment="1">
      <alignment horizontal="center" vertical="center"/>
    </xf>
    <xf numFmtId="0" fontId="45" fillId="0" borderId="125" xfId="0" applyFont="1" applyBorder="1" applyAlignment="1">
      <alignment horizontal="center" vertical="center"/>
    </xf>
    <xf numFmtId="3" fontId="45" fillId="0" borderId="1" xfId="0" applyNumberFormat="1" applyFont="1" applyBorder="1" applyAlignment="1">
      <alignment horizontal="center" vertical="center"/>
    </xf>
    <xf numFmtId="0" fontId="45" fillId="0" borderId="1" xfId="0" applyFont="1" applyBorder="1" applyAlignment="1">
      <alignment horizontal="center" vertical="center"/>
    </xf>
    <xf numFmtId="0" fontId="9" fillId="0" borderId="1" xfId="0" applyFont="1" applyBorder="1" applyAlignment="1">
      <alignment horizontal="center" vertical="center"/>
    </xf>
    <xf numFmtId="0" fontId="1" fillId="0" borderId="18" xfId="0" applyFont="1" applyBorder="1" applyAlignment="1">
      <alignment horizontal="center" vertical="center" wrapText="1"/>
    </xf>
    <xf numFmtId="0" fontId="45" fillId="0" borderId="115" xfId="0" applyFont="1" applyBorder="1" applyAlignment="1">
      <alignment horizontal="center" vertical="center"/>
    </xf>
    <xf numFmtId="0" fontId="45" fillId="0" borderId="118" xfId="0" applyFont="1" applyBorder="1" applyAlignment="1">
      <alignment horizontal="center" vertical="center"/>
    </xf>
    <xf numFmtId="3" fontId="9" fillId="0" borderId="1" xfId="0" applyNumberFormat="1" applyFont="1" applyBorder="1" applyAlignment="1">
      <alignment horizontal="center" vertical="center"/>
    </xf>
    <xf numFmtId="0" fontId="38" fillId="0" borderId="30" xfId="0" applyFont="1" applyBorder="1" applyAlignment="1">
      <alignment horizontal="center" vertical="center"/>
    </xf>
    <xf numFmtId="0" fontId="38" fillId="0" borderId="31" xfId="0" applyFont="1" applyBorder="1" applyAlignment="1">
      <alignment horizontal="center" vertical="center"/>
    </xf>
    <xf numFmtId="0" fontId="38" fillId="0" borderId="32" xfId="0" applyFont="1" applyBorder="1" applyAlignment="1">
      <alignment horizontal="center" vertical="center"/>
    </xf>
    <xf numFmtId="0" fontId="38" fillId="0" borderId="34" xfId="0" applyFont="1" applyBorder="1" applyAlignment="1">
      <alignment horizontal="center" vertical="center"/>
    </xf>
    <xf numFmtId="0" fontId="38" fillId="0" borderId="35" xfId="0" applyFont="1" applyBorder="1" applyAlignment="1">
      <alignment horizontal="center" vertical="center"/>
    </xf>
    <xf numFmtId="0" fontId="38" fillId="0" borderId="36" xfId="0" applyFont="1" applyBorder="1" applyAlignment="1">
      <alignment horizontal="center" vertical="center"/>
    </xf>
    <xf numFmtId="1" fontId="0" fillId="0" borderId="18" xfId="0" applyNumberFormat="1"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1" fillId="0" borderId="54" xfId="0" applyFont="1" applyBorder="1" applyAlignment="1">
      <alignment horizontal="center" vertical="center" wrapText="1"/>
    </xf>
    <xf numFmtId="0" fontId="1" fillId="0" borderId="96" xfId="0" applyFont="1" applyBorder="1" applyAlignment="1">
      <alignment horizontal="center" vertical="center" wrapText="1"/>
    </xf>
    <xf numFmtId="3" fontId="45" fillId="0" borderId="114" xfId="0" applyNumberFormat="1" applyFont="1" applyBorder="1" applyAlignment="1">
      <alignment horizontal="center" vertical="center" wrapText="1"/>
    </xf>
    <xf numFmtId="3" fontId="45" fillId="0" borderId="117" xfId="0" applyNumberFormat="1" applyFont="1" applyBorder="1" applyAlignment="1">
      <alignment horizontal="center" vertical="center" wrapText="1"/>
    </xf>
    <xf numFmtId="3" fontId="45" fillId="0" borderId="115" xfId="0" applyNumberFormat="1" applyFont="1" applyBorder="1" applyAlignment="1">
      <alignment horizontal="center" vertical="center" wrapText="1"/>
    </xf>
    <xf numFmtId="3" fontId="45" fillId="0" borderId="118" xfId="0" applyNumberFormat="1" applyFont="1" applyBorder="1" applyAlignment="1">
      <alignment horizontal="center" vertical="center" wrapText="1"/>
    </xf>
    <xf numFmtId="0" fontId="1" fillId="0" borderId="110" xfId="0" applyFont="1" applyBorder="1" applyAlignment="1">
      <alignment horizontal="center" vertical="center" wrapText="1"/>
    </xf>
    <xf numFmtId="0" fontId="1" fillId="0" borderId="104" xfId="0" applyFont="1" applyBorder="1" applyAlignment="1">
      <alignment horizontal="center" vertical="center" wrapText="1"/>
    </xf>
    <xf numFmtId="0" fontId="1" fillId="0" borderId="99" xfId="0" applyFont="1" applyBorder="1" applyAlignment="1">
      <alignment horizontal="center" vertical="center" wrapText="1"/>
    </xf>
    <xf numFmtId="0" fontId="1" fillId="0" borderId="105" xfId="0" applyFont="1" applyBorder="1" applyAlignment="1">
      <alignment horizontal="center" vertical="center" wrapText="1"/>
    </xf>
    <xf numFmtId="3" fontId="45" fillId="0" borderId="116" xfId="0" applyNumberFormat="1" applyFont="1" applyBorder="1" applyAlignment="1">
      <alignment horizontal="center" vertical="center" wrapText="1"/>
    </xf>
    <xf numFmtId="3" fontId="45" fillId="0" borderId="125" xfId="0" applyNumberFormat="1" applyFont="1" applyBorder="1" applyAlignment="1">
      <alignment horizontal="center" vertical="center" wrapText="1"/>
    </xf>
    <xf numFmtId="0" fontId="1" fillId="0" borderId="111" xfId="0" applyFont="1" applyBorder="1" applyAlignment="1">
      <alignment horizontal="center" vertical="center" wrapText="1"/>
    </xf>
    <xf numFmtId="0" fontId="45" fillId="0" borderId="114" xfId="0" applyFont="1" applyBorder="1" applyAlignment="1">
      <alignment horizontal="center" vertical="center"/>
    </xf>
    <xf numFmtId="0" fontId="0" fillId="0" borderId="114" xfId="0" applyBorder="1" applyAlignment="1">
      <alignment horizontal="center" vertical="center"/>
    </xf>
    <xf numFmtId="0" fontId="0" fillId="0" borderId="117" xfId="0" applyBorder="1" applyAlignment="1">
      <alignment horizontal="center" vertical="center"/>
    </xf>
    <xf numFmtId="0" fontId="0" fillId="0" borderId="115" xfId="0" applyBorder="1" applyAlignment="1">
      <alignment horizontal="center" vertical="center"/>
    </xf>
    <xf numFmtId="0" fontId="0" fillId="0" borderId="118" xfId="0" applyBorder="1" applyAlignment="1">
      <alignment horizontal="center" vertical="center"/>
    </xf>
    <xf numFmtId="2" fontId="45" fillId="0" borderId="6" xfId="0" applyNumberFormat="1" applyFont="1" applyBorder="1" applyAlignment="1">
      <alignment horizontal="center" vertical="center"/>
    </xf>
    <xf numFmtId="2" fontId="45" fillId="0" borderId="4" xfId="0" applyNumberFormat="1" applyFont="1" applyBorder="1" applyAlignment="1">
      <alignment horizontal="center" vertical="center"/>
    </xf>
    <xf numFmtId="2" fontId="45" fillId="0" borderId="8" xfId="0" applyNumberFormat="1" applyFont="1" applyBorder="1" applyAlignment="1">
      <alignment horizontal="center" vertical="center"/>
    </xf>
    <xf numFmtId="2" fontId="45" fillId="0" borderId="106" xfId="0" applyNumberFormat="1" applyFont="1" applyBorder="1" applyAlignment="1">
      <alignment horizontal="center" vertical="center"/>
    </xf>
    <xf numFmtId="0" fontId="45" fillId="0" borderId="5" xfId="0" applyFont="1" applyBorder="1" applyAlignment="1">
      <alignment horizontal="center" vertical="center"/>
    </xf>
    <xf numFmtId="1" fontId="45" fillId="0" borderId="1" xfId="0" applyNumberFormat="1" applyFont="1" applyBorder="1" applyAlignment="1">
      <alignment horizontal="center" vertical="center"/>
    </xf>
    <xf numFmtId="0" fontId="1" fillId="29" borderId="1" xfId="0" applyFont="1" applyFill="1" applyBorder="1" applyAlignment="1">
      <alignment horizontal="center" vertical="center"/>
    </xf>
    <xf numFmtId="2" fontId="45" fillId="29" borderId="1" xfId="0" applyNumberFormat="1" applyFont="1" applyFill="1" applyBorder="1" applyAlignment="1">
      <alignment horizontal="center" vertical="center"/>
    </xf>
    <xf numFmtId="2" fontId="45" fillId="29" borderId="5" xfId="0" applyNumberFormat="1" applyFont="1" applyFill="1" applyBorder="1" applyAlignment="1">
      <alignment horizontal="center" vertical="center"/>
    </xf>
    <xf numFmtId="10" fontId="45" fillId="0" borderId="1" xfId="1" applyNumberFormat="1" applyFont="1" applyBorder="1" applyAlignment="1">
      <alignment horizontal="center" vertical="center"/>
    </xf>
    <xf numFmtId="10" fontId="45" fillId="0" borderId="5" xfId="1" applyNumberFormat="1" applyFont="1" applyBorder="1" applyAlignment="1">
      <alignment horizontal="center" vertical="center"/>
    </xf>
    <xf numFmtId="0" fontId="1" fillId="5" borderId="1" xfId="0" applyFont="1" applyFill="1" applyBorder="1" applyAlignment="1">
      <alignment horizontal="center" vertical="center"/>
    </xf>
    <xf numFmtId="2" fontId="45" fillId="5" borderId="1" xfId="0" applyNumberFormat="1" applyFont="1" applyFill="1" applyBorder="1" applyAlignment="1">
      <alignment horizontal="center" vertical="center"/>
    </xf>
    <xf numFmtId="2" fontId="45" fillId="5" borderId="5" xfId="0" applyNumberFormat="1" applyFont="1" applyFill="1" applyBorder="1" applyAlignment="1">
      <alignment horizontal="center" vertical="center"/>
    </xf>
    <xf numFmtId="2" fontId="45" fillId="5" borderId="18" xfId="0" applyNumberFormat="1" applyFont="1" applyFill="1" applyBorder="1" applyAlignment="1">
      <alignment horizontal="center" vertical="center"/>
    </xf>
    <xf numFmtId="2" fontId="45" fillId="5" borderId="17" xfId="0" applyNumberFormat="1" applyFont="1" applyFill="1" applyBorder="1" applyAlignment="1">
      <alignment horizontal="center" vertical="center"/>
    </xf>
    <xf numFmtId="2" fontId="45" fillId="0" borderId="5" xfId="0" applyNumberFormat="1" applyFont="1" applyBorder="1" applyAlignment="1">
      <alignment horizontal="center" vertical="center"/>
    </xf>
    <xf numFmtId="0" fontId="45" fillId="29" borderId="1" xfId="0" applyFont="1" applyFill="1" applyBorder="1" applyAlignment="1">
      <alignment horizontal="center" vertical="center"/>
    </xf>
    <xf numFmtId="2" fontId="45" fillId="0" borderId="6" xfId="0" applyNumberFormat="1" applyFont="1" applyBorder="1" applyAlignment="1">
      <alignment horizontal="center"/>
    </xf>
    <xf numFmtId="2" fontId="45" fillId="0" borderId="4" xfId="0" applyNumberFormat="1" applyFont="1" applyBorder="1" applyAlignment="1">
      <alignment horizontal="center"/>
    </xf>
    <xf numFmtId="2" fontId="45" fillId="0" borderId="8" xfId="0" applyNumberFormat="1" applyFont="1" applyBorder="1" applyAlignment="1">
      <alignment horizontal="center"/>
    </xf>
    <xf numFmtId="2" fontId="45" fillId="0" borderId="106" xfId="0" applyNumberFormat="1" applyFont="1" applyBorder="1" applyAlignment="1">
      <alignment horizontal="center"/>
    </xf>
    <xf numFmtId="0" fontId="45" fillId="0" borderId="6" xfId="0" applyFont="1" applyBorder="1" applyAlignment="1">
      <alignment horizontal="center"/>
    </xf>
    <xf numFmtId="0" fontId="45" fillId="0" borderId="4" xfId="0" applyFont="1" applyBorder="1" applyAlignment="1">
      <alignment horizontal="center"/>
    </xf>
    <xf numFmtId="0" fontId="45" fillId="0" borderId="8" xfId="0" applyFont="1" applyBorder="1" applyAlignment="1">
      <alignment horizontal="center"/>
    </xf>
    <xf numFmtId="0" fontId="45" fillId="0" borderId="106" xfId="0" applyFont="1" applyBorder="1" applyAlignment="1">
      <alignment horizontal="center"/>
    </xf>
    <xf numFmtId="0" fontId="1" fillId="5" borderId="6" xfId="0" applyFont="1" applyFill="1" applyBorder="1" applyAlignment="1">
      <alignment horizontal="center" vertical="center" wrapText="1"/>
    </xf>
    <xf numFmtId="0" fontId="1" fillId="5" borderId="7" xfId="0" applyFont="1" applyFill="1" applyBorder="1" applyAlignment="1">
      <alignment horizontal="center" vertical="center" wrapText="1"/>
    </xf>
    <xf numFmtId="0" fontId="1" fillId="5" borderId="8"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45" fillId="5" borderId="6" xfId="0" applyFont="1" applyFill="1" applyBorder="1" applyAlignment="1">
      <alignment horizontal="center"/>
    </xf>
    <xf numFmtId="0" fontId="45" fillId="5" borderId="4" xfId="0" applyFont="1" applyFill="1" applyBorder="1" applyAlignment="1">
      <alignment horizontal="center"/>
    </xf>
    <xf numFmtId="0" fontId="45" fillId="5" borderId="8" xfId="0" applyFont="1" applyFill="1" applyBorder="1" applyAlignment="1">
      <alignment horizontal="center"/>
    </xf>
    <xf numFmtId="0" fontId="45" fillId="5" borderId="106" xfId="0" applyFont="1" applyFill="1" applyBorder="1" applyAlignment="1">
      <alignment horizontal="center"/>
    </xf>
    <xf numFmtId="0" fontId="1" fillId="31" borderId="6" xfId="0" applyFont="1" applyFill="1" applyBorder="1" applyAlignment="1">
      <alignment horizontal="center" vertical="center" wrapText="1"/>
    </xf>
    <xf numFmtId="0" fontId="1" fillId="31" borderId="7" xfId="0" applyFont="1" applyFill="1" applyBorder="1" applyAlignment="1">
      <alignment horizontal="center" vertical="center" wrapText="1"/>
    </xf>
    <xf numFmtId="0" fontId="1" fillId="31" borderId="8" xfId="0" applyFont="1" applyFill="1" applyBorder="1" applyAlignment="1">
      <alignment horizontal="center" vertical="center" wrapText="1"/>
    </xf>
    <xf numFmtId="0" fontId="1" fillId="31" borderId="2" xfId="0" applyFont="1" applyFill="1" applyBorder="1" applyAlignment="1">
      <alignment horizontal="center" vertical="center" wrapText="1"/>
    </xf>
    <xf numFmtId="2" fontId="45" fillId="31" borderId="6" xfId="0" applyNumberFormat="1" applyFont="1" applyFill="1" applyBorder="1" applyAlignment="1">
      <alignment horizontal="center"/>
    </xf>
    <xf numFmtId="2" fontId="45" fillId="31" borderId="4" xfId="0" applyNumberFormat="1" applyFont="1" applyFill="1" applyBorder="1" applyAlignment="1">
      <alignment horizontal="center"/>
    </xf>
    <xf numFmtId="2" fontId="45" fillId="31" borderId="8" xfId="0" applyNumberFormat="1" applyFont="1" applyFill="1" applyBorder="1" applyAlignment="1">
      <alignment horizontal="center"/>
    </xf>
    <xf numFmtId="2" fontId="45" fillId="31" borderId="106" xfId="0" applyNumberFormat="1" applyFont="1" applyFill="1" applyBorder="1" applyAlignment="1">
      <alignment horizontal="center"/>
    </xf>
    <xf numFmtId="0" fontId="1" fillId="31" borderId="1" xfId="0" applyFont="1" applyFill="1" applyBorder="1" applyAlignment="1">
      <alignment horizontal="center" vertical="center" wrapText="1"/>
    </xf>
    <xf numFmtId="2" fontId="45" fillId="0" borderId="18" xfId="0" applyNumberFormat="1" applyFont="1" applyBorder="1" applyAlignment="1">
      <alignment horizontal="center" vertical="center"/>
    </xf>
    <xf numFmtId="2" fontId="45" fillId="0" borderId="17" xfId="0" applyNumberFormat="1" applyFont="1" applyBorder="1" applyAlignment="1">
      <alignment horizontal="center" vertical="center"/>
    </xf>
    <xf numFmtId="0" fontId="19" fillId="0" borderId="4" xfId="0" applyFont="1" applyBorder="1" applyAlignment="1">
      <alignment horizontal="center"/>
    </xf>
    <xf numFmtId="2" fontId="45" fillId="0" borderId="18" xfId="0" applyNumberFormat="1" applyFont="1" applyBorder="1" applyAlignment="1">
      <alignment horizontal="center"/>
    </xf>
    <xf numFmtId="2" fontId="45" fillId="0" borderId="17" xfId="0" applyNumberFormat="1" applyFont="1" applyBorder="1" applyAlignment="1">
      <alignment horizontal="center"/>
    </xf>
    <xf numFmtId="3" fontId="45" fillId="0" borderId="1" xfId="0" applyNumberFormat="1" applyFont="1" applyBorder="1" applyAlignment="1">
      <alignment horizontal="center" vertical="center" wrapText="1"/>
    </xf>
    <xf numFmtId="0" fontId="9" fillId="0" borderId="18" xfId="0" applyFont="1" applyBorder="1" applyAlignment="1">
      <alignment horizontal="center" vertical="center"/>
    </xf>
    <xf numFmtId="0" fontId="9" fillId="0" borderId="17" xfId="0" applyFont="1" applyBorder="1" applyAlignment="1">
      <alignment horizontal="center" vertical="center"/>
    </xf>
    <xf numFmtId="3" fontId="45" fillId="0" borderId="18" xfId="0" applyNumberFormat="1" applyFont="1" applyBorder="1" applyAlignment="1">
      <alignment horizontal="center" vertical="center"/>
    </xf>
    <xf numFmtId="3" fontId="45" fillId="0" borderId="17" xfId="0" applyNumberFormat="1" applyFont="1" applyBorder="1" applyAlignment="1">
      <alignment horizontal="center" vertical="center"/>
    </xf>
    <xf numFmtId="3" fontId="9" fillId="0" borderId="18" xfId="0" applyNumberFormat="1" applyFont="1" applyBorder="1" applyAlignment="1">
      <alignment horizontal="center" vertical="center"/>
    </xf>
    <xf numFmtId="3" fontId="9" fillId="0" borderId="17" xfId="0" applyNumberFormat="1" applyFont="1" applyBorder="1" applyAlignment="1">
      <alignment horizontal="center" vertical="center"/>
    </xf>
    <xf numFmtId="0" fontId="4" fillId="0" borderId="1" xfId="0" applyFont="1" applyBorder="1" applyAlignment="1">
      <alignment horizontal="center" vertical="center"/>
    </xf>
    <xf numFmtId="0" fontId="0" fillId="0" borderId="9" xfId="0" applyBorder="1" applyAlignment="1">
      <alignment horizontal="center" vertical="center" wrapText="1"/>
    </xf>
    <xf numFmtId="0" fontId="0" fillId="0" borderId="1" xfId="0" applyBorder="1" applyAlignment="1">
      <alignment horizontal="center" vertical="center" wrapText="1"/>
    </xf>
    <xf numFmtId="0" fontId="11" fillId="0" borderId="1" xfId="0" applyFont="1" applyBorder="1" applyAlignment="1">
      <alignment horizontal="center" vertical="center"/>
    </xf>
    <xf numFmtId="3" fontId="2" fillId="3" borderId="1" xfId="0" applyNumberFormat="1" applyFont="1" applyFill="1" applyBorder="1" applyAlignment="1">
      <alignment horizontal="center" vertical="center"/>
    </xf>
    <xf numFmtId="3" fontId="2" fillId="7" borderId="1" xfId="0" applyNumberFormat="1" applyFont="1" applyFill="1" applyBorder="1" applyAlignment="1">
      <alignment horizontal="center" vertical="center"/>
    </xf>
    <xf numFmtId="3" fontId="9" fillId="0" borderId="18" xfId="0" applyNumberFormat="1" applyFont="1" applyBorder="1" applyAlignment="1">
      <alignment horizontal="center"/>
    </xf>
    <xf numFmtId="3" fontId="9" fillId="0" borderId="17" xfId="0" applyNumberFormat="1" applyFont="1" applyBorder="1" applyAlignment="1">
      <alignment horizontal="center"/>
    </xf>
    <xf numFmtId="1" fontId="9" fillId="0" borderId="18" xfId="0" applyNumberFormat="1" applyFont="1" applyBorder="1" applyAlignment="1">
      <alignment horizontal="center"/>
    </xf>
    <xf numFmtId="1" fontId="9" fillId="0" borderId="17" xfId="0" applyNumberFormat="1" applyFont="1" applyBorder="1" applyAlignment="1">
      <alignment horizontal="center"/>
    </xf>
    <xf numFmtId="0" fontId="1" fillId="0" borderId="37" xfId="0" applyFont="1" applyBorder="1" applyAlignment="1">
      <alignment horizontal="center" vertical="center"/>
    </xf>
    <xf numFmtId="0" fontId="1" fillId="0" borderId="87" xfId="0" applyFont="1" applyBorder="1" applyAlignment="1">
      <alignment horizontal="center" vertical="center"/>
    </xf>
    <xf numFmtId="0" fontId="9" fillId="0" borderId="18" xfId="0" applyFont="1" applyBorder="1" applyAlignment="1">
      <alignment horizontal="center"/>
    </xf>
    <xf numFmtId="0" fontId="9" fillId="0" borderId="17" xfId="0" applyFont="1" applyBorder="1" applyAlignment="1">
      <alignment horizontal="center"/>
    </xf>
    <xf numFmtId="4" fontId="1" fillId="0" borderId="1" xfId="0" applyNumberFormat="1" applyFont="1" applyBorder="1" applyAlignment="1">
      <alignment horizontal="center" vertical="center" wrapText="1"/>
    </xf>
    <xf numFmtId="3" fontId="1" fillId="0" borderId="1" xfId="0" applyNumberFormat="1" applyFont="1" applyBorder="1" applyAlignment="1">
      <alignment horizontal="center" vertical="center" wrapText="1"/>
    </xf>
    <xf numFmtId="3" fontId="0" fillId="0" borderId="1" xfId="0" applyNumberFormat="1" applyBorder="1" applyAlignment="1">
      <alignment horizontal="center"/>
    </xf>
    <xf numFmtId="0" fontId="0" fillId="0" borderId="1" xfId="0" applyBorder="1" applyAlignment="1">
      <alignment horizontal="center"/>
    </xf>
    <xf numFmtId="0" fontId="1" fillId="0" borderId="18" xfId="0" applyFont="1" applyBorder="1" applyAlignment="1">
      <alignment horizontal="center" vertical="center"/>
    </xf>
    <xf numFmtId="0" fontId="1" fillId="0" borderId="88" xfId="0" applyFont="1" applyBorder="1" applyAlignment="1">
      <alignment horizontal="center" vertical="center"/>
    </xf>
    <xf numFmtId="0" fontId="1" fillId="0" borderId="17" xfId="0" applyFont="1" applyBorder="1" applyAlignment="1">
      <alignment horizontal="center" vertical="center"/>
    </xf>
    <xf numFmtId="0" fontId="1" fillId="0" borderId="17" xfId="0" applyFont="1" applyBorder="1" applyAlignment="1">
      <alignment horizontal="center"/>
    </xf>
    <xf numFmtId="0" fontId="1" fillId="0" borderId="18" xfId="0" applyFont="1" applyBorder="1" applyAlignment="1">
      <alignment horizontal="center" wrapText="1"/>
    </xf>
    <xf numFmtId="0" fontId="1" fillId="0" borderId="17" xfId="0" applyFont="1" applyBorder="1" applyAlignment="1">
      <alignment horizontal="center" wrapText="1"/>
    </xf>
    <xf numFmtId="0" fontId="1" fillId="0" borderId="85" xfId="0" applyFont="1" applyBorder="1" applyAlignment="1">
      <alignment horizontal="center" vertical="center" wrapText="1"/>
    </xf>
    <xf numFmtId="0" fontId="1" fillId="0" borderId="77" xfId="0" applyFont="1" applyBorder="1" applyAlignment="1">
      <alignment horizontal="center" vertical="center" wrapText="1"/>
    </xf>
    <xf numFmtId="0" fontId="1" fillId="0" borderId="17" xfId="0" applyFont="1" applyBorder="1" applyAlignment="1">
      <alignment horizontal="center" vertical="center" wrapText="1"/>
    </xf>
    <xf numFmtId="0" fontId="1" fillId="0" borderId="88" xfId="0" applyFont="1" applyBorder="1" applyAlignment="1">
      <alignment horizontal="center" vertical="center" wrapText="1"/>
    </xf>
    <xf numFmtId="0" fontId="9" fillId="0" borderId="18" xfId="0" applyFont="1" applyBorder="1" applyAlignment="1">
      <alignment horizontal="center" vertical="center" wrapText="1"/>
    </xf>
    <xf numFmtId="0" fontId="9" fillId="0" borderId="17"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06" xfId="0" applyFont="1" applyBorder="1" applyAlignment="1">
      <alignment horizontal="center" vertical="center" wrapText="1"/>
    </xf>
    <xf numFmtId="0" fontId="11" fillId="0" borderId="2" xfId="0" applyFont="1" applyBorder="1" applyAlignment="1">
      <alignment horizontal="center" vertical="center" wrapText="1"/>
    </xf>
    <xf numFmtId="0" fontId="38" fillId="0" borderId="19" xfId="0" applyFont="1" applyBorder="1" applyAlignment="1">
      <alignment horizontal="center"/>
    </xf>
    <xf numFmtId="0" fontId="38" fillId="0" borderId="20" xfId="0" applyFont="1" applyBorder="1" applyAlignment="1">
      <alignment horizontal="center"/>
    </xf>
    <xf numFmtId="0" fontId="38" fillId="0" borderId="21" xfId="0" applyFont="1" applyBorder="1" applyAlignment="1">
      <alignment horizontal="center"/>
    </xf>
    <xf numFmtId="0" fontId="0" fillId="0" borderId="37" xfId="0" applyBorder="1" applyAlignment="1">
      <alignment horizontal="center" vertical="center" wrapText="1"/>
    </xf>
    <xf numFmtId="3" fontId="2" fillId="7" borderId="5" xfId="0" applyNumberFormat="1" applyFont="1" applyFill="1" applyBorder="1" applyAlignment="1">
      <alignment horizontal="center" vertical="center"/>
    </xf>
    <xf numFmtId="0" fontId="0" fillId="5" borderId="1" xfId="0" applyFill="1" applyBorder="1" applyAlignment="1">
      <alignment horizontal="center" vertical="center" wrapText="1"/>
    </xf>
    <xf numFmtId="0" fontId="50" fillId="0" borderId="30" xfId="0" applyFont="1" applyBorder="1" applyAlignment="1">
      <alignment horizontal="center" vertical="center"/>
    </xf>
    <xf numFmtId="0" fontId="50" fillId="0" borderId="31" xfId="0" applyFont="1" applyBorder="1" applyAlignment="1">
      <alignment horizontal="center" vertical="center"/>
    </xf>
    <xf numFmtId="0" fontId="50" fillId="0" borderId="32" xfId="0" applyFont="1" applyBorder="1" applyAlignment="1">
      <alignment horizontal="center" vertical="center"/>
    </xf>
    <xf numFmtId="0" fontId="50" fillId="0" borderId="26" xfId="0" applyFont="1" applyBorder="1" applyAlignment="1">
      <alignment horizontal="center" vertical="center"/>
    </xf>
    <xf numFmtId="0" fontId="50" fillId="0" borderId="0" xfId="0" applyFont="1" applyAlignment="1">
      <alignment horizontal="center" vertical="center"/>
    </xf>
    <xf numFmtId="0" fontId="50" fillId="0" borderId="33" xfId="0" applyFont="1" applyBorder="1" applyAlignment="1">
      <alignment horizontal="center" vertical="center"/>
    </xf>
    <xf numFmtId="0" fontId="50" fillId="0" borderId="34" xfId="0" applyFont="1" applyBorder="1" applyAlignment="1">
      <alignment horizontal="center" vertical="center"/>
    </xf>
    <xf numFmtId="0" fontId="50" fillId="0" borderId="35" xfId="0" applyFont="1" applyBorder="1" applyAlignment="1">
      <alignment horizontal="center" vertical="center"/>
    </xf>
    <xf numFmtId="0" fontId="50" fillId="0" borderId="36" xfId="0" applyFont="1" applyBorder="1" applyAlignment="1">
      <alignment horizontal="center" vertical="center"/>
    </xf>
    <xf numFmtId="0" fontId="2" fillId="0" borderId="1" xfId="0" applyFont="1" applyBorder="1" applyAlignment="1">
      <alignment horizontal="left"/>
    </xf>
    <xf numFmtId="0" fontId="5" fillId="0" borderId="1" xfId="0" applyFont="1" applyBorder="1" applyAlignment="1">
      <alignment horizontal="right"/>
    </xf>
    <xf numFmtId="0" fontId="0" fillId="0" borderId="6" xfId="0" applyBorder="1" applyAlignment="1">
      <alignment horizontal="center" vertical="center" wrapText="1"/>
    </xf>
    <xf numFmtId="0" fontId="0" fillId="0" borderId="4" xfId="0" applyBorder="1" applyAlignment="1">
      <alignment horizontal="center" vertical="center" wrapText="1"/>
    </xf>
    <xf numFmtId="3" fontId="2" fillId="3" borderId="5" xfId="0" applyNumberFormat="1" applyFont="1" applyFill="1" applyBorder="1" applyAlignment="1">
      <alignment horizontal="center" vertical="center"/>
    </xf>
    <xf numFmtId="2" fontId="0" fillId="0" borderId="17" xfId="0" applyNumberFormat="1" applyBorder="1" applyAlignment="1">
      <alignment horizontal="center" vertical="center" wrapText="1"/>
    </xf>
    <xf numFmtId="2" fontId="0" fillId="0" borderId="1" xfId="0" applyNumberFormat="1" applyBorder="1" applyAlignment="1">
      <alignment horizontal="center" vertical="center" wrapText="1"/>
    </xf>
    <xf numFmtId="2" fontId="0" fillId="0" borderId="8" xfId="0" applyNumberFormat="1" applyBorder="1" applyAlignment="1">
      <alignment horizontal="center" vertical="center" wrapText="1"/>
    </xf>
    <xf numFmtId="2" fontId="0" fillId="0" borderId="5" xfId="0" applyNumberForma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2" fontId="0" fillId="0" borderId="15" xfId="0" applyNumberFormat="1" applyBorder="1" applyAlignment="1">
      <alignment horizontal="center" vertical="center" wrapText="1"/>
    </xf>
    <xf numFmtId="2" fontId="0" fillId="0" borderId="16" xfId="0" applyNumberFormat="1" applyBorder="1" applyAlignment="1">
      <alignment horizontal="center" vertical="center" wrapText="1"/>
    </xf>
    <xf numFmtId="2" fontId="0" fillId="0" borderId="11" xfId="0" applyNumberFormat="1" applyBorder="1" applyAlignment="1">
      <alignment horizontal="center" vertical="center" wrapText="1"/>
    </xf>
    <xf numFmtId="0" fontId="1" fillId="0" borderId="22" xfId="0" applyFont="1" applyBorder="1" applyAlignment="1">
      <alignment horizontal="center" vertical="center" wrapText="1"/>
    </xf>
    <xf numFmtId="0" fontId="0" fillId="0" borderId="1" xfId="0" applyBorder="1" applyAlignment="1">
      <alignment horizontal="right"/>
    </xf>
    <xf numFmtId="2" fontId="5" fillId="0" borderId="1" xfId="0" applyNumberFormat="1" applyFont="1" applyBorder="1" applyAlignment="1">
      <alignment horizontal="right"/>
    </xf>
    <xf numFmtId="2" fontId="0" fillId="0" borderId="9" xfId="0" applyNumberFormat="1" applyBorder="1" applyAlignment="1">
      <alignment horizontal="center" vertical="center" wrapText="1"/>
    </xf>
    <xf numFmtId="2" fontId="0" fillId="0" borderId="27" xfId="0" applyNumberFormat="1" applyBorder="1" applyAlignment="1">
      <alignment horizontal="center" vertical="center" wrapText="1"/>
    </xf>
    <xf numFmtId="2" fontId="0" fillId="0" borderId="13" xfId="0" applyNumberFormat="1" applyBorder="1" applyAlignment="1">
      <alignment horizontal="center" vertical="center" wrapText="1"/>
    </xf>
    <xf numFmtId="2" fontId="0" fillId="0" borderId="14" xfId="0" applyNumberFormat="1" applyBorder="1" applyAlignment="1">
      <alignment horizontal="center" vertical="center" wrapText="1"/>
    </xf>
    <xf numFmtId="2" fontId="0" fillId="0" borderId="94" xfId="0" applyNumberFormat="1" applyBorder="1" applyAlignment="1">
      <alignment horizontal="center" vertical="center" wrapText="1"/>
    </xf>
    <xf numFmtId="2" fontId="1" fillId="0" borderId="13" xfId="0" applyNumberFormat="1" applyFont="1" applyBorder="1" applyAlignment="1">
      <alignment horizontal="center" vertical="center" wrapText="1"/>
    </xf>
    <xf numFmtId="2" fontId="1" fillId="0" borderId="94" xfId="0" applyNumberFormat="1" applyFont="1" applyBorder="1" applyAlignment="1">
      <alignment horizontal="center" vertical="center" wrapText="1"/>
    </xf>
    <xf numFmtId="2" fontId="1" fillId="0" borderId="1" xfId="0" applyNumberFormat="1" applyFont="1" applyBorder="1" applyAlignment="1">
      <alignment horizontal="center" vertical="center" wrapText="1"/>
    </xf>
    <xf numFmtId="2" fontId="1" fillId="0" borderId="5" xfId="0" applyNumberFormat="1" applyFont="1" applyBorder="1" applyAlignment="1">
      <alignment horizontal="center" vertical="center" wrapText="1"/>
    </xf>
    <xf numFmtId="2" fontId="0" fillId="0" borderId="12" xfId="0" applyNumberFormat="1" applyBorder="1" applyAlignment="1">
      <alignment horizontal="center" vertical="center" wrapText="1"/>
    </xf>
    <xf numFmtId="2" fontId="0" fillId="0" borderId="10" xfId="0" applyNumberFormat="1" applyBorder="1" applyAlignment="1">
      <alignment horizontal="center" vertical="center" wrapText="1"/>
    </xf>
    <xf numFmtId="2" fontId="0" fillId="0" borderId="14" xfId="0" applyNumberFormat="1" applyBorder="1" applyAlignment="1">
      <alignment horizontal="center" vertical="center"/>
    </xf>
    <xf numFmtId="2" fontId="0" fillId="0" borderId="15" xfId="0" applyNumberFormat="1" applyBorder="1" applyAlignment="1">
      <alignment horizontal="center" vertical="center"/>
    </xf>
    <xf numFmtId="2" fontId="0" fillId="0" borderId="94" xfId="0" applyNumberFormat="1" applyBorder="1" applyAlignment="1">
      <alignment horizontal="center" vertical="center"/>
    </xf>
    <xf numFmtId="2" fontId="0" fillId="0" borderId="5" xfId="0" applyNumberFormat="1" applyBorder="1" applyAlignment="1">
      <alignment horizontal="center" vertical="center"/>
    </xf>
    <xf numFmtId="2" fontId="0" fillId="0" borderId="12" xfId="0" applyNumberFormat="1" applyBorder="1" applyAlignment="1">
      <alignment horizontal="center" vertical="center"/>
    </xf>
    <xf numFmtId="2" fontId="0" fillId="0" borderId="9" xfId="0" applyNumberFormat="1" applyBorder="1" applyAlignment="1">
      <alignment horizontal="center" vertical="center"/>
    </xf>
    <xf numFmtId="2" fontId="0" fillId="0" borderId="13" xfId="0" applyNumberFormat="1" applyBorder="1" applyAlignment="1">
      <alignment horizontal="center" vertical="center"/>
    </xf>
    <xf numFmtId="2" fontId="0" fillId="0" borderId="1" xfId="0" applyNumberFormat="1" applyBorder="1" applyAlignment="1">
      <alignment horizontal="center" vertical="center"/>
    </xf>
    <xf numFmtId="0" fontId="1" fillId="0" borderId="13" xfId="0" applyFont="1" applyBorder="1" applyAlignment="1">
      <alignment horizontal="center" vertical="center"/>
    </xf>
    <xf numFmtId="2" fontId="0" fillId="0" borderId="107" xfId="0" applyNumberFormat="1" applyBorder="1" applyAlignment="1">
      <alignment horizontal="center" vertical="center" wrapText="1"/>
    </xf>
    <xf numFmtId="2" fontId="0" fillId="0" borderId="113" xfId="0" applyNumberFormat="1" applyBorder="1" applyAlignment="1">
      <alignment horizontal="center" vertical="center" wrapText="1"/>
    </xf>
    <xf numFmtId="0" fontId="4" fillId="0" borderId="4" xfId="0" applyFont="1" applyBorder="1" applyAlignment="1">
      <alignment horizontal="center" vertical="center"/>
    </xf>
    <xf numFmtId="0" fontId="4" fillId="0" borderId="7" xfId="0" applyFont="1" applyBorder="1" applyAlignment="1">
      <alignment horizontal="center" vertical="center"/>
    </xf>
    <xf numFmtId="0" fontId="4" fillId="0" borderId="0" xfId="0" applyFont="1" applyAlignment="1">
      <alignment horizontal="center" vertical="center"/>
    </xf>
    <xf numFmtId="0" fontId="4" fillId="0" borderId="87" xfId="0" applyFont="1" applyBorder="1" applyAlignment="1">
      <alignment horizontal="center" vertical="center"/>
    </xf>
    <xf numFmtId="0" fontId="4" fillId="0" borderId="106" xfId="0" applyFont="1" applyBorder="1" applyAlignment="1">
      <alignment horizontal="center" vertical="center"/>
    </xf>
    <xf numFmtId="0" fontId="4" fillId="0" borderId="2" xfId="0" applyFont="1" applyBorder="1" applyAlignment="1">
      <alignment horizontal="center" vertical="center"/>
    </xf>
    <xf numFmtId="2" fontId="4" fillId="9" borderId="6" xfId="0" applyNumberFormat="1" applyFont="1" applyFill="1" applyBorder="1" applyAlignment="1">
      <alignment horizontal="center" vertical="center"/>
    </xf>
    <xf numFmtId="2" fontId="4" fillId="9" borderId="4" xfId="0" applyNumberFormat="1" applyFont="1" applyFill="1" applyBorder="1" applyAlignment="1">
      <alignment horizontal="center" vertical="center"/>
    </xf>
    <xf numFmtId="2" fontId="4" fillId="9" borderId="7" xfId="0" applyNumberFormat="1" applyFont="1" applyFill="1" applyBorder="1" applyAlignment="1">
      <alignment horizontal="center" vertical="center"/>
    </xf>
    <xf numFmtId="2" fontId="4" fillId="9" borderId="37" xfId="0" applyNumberFormat="1" applyFont="1" applyFill="1" applyBorder="1" applyAlignment="1">
      <alignment horizontal="center" vertical="center"/>
    </xf>
    <xf numFmtId="2" fontId="4" fillId="9" borderId="0" xfId="0" applyNumberFormat="1" applyFont="1" applyFill="1" applyAlignment="1">
      <alignment horizontal="center" vertical="center"/>
    </xf>
    <xf numFmtId="2" fontId="4" fillId="9" borderId="87" xfId="0" applyNumberFormat="1" applyFont="1" applyFill="1" applyBorder="1" applyAlignment="1">
      <alignment horizontal="center" vertical="center"/>
    </xf>
    <xf numFmtId="2" fontId="4" fillId="9" borderId="8" xfId="0" applyNumberFormat="1" applyFont="1" applyFill="1" applyBorder="1" applyAlignment="1">
      <alignment horizontal="center" vertical="center"/>
    </xf>
    <xf numFmtId="2" fontId="4" fillId="9" borderId="106" xfId="0" applyNumberFormat="1" applyFont="1" applyFill="1" applyBorder="1" applyAlignment="1">
      <alignment horizontal="center" vertical="center"/>
    </xf>
    <xf numFmtId="2" fontId="4" fillId="9" borderId="2" xfId="0" applyNumberFormat="1" applyFont="1" applyFill="1" applyBorder="1" applyAlignment="1">
      <alignment horizontal="center" vertical="center"/>
    </xf>
    <xf numFmtId="2" fontId="0" fillId="0" borderId="112" xfId="0" applyNumberFormat="1" applyBorder="1" applyAlignment="1">
      <alignment horizontal="center" vertical="center" wrapText="1"/>
    </xf>
    <xf numFmtId="170" fontId="45" fillId="0" borderId="1" xfId="0" applyNumberFormat="1" applyFont="1" applyBorder="1" applyAlignment="1">
      <alignment horizontal="center" vertical="center"/>
    </xf>
    <xf numFmtId="2" fontId="0" fillId="0" borderId="1" xfId="0" applyNumberFormat="1" applyBorder="1" applyAlignment="1">
      <alignment horizontal="center"/>
    </xf>
    <xf numFmtId="0" fontId="38" fillId="0" borderId="0" xfId="0" applyFont="1" applyAlignment="1">
      <alignment horizontal="center"/>
    </xf>
    <xf numFmtId="0" fontId="1" fillId="0" borderId="6" xfId="0" applyFont="1" applyBorder="1" applyAlignment="1">
      <alignment horizontal="center"/>
    </xf>
    <xf numFmtId="0" fontId="1" fillId="0" borderId="4"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1" fillId="0" borderId="106" xfId="0" applyFont="1" applyBorder="1" applyAlignment="1">
      <alignment horizontal="center"/>
    </xf>
    <xf numFmtId="0" fontId="1" fillId="0" borderId="2" xfId="0" applyFont="1" applyBorder="1" applyAlignment="1">
      <alignment horizontal="center"/>
    </xf>
    <xf numFmtId="1" fontId="0" fillId="0" borderId="17" xfId="0" applyNumberFormat="1" applyBorder="1" applyAlignment="1">
      <alignment horizontal="center"/>
    </xf>
    <xf numFmtId="3" fontId="0" fillId="0" borderId="18" xfId="0" applyNumberFormat="1" applyBorder="1" applyAlignment="1">
      <alignment horizontal="center"/>
    </xf>
    <xf numFmtId="3" fontId="0" fillId="0" borderId="17" xfId="0" applyNumberFormat="1" applyBorder="1" applyAlignment="1">
      <alignment horizontal="center"/>
    </xf>
    <xf numFmtId="1" fontId="1" fillId="7" borderId="110" xfId="0" applyNumberFormat="1" applyFont="1" applyFill="1" applyBorder="1" applyAlignment="1">
      <alignment horizontal="center" vertical="center"/>
    </xf>
    <xf numFmtId="1" fontId="1" fillId="7" borderId="104" xfId="0" applyNumberFormat="1" applyFont="1" applyFill="1" applyBorder="1" applyAlignment="1">
      <alignment horizontal="center" vertical="center"/>
    </xf>
    <xf numFmtId="1" fontId="1" fillId="7" borderId="99" xfId="0" applyNumberFormat="1" applyFont="1" applyFill="1" applyBorder="1" applyAlignment="1">
      <alignment horizontal="center" vertical="center"/>
    </xf>
    <xf numFmtId="1" fontId="1" fillId="7" borderId="105" xfId="0" applyNumberFormat="1" applyFont="1" applyFill="1" applyBorder="1" applyAlignment="1">
      <alignment horizontal="center" vertical="center"/>
    </xf>
    <xf numFmtId="1" fontId="1" fillId="7" borderId="111" xfId="0" applyNumberFormat="1" applyFont="1" applyFill="1" applyBorder="1" applyAlignment="1">
      <alignment horizontal="center" vertical="center"/>
    </xf>
    <xf numFmtId="1" fontId="1" fillId="7" borderId="0" xfId="0" applyNumberFormat="1" applyFont="1" applyFill="1" applyAlignment="1">
      <alignment horizontal="center" vertical="center"/>
    </xf>
    <xf numFmtId="0" fontId="1" fillId="0" borderId="70" xfId="0" applyFont="1" applyBorder="1" applyAlignment="1">
      <alignment horizontal="center" vertical="center" wrapText="1"/>
    </xf>
    <xf numFmtId="0" fontId="1" fillId="0" borderId="79" xfId="0" applyFont="1" applyBorder="1" applyAlignment="1">
      <alignment horizontal="center" vertical="center" wrapText="1"/>
    </xf>
    <xf numFmtId="3" fontId="1" fillId="7" borderId="0" xfId="0" applyNumberFormat="1" applyFont="1" applyFill="1" applyAlignment="1">
      <alignment horizontal="center" vertical="center"/>
    </xf>
    <xf numFmtId="3" fontId="1" fillId="7" borderId="75" xfId="0" applyNumberFormat="1" applyFont="1" applyFill="1" applyBorder="1" applyAlignment="1">
      <alignment horizontal="center" vertical="center"/>
    </xf>
    <xf numFmtId="3" fontId="1" fillId="7" borderId="105" xfId="0" applyNumberFormat="1" applyFont="1" applyFill="1" applyBorder="1" applyAlignment="1">
      <alignment horizontal="center" vertical="center"/>
    </xf>
    <xf numFmtId="3" fontId="1" fillId="7" borderId="79" xfId="0" applyNumberFormat="1" applyFont="1" applyFill="1" applyBorder="1" applyAlignment="1">
      <alignment horizontal="center" vertical="center"/>
    </xf>
    <xf numFmtId="0" fontId="1" fillId="0" borderId="75" xfId="0" applyFont="1" applyBorder="1" applyAlignment="1">
      <alignment horizontal="center" vertical="center" wrapText="1"/>
    </xf>
    <xf numFmtId="3" fontId="1" fillId="7" borderId="104" xfId="0" applyNumberFormat="1" applyFont="1" applyFill="1" applyBorder="1" applyAlignment="1">
      <alignment horizontal="center" vertical="center"/>
    </xf>
    <xf numFmtId="3" fontId="1" fillId="7" borderId="70" xfId="0" applyNumberFormat="1" applyFont="1" applyFill="1" applyBorder="1" applyAlignment="1">
      <alignment horizontal="center" vertical="center"/>
    </xf>
    <xf numFmtId="0" fontId="0" fillId="0" borderId="104" xfId="0" applyBorder="1" applyAlignment="1">
      <alignment horizontal="left" vertical="center" wrapText="1"/>
    </xf>
    <xf numFmtId="0" fontId="0" fillId="0" borderId="70" xfId="0" applyBorder="1" applyAlignment="1">
      <alignment horizontal="left" vertical="center" wrapText="1"/>
    </xf>
    <xf numFmtId="0" fontId="0" fillId="0" borderId="0" xfId="0" applyAlignment="1">
      <alignment horizontal="left" vertical="center" wrapText="1"/>
    </xf>
    <xf numFmtId="0" fontId="0" fillId="0" borderId="75" xfId="0" applyBorder="1" applyAlignment="1">
      <alignment horizontal="left" vertical="center" wrapText="1"/>
    </xf>
    <xf numFmtId="0" fontId="0" fillId="0" borderId="105" xfId="0" applyBorder="1" applyAlignment="1">
      <alignment horizontal="left" vertical="center" wrapText="1"/>
    </xf>
    <xf numFmtId="0" fontId="0" fillId="0" borderId="79" xfId="0" applyBorder="1" applyAlignment="1">
      <alignment horizontal="left" vertical="center" wrapText="1"/>
    </xf>
    <xf numFmtId="1" fontId="1" fillId="7" borderId="75" xfId="0" applyNumberFormat="1" applyFont="1" applyFill="1" applyBorder="1" applyAlignment="1">
      <alignment horizontal="center" vertical="center"/>
    </xf>
    <xf numFmtId="1" fontId="1" fillId="7" borderId="79" xfId="0" applyNumberFormat="1" applyFont="1" applyFill="1" applyBorder="1" applyAlignment="1">
      <alignment horizontal="center" vertical="center"/>
    </xf>
    <xf numFmtId="3" fontId="2" fillId="7" borderId="18" xfId="0" applyNumberFormat="1" applyFont="1" applyFill="1" applyBorder="1" applyAlignment="1">
      <alignment horizontal="center" vertical="center"/>
    </xf>
    <xf numFmtId="3" fontId="2" fillId="7" borderId="17" xfId="0" applyNumberFormat="1" applyFont="1" applyFill="1" applyBorder="1" applyAlignment="1">
      <alignment horizontal="center" vertical="center"/>
    </xf>
    <xf numFmtId="3" fontId="2" fillId="3" borderId="18" xfId="0" applyNumberFormat="1" applyFont="1" applyFill="1" applyBorder="1" applyAlignment="1">
      <alignment horizontal="center" vertical="center"/>
    </xf>
    <xf numFmtId="3" fontId="2" fillId="3" borderId="17" xfId="0" applyNumberFormat="1" applyFont="1" applyFill="1" applyBorder="1" applyAlignment="1">
      <alignment horizontal="center" vertical="center"/>
    </xf>
    <xf numFmtId="0" fontId="0" fillId="0" borderId="6" xfId="0" applyBorder="1" applyAlignment="1">
      <alignment horizontal="left" wrapText="1"/>
    </xf>
    <xf numFmtId="0" fontId="0" fillId="0" borderId="4" xfId="0" applyBorder="1" applyAlignment="1">
      <alignment horizontal="left" wrapText="1"/>
    </xf>
    <xf numFmtId="0" fontId="0" fillId="0" borderId="7" xfId="0" applyBorder="1" applyAlignment="1">
      <alignment horizontal="left" wrapText="1"/>
    </xf>
    <xf numFmtId="0" fontId="0" fillId="0" borderId="37" xfId="0" applyBorder="1" applyAlignment="1">
      <alignment horizontal="left" wrapText="1"/>
    </xf>
    <xf numFmtId="0" fontId="0" fillId="0" borderId="0" xfId="0" applyAlignment="1">
      <alignment horizontal="left" wrapText="1"/>
    </xf>
    <xf numFmtId="0" fontId="0" fillId="0" borderId="87" xfId="0" applyBorder="1" applyAlignment="1">
      <alignment horizontal="left" wrapText="1"/>
    </xf>
    <xf numFmtId="0" fontId="0" fillId="0" borderId="8" xfId="0" applyBorder="1" applyAlignment="1">
      <alignment horizontal="left" wrapText="1"/>
    </xf>
    <xf numFmtId="0" fontId="0" fillId="0" borderId="106" xfId="0" applyBorder="1" applyAlignment="1">
      <alignment horizontal="left" wrapText="1"/>
    </xf>
    <xf numFmtId="0" fontId="0" fillId="0" borderId="2" xfId="0" applyBorder="1" applyAlignment="1">
      <alignment horizontal="left" wrapText="1"/>
    </xf>
    <xf numFmtId="0" fontId="0" fillId="0" borderId="6" xfId="0" applyBorder="1" applyAlignment="1">
      <alignment horizontal="left" vertical="center" wrapText="1"/>
    </xf>
    <xf numFmtId="0" fontId="0" fillId="0" borderId="4" xfId="0" applyBorder="1" applyAlignment="1">
      <alignment horizontal="left" vertical="center" wrapText="1"/>
    </xf>
    <xf numFmtId="0" fontId="0" fillId="0" borderId="7" xfId="0" applyBorder="1" applyAlignment="1">
      <alignment horizontal="left" vertical="center" wrapText="1"/>
    </xf>
    <xf numFmtId="0" fontId="0" fillId="0" borderId="37" xfId="0" applyBorder="1" applyAlignment="1">
      <alignment horizontal="left" vertical="center" wrapText="1"/>
    </xf>
    <xf numFmtId="0" fontId="0" fillId="0" borderId="87" xfId="0" applyBorder="1" applyAlignment="1">
      <alignment horizontal="left" vertical="center" wrapText="1"/>
    </xf>
    <xf numFmtId="0" fontId="0" fillId="0" borderId="8" xfId="0" applyBorder="1" applyAlignment="1">
      <alignment horizontal="left" vertical="center" wrapText="1"/>
    </xf>
    <xf numFmtId="0" fontId="0" fillId="0" borderId="106" xfId="0" applyBorder="1" applyAlignment="1">
      <alignment horizontal="left" vertical="center" wrapText="1"/>
    </xf>
    <xf numFmtId="0" fontId="0" fillId="0" borderId="2" xfId="0" applyBorder="1" applyAlignment="1">
      <alignment horizontal="left" vertical="center" wrapText="1"/>
    </xf>
    <xf numFmtId="3" fontId="1" fillId="0" borderId="1" xfId="0" applyNumberFormat="1" applyFont="1" applyBorder="1" applyAlignment="1">
      <alignment horizontal="center"/>
    </xf>
    <xf numFmtId="0" fontId="4" fillId="0" borderId="0" xfId="0" applyFont="1" applyAlignment="1">
      <alignment horizontal="center"/>
    </xf>
    <xf numFmtId="0" fontId="0" fillId="0" borderId="87" xfId="0" applyBorder="1" applyAlignment="1">
      <alignment horizontal="center" vertical="center"/>
    </xf>
    <xf numFmtId="0" fontId="0" fillId="23" borderId="1" xfId="0" applyFill="1" applyBorder="1" applyAlignment="1">
      <alignment horizontal="center"/>
    </xf>
    <xf numFmtId="2" fontId="0" fillId="0" borderId="22" xfId="0" applyNumberFormat="1" applyBorder="1" applyAlignment="1">
      <alignment horizontal="center" vertical="center"/>
    </xf>
    <xf numFmtId="0" fontId="0" fillId="0" borderId="17" xfId="0" applyBorder="1" applyAlignment="1">
      <alignment horizontal="left" vertical="center"/>
    </xf>
    <xf numFmtId="0" fontId="0" fillId="0" borderId="17" xfId="0" applyBorder="1" applyAlignment="1">
      <alignment horizontal="center" vertical="center"/>
    </xf>
    <xf numFmtId="0" fontId="0" fillId="0" borderId="87" xfId="0" applyBorder="1" applyAlignment="1">
      <alignment horizontal="center"/>
    </xf>
    <xf numFmtId="0" fontId="0" fillId="0" borderId="10" xfId="0" applyBorder="1" applyAlignment="1">
      <alignment horizontal="left" vertical="center" wrapText="1"/>
    </xf>
    <xf numFmtId="0" fontId="0" fillId="0" borderId="11" xfId="0" applyBorder="1" applyAlignment="1">
      <alignment horizontal="left" vertical="center" wrapText="1"/>
    </xf>
    <xf numFmtId="0" fontId="0" fillId="0" borderId="1" xfId="0" applyBorder="1" applyAlignment="1">
      <alignment horizontal="left" vertical="center" wrapText="1"/>
    </xf>
    <xf numFmtId="0" fontId="1" fillId="0" borderId="121" xfId="0" applyFont="1" applyBorder="1" applyAlignment="1">
      <alignment horizontal="center" vertical="center"/>
    </xf>
    <xf numFmtId="0" fontId="1" fillId="0" borderId="120" xfId="0" applyFont="1" applyBorder="1" applyAlignment="1">
      <alignment horizontal="center" vertical="center"/>
    </xf>
    <xf numFmtId="0" fontId="1" fillId="0" borderId="119" xfId="0" applyFont="1" applyBorder="1" applyAlignment="1">
      <alignment horizontal="center" vertical="center"/>
    </xf>
    <xf numFmtId="0" fontId="0" fillId="0" borderId="27" xfId="0" applyBorder="1" applyAlignment="1">
      <alignment horizontal="center"/>
    </xf>
    <xf numFmtId="0" fontId="0" fillId="0" borderId="112" xfId="0" applyBorder="1" applyAlignment="1">
      <alignment horizontal="center"/>
    </xf>
    <xf numFmtId="0" fontId="0" fillId="0" borderId="61" xfId="0" applyBorder="1" applyAlignment="1">
      <alignment horizontal="left" vertical="center" wrapText="1"/>
    </xf>
    <xf numFmtId="0" fontId="0" fillId="0" borderId="17" xfId="0" applyBorder="1" applyAlignment="1">
      <alignment horizontal="left" vertical="center" wrapText="1"/>
    </xf>
    <xf numFmtId="0" fontId="1" fillId="0" borderId="121" xfId="0" applyFont="1" applyBorder="1" applyAlignment="1">
      <alignment horizontal="center"/>
    </xf>
    <xf numFmtId="0" fontId="1" fillId="0" borderId="120" xfId="0" applyFont="1" applyBorder="1" applyAlignment="1">
      <alignment horizontal="center"/>
    </xf>
    <xf numFmtId="0" fontId="1" fillId="0" borderId="119" xfId="0" applyFont="1" applyBorder="1" applyAlignment="1">
      <alignment horizontal="center"/>
    </xf>
    <xf numFmtId="0" fontId="0" fillId="0" borderId="80" xfId="0" applyBorder="1" applyAlignment="1">
      <alignment horizontal="left" vertical="center" wrapText="1"/>
    </xf>
    <xf numFmtId="0" fontId="0" fillId="0" borderId="3" xfId="0" applyBorder="1" applyAlignment="1">
      <alignment horizontal="left" vertical="center" wrapText="1"/>
    </xf>
    <xf numFmtId="0" fontId="0" fillId="0" borderId="22" xfId="0" applyBorder="1" applyAlignment="1">
      <alignment horizontal="left" vertical="center" wrapText="1"/>
    </xf>
    <xf numFmtId="0" fontId="1" fillId="0" borderId="122" xfId="0" applyFont="1" applyBorder="1" applyAlignment="1">
      <alignment horizontal="center" vertical="center" wrapText="1"/>
    </xf>
    <xf numFmtId="2" fontId="0" fillId="9" borderId="1" xfId="0" applyNumberFormat="1" applyFill="1" applyBorder="1" applyAlignment="1">
      <alignment horizontal="center" vertical="center"/>
    </xf>
    <xf numFmtId="0" fontId="11" fillId="0" borderId="30" xfId="0" applyFont="1" applyBorder="1" applyAlignment="1">
      <alignment horizontal="center" vertical="center"/>
    </xf>
    <xf numFmtId="0" fontId="11" fillId="0" borderId="31" xfId="0" applyFont="1" applyBorder="1" applyAlignment="1">
      <alignment horizontal="center" vertical="center"/>
    </xf>
    <xf numFmtId="0" fontId="11" fillId="0" borderId="32" xfId="0" applyFont="1" applyBorder="1" applyAlignment="1">
      <alignment horizontal="center" vertical="center"/>
    </xf>
    <xf numFmtId="0" fontId="11" fillId="0" borderId="34" xfId="0" applyFont="1" applyBorder="1" applyAlignment="1">
      <alignment horizontal="center" vertical="center"/>
    </xf>
    <xf numFmtId="0" fontId="11" fillId="0" borderId="35" xfId="0" applyFont="1" applyBorder="1" applyAlignment="1">
      <alignment horizontal="center" vertical="center"/>
    </xf>
    <xf numFmtId="0" fontId="11" fillId="0" borderId="36" xfId="0" applyFont="1" applyBorder="1" applyAlignment="1">
      <alignment horizontal="center" vertical="center"/>
    </xf>
    <xf numFmtId="0" fontId="0" fillId="0" borderId="30" xfId="0" applyBorder="1" applyAlignment="1">
      <alignment horizontal="left" wrapText="1"/>
    </xf>
    <xf numFmtId="0" fontId="0" fillId="0" borderId="31" xfId="0" applyBorder="1" applyAlignment="1">
      <alignment horizontal="left" wrapText="1"/>
    </xf>
    <xf numFmtId="0" fontId="0" fillId="0" borderId="32" xfId="0" applyBorder="1" applyAlignment="1">
      <alignment horizontal="left" wrapText="1"/>
    </xf>
    <xf numFmtId="0" fontId="0" fillId="0" borderId="26" xfId="0" applyBorder="1" applyAlignment="1">
      <alignment horizontal="left" wrapText="1"/>
    </xf>
    <xf numFmtId="0" fontId="0" fillId="0" borderId="33" xfId="0" applyBorder="1" applyAlignment="1">
      <alignment horizontal="left" wrapText="1"/>
    </xf>
    <xf numFmtId="0" fontId="0" fillId="0" borderId="34" xfId="0" applyBorder="1" applyAlignment="1">
      <alignment horizontal="left" wrapText="1"/>
    </xf>
    <xf numFmtId="0" fontId="11" fillId="0" borderId="19" xfId="0" applyFont="1" applyBorder="1" applyAlignment="1">
      <alignment horizontal="center"/>
    </xf>
    <xf numFmtId="0" fontId="11" fillId="0" borderId="20" xfId="0" applyFont="1" applyBorder="1" applyAlignment="1">
      <alignment horizontal="center"/>
    </xf>
    <xf numFmtId="0" fontId="11" fillId="0" borderId="21" xfId="0" applyFont="1" applyBorder="1" applyAlignment="1">
      <alignment horizontal="center"/>
    </xf>
    <xf numFmtId="0" fontId="46" fillId="0" borderId="1" xfId="2" applyBorder="1" applyAlignment="1">
      <alignment horizontal="center" wrapText="1"/>
    </xf>
    <xf numFmtId="0" fontId="0" fillId="0" borderId="1" xfId="0" applyBorder="1" applyAlignment="1">
      <alignment horizontal="center" wrapText="1"/>
    </xf>
    <xf numFmtId="0" fontId="46" fillId="0" borderId="1" xfId="2" applyBorder="1" applyAlignment="1">
      <alignment horizontal="center" vertical="center" wrapText="1"/>
    </xf>
    <xf numFmtId="0" fontId="0" fillId="0" borderId="6" xfId="0" applyBorder="1" applyAlignment="1">
      <alignment horizontal="center"/>
    </xf>
    <xf numFmtId="0" fontId="0" fillId="0" borderId="7" xfId="0" applyBorder="1" applyAlignment="1">
      <alignment horizontal="center"/>
    </xf>
    <xf numFmtId="0" fontId="0" fillId="10" borderId="18" xfId="0" applyFill="1" applyBorder="1" applyAlignment="1">
      <alignment horizontal="center" vertical="center"/>
    </xf>
    <xf numFmtId="0" fontId="0" fillId="10" borderId="88" xfId="0" applyFill="1" applyBorder="1" applyAlignment="1">
      <alignment horizontal="center" vertical="center"/>
    </xf>
    <xf numFmtId="0" fontId="0" fillId="10" borderId="1" xfId="0" applyFill="1" applyBorder="1" applyAlignment="1">
      <alignment horizontal="center" vertical="center"/>
    </xf>
    <xf numFmtId="0" fontId="11" fillId="0" borderId="1" xfId="0" applyFont="1" applyBorder="1" applyAlignment="1">
      <alignment horizontal="center" vertical="center" wrapText="1"/>
    </xf>
    <xf numFmtId="0" fontId="0" fillId="0" borderId="18" xfId="0" applyBorder="1" applyAlignment="1">
      <alignment horizontal="left" vertical="center"/>
    </xf>
    <xf numFmtId="0" fontId="0" fillId="0" borderId="18" xfId="0" applyBorder="1" applyAlignment="1">
      <alignment horizontal="center" vertical="center"/>
    </xf>
    <xf numFmtId="0" fontId="0" fillId="0" borderId="9" xfId="0" applyBorder="1" applyAlignment="1">
      <alignment horizontal="left" vertical="center"/>
    </xf>
    <xf numFmtId="4" fontId="0" fillId="0" borderId="1" xfId="0" applyNumberFormat="1" applyBorder="1" applyAlignment="1">
      <alignment horizontal="right" vertical="center"/>
    </xf>
    <xf numFmtId="4" fontId="0" fillId="0" borderId="15" xfId="0" applyNumberFormat="1" applyBorder="1" applyAlignment="1">
      <alignment horizontal="right" vertical="center"/>
    </xf>
    <xf numFmtId="0" fontId="2" fillId="0" borderId="13" xfId="0" applyFont="1" applyBorder="1" applyAlignment="1">
      <alignment horizontal="center" vertical="center"/>
    </xf>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0" fillId="0" borderId="10" xfId="0" applyBorder="1" applyAlignment="1">
      <alignment horizontal="left" vertical="center"/>
    </xf>
    <xf numFmtId="4" fontId="0" fillId="0" borderId="11" xfId="0" applyNumberFormat="1" applyBorder="1" applyAlignment="1">
      <alignment horizontal="right" vertical="center"/>
    </xf>
    <xf numFmtId="4" fontId="0" fillId="0" borderId="16" xfId="0" applyNumberFormat="1" applyBorder="1" applyAlignment="1">
      <alignment horizontal="right" vertical="center"/>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iagrams/colors1.xml><?xml version="1.0" encoding="utf-8"?>
<dgm:colorsDef xmlns:dgm="http://schemas.openxmlformats.org/drawingml/2006/diagram" xmlns:a="http://schemas.openxmlformats.org/drawingml/2006/main" uniqueId="urn:microsoft.com/office/officeart/2005/8/colors/colorful1">
  <dgm:title val=""/>
  <dgm:desc val=""/>
  <dgm:catLst>
    <dgm:cat type="colorful" pri="10100"/>
  </dgm:catLst>
  <dgm:styleLbl name="node0">
    <dgm:fillClrLst meth="repeat">
      <a:schemeClr val="accent1"/>
    </dgm:fillClrLst>
    <dgm:linClrLst meth="repeat">
      <a:schemeClr val="lt1"/>
    </dgm:linClrLst>
    <dgm:effectClrLst/>
    <dgm:txLinClrLst/>
    <dgm:txFillClrLst/>
    <dgm:txEffectClrLst/>
  </dgm:styleLbl>
  <dgm:styleLbl name="node1">
    <dgm:fillClrLst meth="repeat">
      <a:schemeClr val="accent2"/>
      <a:schemeClr val="accent3"/>
      <a:schemeClr val="accent4"/>
      <a:schemeClr val="accent5"/>
      <a:schemeClr val="accent6"/>
    </dgm:fillClrLst>
    <dgm:linClrLst meth="repeat">
      <a:schemeClr val="lt1"/>
    </dgm:linClrLst>
    <dgm:effectClrLst/>
    <dgm:txLinClrLst/>
    <dgm:txFillClrLst/>
    <dgm:txEffectClrLst/>
  </dgm:styleLbl>
  <dgm:styleLbl name="alignNode1">
    <dgm:fillClrLst meth="repeat">
      <a:schemeClr val="accent2"/>
      <a:schemeClr val="accent3"/>
      <a:schemeClr val="accent4"/>
      <a:schemeClr val="accent5"/>
      <a:schemeClr val="accent6"/>
    </dgm:fillClrLst>
    <dgm:linClrLst meth="repeat">
      <a:schemeClr val="accent2"/>
      <a:schemeClr val="accent3"/>
      <a:schemeClr val="accent4"/>
      <a:schemeClr val="accent5"/>
      <a:schemeClr val="accent6"/>
    </dgm:linClrLst>
    <dgm:effectClrLst/>
    <dgm:txLinClrLst/>
    <dgm:txFillClrLst/>
    <dgm:txEffectClrLst/>
  </dgm:styleLbl>
  <dgm:styleLbl name="lnNode1">
    <dgm:fillClrLst meth="repeat">
      <a:schemeClr val="accent2"/>
      <a:schemeClr val="accent3"/>
      <a:schemeClr val="accent4"/>
      <a:schemeClr val="accent5"/>
      <a:schemeClr val="accent6"/>
    </dgm:fillClrLst>
    <dgm:linClrLst meth="repeat">
      <a:schemeClr val="lt1"/>
    </dgm:linClrLst>
    <dgm:effectClrLst/>
    <dgm:txLinClrLst/>
    <dgm:txFillClrLst/>
    <dgm:txEffectClrLst/>
  </dgm:styleLbl>
  <dgm:styleLbl name="vennNode1">
    <dgm:fillClrLst meth="repeat">
      <a:schemeClr val="accent2">
        <a:alpha val="50000"/>
      </a:schemeClr>
      <a:schemeClr val="accent3">
        <a:alpha val="50000"/>
      </a:schemeClr>
      <a:schemeClr val="accent4">
        <a:alpha val="50000"/>
      </a:schemeClr>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2"/>
    </dgm:fillClrLst>
    <dgm:linClrLst meth="repeat">
      <a:schemeClr val="lt1"/>
    </dgm:linClrLst>
    <dgm:effectClrLst/>
    <dgm:txLinClrLst/>
    <dgm:txFillClrLst/>
    <dgm:txEffectClrLst/>
  </dgm:styleLbl>
  <dgm:styleLbl name="node3">
    <dgm:fillClrLst>
      <a:schemeClr val="accent3"/>
    </dgm:fillClrLst>
    <dgm:linClrLst meth="repeat">
      <a:schemeClr val="lt1"/>
    </dgm:linClrLst>
    <dgm:effectClrLst/>
    <dgm:txLinClrLst/>
    <dgm:txFillClrLst/>
    <dgm:txEffectClrLst/>
  </dgm:styleLbl>
  <dgm:styleLbl name="node4">
    <dgm:fillClrLst>
      <a:schemeClr val="accent4"/>
    </dgm:fillClrLst>
    <dgm:linClrLst meth="repeat">
      <a:schemeClr val="lt1"/>
    </dgm:linClrLst>
    <dgm:effectClrLst/>
    <dgm:txLinClrLst/>
    <dgm:txFillClrLst/>
    <dgm:txEffectClrLst/>
  </dgm:styleLbl>
  <dgm:styleLbl name="fgImgPlace1">
    <dgm:fillClrLst meth="repeat">
      <a:schemeClr val="accent2">
        <a:tint val="50000"/>
      </a:schemeClr>
      <a:schemeClr val="accent3">
        <a:tint val="50000"/>
      </a:schemeClr>
      <a:schemeClr val="accent4">
        <a:tint val="50000"/>
      </a:schemeClr>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1">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1">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2"/>
      <a:schemeClr val="accent3"/>
      <a:schemeClr val="accent4"/>
      <a:schemeClr val="accent5"/>
      <a:schemeClr val="accent6"/>
    </dgm:fillClrLst>
    <dgm:linClrLst meth="cycle">
      <a:schemeClr val="lt1"/>
    </dgm:linClrLst>
    <dgm:effectClrLst/>
    <dgm:txLinClrLst/>
    <dgm:txFillClrLst/>
    <dgm:txEffectClrLst/>
  </dgm:styleLbl>
  <dgm:styleLbl name="fgSibTrans2D1">
    <dgm:fillClrLst meth="repeat">
      <a:schemeClr val="accent2"/>
      <a:schemeClr val="accent3"/>
      <a:schemeClr val="accent4"/>
      <a:schemeClr val="accent5"/>
      <a:schemeClr val="accent6"/>
    </dgm:fillClrLst>
    <dgm:linClrLst meth="cycle">
      <a:schemeClr val="lt1"/>
    </dgm:linClrLst>
    <dgm:effectClrLst/>
    <dgm:txLinClrLst/>
    <dgm:txFillClrLst meth="repeat">
      <a:schemeClr val="lt1"/>
    </dgm:txFillClrLst>
    <dgm:txEffectClrLst/>
  </dgm:styleLbl>
  <dgm:styleLbl name="bgSibTrans2D1">
    <dgm:fillClrLst meth="repeat">
      <a:schemeClr val="accent2"/>
      <a:schemeClr val="accent3"/>
      <a:schemeClr val="accent4"/>
      <a:schemeClr val="accent5"/>
      <a:schemeClr val="accent6"/>
    </dgm:fillClrLst>
    <dgm:linClrLst meth="cycle">
      <a:schemeClr val="lt1"/>
    </dgm:linClrLst>
    <dgm:effectClrLst/>
    <dgm:txLinClrLst/>
    <dgm:txFillClrLst meth="repeat">
      <a:schemeClr val="lt1"/>
    </dgm:txFillClrLst>
    <dgm:txEffectClrLst/>
  </dgm:styleLbl>
  <dgm:styleLbl name="sibTrans1D1">
    <dgm:fillClrLst meth="repeat">
      <a:schemeClr val="accent2"/>
      <a:schemeClr val="accent3"/>
      <a:schemeClr val="accent4"/>
      <a:schemeClr val="accent5"/>
      <a:schemeClr val="accent6"/>
    </dgm:fillClrLst>
    <dgm:linClrLst meth="repeat">
      <a:schemeClr val="accent2"/>
      <a:schemeClr val="accent3"/>
      <a:schemeClr val="accent4"/>
      <a:schemeClr val="accent5"/>
      <a:schemeClr val="accent6"/>
    </dgm:linClrLst>
    <dgm:effectClrLst/>
    <dgm:txLinClrLst/>
    <dgm:txFillClrLst meth="repeat">
      <a:schemeClr val="tx1"/>
    </dgm:txFillClrLst>
    <dgm:txEffectClrLst/>
  </dgm:styleLbl>
  <dgm:styleLbl name="callout">
    <dgm:fillClrLst meth="repeat">
      <a:schemeClr val="accent2"/>
    </dgm:fillClrLst>
    <dgm:linClrLst meth="repeat">
      <a:schemeClr val="accent2">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2"/>
    </dgm:fillClrLst>
    <dgm:linClrLst meth="repeat">
      <a:schemeClr val="lt1"/>
    </dgm:linClrLst>
    <dgm:effectClrLst/>
    <dgm:txLinClrLst/>
    <dgm:txFillClrLst/>
    <dgm:txEffectClrLst/>
  </dgm:styleLbl>
  <dgm:styleLbl name="asst2">
    <dgm:fillClrLst>
      <a:schemeClr val="accent3"/>
    </dgm:fillClrLst>
    <dgm:linClrLst meth="repeat">
      <a:schemeClr val="lt1"/>
    </dgm:linClrLst>
    <dgm:effectClrLst/>
    <dgm:txLinClrLst/>
    <dgm:txFillClrLst/>
    <dgm:txEffectClrLst/>
  </dgm:styleLbl>
  <dgm:styleLbl name="asst3">
    <dgm:fillClrLst>
      <a:schemeClr val="accent4"/>
    </dgm:fillClrLst>
    <dgm:linClrLst meth="repeat">
      <a:schemeClr val="lt1"/>
    </dgm:linClrLst>
    <dgm:effectClrLst/>
    <dgm:txLinClrLst/>
    <dgm:txFillClrLst/>
    <dgm:txEffectClrLst/>
  </dgm:styleLbl>
  <dgm:styleLbl name="asst4">
    <dgm:fillClrLst>
      <a:schemeClr val="accent5"/>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2"/>
    </dgm:fillClrLst>
    <dgm:linClrLst meth="repeat">
      <a:schemeClr val="accent1"/>
    </dgm:linClrLst>
    <dgm:effectClrLst/>
    <dgm:txLinClrLst/>
    <dgm:txFillClrLst meth="repeat">
      <a:schemeClr val="tx1"/>
    </dgm:txFillClrLst>
    <dgm:txEffectClrLst/>
  </dgm:styleLbl>
  <dgm:styleLbl name="parChTrans1D2">
    <dgm:fillClrLst meth="repeat">
      <a:schemeClr val="accent3">
        <a:tint val="90000"/>
      </a:schemeClr>
    </dgm:fillClrLst>
    <dgm:linClrLst meth="repeat">
      <a:schemeClr val="accent2"/>
    </dgm:linClrLst>
    <dgm:effectClrLst/>
    <dgm:txLinClrLst/>
    <dgm:txFillClrLst meth="repeat">
      <a:schemeClr val="tx1"/>
    </dgm:txFillClrLst>
    <dgm:txEffectClrLst/>
  </dgm:styleLbl>
  <dgm:styleLbl name="parChTrans1D3">
    <dgm:fillClrLst meth="repeat">
      <a:schemeClr val="accent4">
        <a:tint val="70000"/>
      </a:schemeClr>
    </dgm:fillClrLst>
    <dgm:linClrLst meth="repeat">
      <a:schemeClr val="accent3"/>
    </dgm:linClrLst>
    <dgm:effectClrLst/>
    <dgm:txLinClrLst/>
    <dgm:txFillClrLst meth="repeat">
      <a:schemeClr val="tx1"/>
    </dgm:txFillClrLst>
    <dgm:txEffectClrLst/>
  </dgm:styleLbl>
  <dgm:styleLbl name="parChTrans1D4">
    <dgm:fillClrLst meth="repeat">
      <a:schemeClr val="accent5">
        <a:tint val="50000"/>
      </a:schemeClr>
    </dgm:fillClrLst>
    <dgm:linClrLst meth="repeat">
      <a:schemeClr val="accent4"/>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Fg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Bg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fg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align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1"/>
    </dgm:linClrLst>
    <dgm:effectClrLst/>
    <dgm:txLinClrLst/>
    <dgm:txFillClrLst meth="repeat">
      <a:schemeClr val="dk1"/>
    </dgm:txFillClrLst>
    <dgm:txEffectClrLst/>
  </dgm:styleLbl>
  <dgm:styleLbl name="fgAcc2">
    <dgm:fillClrLst meth="repeat">
      <a:schemeClr val="lt1">
        <a:alpha val="90000"/>
      </a:schemeClr>
    </dgm:fillClrLst>
    <dgm:linClrLst>
      <a:schemeClr val="accent2"/>
    </dgm:linClrLst>
    <dgm:effectClrLst/>
    <dgm:txLinClrLst/>
    <dgm:txFillClrLst meth="repeat">
      <a:schemeClr val="dk1"/>
    </dgm:txFillClrLst>
    <dgm:txEffectClrLst/>
  </dgm:styleLbl>
  <dgm:styleLbl name="fgAcc3">
    <dgm:fillClrLst meth="repeat">
      <a:schemeClr val="lt1">
        <a:alpha val="90000"/>
      </a:schemeClr>
    </dgm:fillClrLst>
    <dgm:linClrLst>
      <a:schemeClr val="accent3"/>
    </dgm:linClrLst>
    <dgm:effectClrLst/>
    <dgm:txLinClrLst/>
    <dgm:txFillClrLst meth="repeat">
      <a:schemeClr val="dk1"/>
    </dgm:txFillClrLst>
    <dgm:txEffectClrLst/>
  </dgm:styleLbl>
  <dgm:styleLbl name="fgAcc4">
    <dgm:fillClrLst meth="repeat">
      <a:schemeClr val="lt1">
        <a:alpha val="90000"/>
      </a:schemeClr>
    </dgm:fillClrLst>
    <dgm:linClrLst>
      <a:schemeClr val="accent4"/>
    </dgm:linClrLst>
    <dgm:effectClrLst/>
    <dgm:txLinClrLst/>
    <dgm:txFillClrLst meth="repeat">
      <a:schemeClr val="dk1"/>
    </dgm:txFillClrLst>
    <dgm:txEffectClrLst/>
  </dgm:styleLbl>
  <dgm:styleLbl name="bgShp">
    <dgm:fillClrLst meth="repeat">
      <a:schemeClr val="accent2">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2">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2"/>
    </dgm:linClrLst>
    <dgm:effectClrLst/>
    <dgm:txLinClrLst/>
    <dgm:txFillClrLst meth="repeat">
      <a:schemeClr val="lt1"/>
    </dgm:txFillClrLst>
    <dgm:txEffectClrLst/>
  </dgm:styleLbl>
  <dgm:styleLbl name="fgShp">
    <dgm:fillClrLst meth="repeat">
      <a:schemeClr val="accent2">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1">
  <dgm:title val=""/>
  <dgm:desc val=""/>
  <dgm:catLst>
    <dgm:cat type="colorful" pri="10100"/>
  </dgm:catLst>
  <dgm:styleLbl name="node0">
    <dgm:fillClrLst meth="repeat">
      <a:schemeClr val="accent1"/>
    </dgm:fillClrLst>
    <dgm:linClrLst meth="repeat">
      <a:schemeClr val="lt1"/>
    </dgm:linClrLst>
    <dgm:effectClrLst/>
    <dgm:txLinClrLst/>
    <dgm:txFillClrLst/>
    <dgm:txEffectClrLst/>
  </dgm:styleLbl>
  <dgm:styleLbl name="node1">
    <dgm:fillClrLst meth="repeat">
      <a:schemeClr val="accent2"/>
      <a:schemeClr val="accent3"/>
      <a:schemeClr val="accent4"/>
      <a:schemeClr val="accent5"/>
      <a:schemeClr val="accent6"/>
    </dgm:fillClrLst>
    <dgm:linClrLst meth="repeat">
      <a:schemeClr val="lt1"/>
    </dgm:linClrLst>
    <dgm:effectClrLst/>
    <dgm:txLinClrLst/>
    <dgm:txFillClrLst/>
    <dgm:txEffectClrLst/>
  </dgm:styleLbl>
  <dgm:styleLbl name="alignNode1">
    <dgm:fillClrLst meth="repeat">
      <a:schemeClr val="accent2"/>
      <a:schemeClr val="accent3"/>
      <a:schemeClr val="accent4"/>
      <a:schemeClr val="accent5"/>
      <a:schemeClr val="accent6"/>
    </dgm:fillClrLst>
    <dgm:linClrLst meth="repeat">
      <a:schemeClr val="accent2"/>
      <a:schemeClr val="accent3"/>
      <a:schemeClr val="accent4"/>
      <a:schemeClr val="accent5"/>
      <a:schemeClr val="accent6"/>
    </dgm:linClrLst>
    <dgm:effectClrLst/>
    <dgm:txLinClrLst/>
    <dgm:txFillClrLst/>
    <dgm:txEffectClrLst/>
  </dgm:styleLbl>
  <dgm:styleLbl name="lnNode1">
    <dgm:fillClrLst meth="repeat">
      <a:schemeClr val="accent2"/>
      <a:schemeClr val="accent3"/>
      <a:schemeClr val="accent4"/>
      <a:schemeClr val="accent5"/>
      <a:schemeClr val="accent6"/>
    </dgm:fillClrLst>
    <dgm:linClrLst meth="repeat">
      <a:schemeClr val="lt1"/>
    </dgm:linClrLst>
    <dgm:effectClrLst/>
    <dgm:txLinClrLst/>
    <dgm:txFillClrLst/>
    <dgm:txEffectClrLst/>
  </dgm:styleLbl>
  <dgm:styleLbl name="vennNode1">
    <dgm:fillClrLst meth="repeat">
      <a:schemeClr val="accent2">
        <a:alpha val="50000"/>
      </a:schemeClr>
      <a:schemeClr val="accent3">
        <a:alpha val="50000"/>
      </a:schemeClr>
      <a:schemeClr val="accent4">
        <a:alpha val="50000"/>
      </a:schemeClr>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2"/>
    </dgm:fillClrLst>
    <dgm:linClrLst meth="repeat">
      <a:schemeClr val="lt1"/>
    </dgm:linClrLst>
    <dgm:effectClrLst/>
    <dgm:txLinClrLst/>
    <dgm:txFillClrLst/>
    <dgm:txEffectClrLst/>
  </dgm:styleLbl>
  <dgm:styleLbl name="node3">
    <dgm:fillClrLst>
      <a:schemeClr val="accent3"/>
    </dgm:fillClrLst>
    <dgm:linClrLst meth="repeat">
      <a:schemeClr val="lt1"/>
    </dgm:linClrLst>
    <dgm:effectClrLst/>
    <dgm:txLinClrLst/>
    <dgm:txFillClrLst/>
    <dgm:txEffectClrLst/>
  </dgm:styleLbl>
  <dgm:styleLbl name="node4">
    <dgm:fillClrLst>
      <a:schemeClr val="accent4"/>
    </dgm:fillClrLst>
    <dgm:linClrLst meth="repeat">
      <a:schemeClr val="lt1"/>
    </dgm:linClrLst>
    <dgm:effectClrLst/>
    <dgm:txLinClrLst/>
    <dgm:txFillClrLst/>
    <dgm:txEffectClrLst/>
  </dgm:styleLbl>
  <dgm:styleLbl name="fgImgPlace1">
    <dgm:fillClrLst meth="repeat">
      <a:schemeClr val="accent2">
        <a:tint val="50000"/>
      </a:schemeClr>
      <a:schemeClr val="accent3">
        <a:tint val="50000"/>
      </a:schemeClr>
      <a:schemeClr val="accent4">
        <a:tint val="50000"/>
      </a:schemeClr>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1">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1">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2"/>
      <a:schemeClr val="accent3"/>
      <a:schemeClr val="accent4"/>
      <a:schemeClr val="accent5"/>
      <a:schemeClr val="accent6"/>
    </dgm:fillClrLst>
    <dgm:linClrLst meth="cycle">
      <a:schemeClr val="lt1"/>
    </dgm:linClrLst>
    <dgm:effectClrLst/>
    <dgm:txLinClrLst/>
    <dgm:txFillClrLst/>
    <dgm:txEffectClrLst/>
  </dgm:styleLbl>
  <dgm:styleLbl name="fgSibTrans2D1">
    <dgm:fillClrLst meth="repeat">
      <a:schemeClr val="accent2"/>
      <a:schemeClr val="accent3"/>
      <a:schemeClr val="accent4"/>
      <a:schemeClr val="accent5"/>
      <a:schemeClr val="accent6"/>
    </dgm:fillClrLst>
    <dgm:linClrLst meth="cycle">
      <a:schemeClr val="lt1"/>
    </dgm:linClrLst>
    <dgm:effectClrLst/>
    <dgm:txLinClrLst/>
    <dgm:txFillClrLst meth="repeat">
      <a:schemeClr val="lt1"/>
    </dgm:txFillClrLst>
    <dgm:txEffectClrLst/>
  </dgm:styleLbl>
  <dgm:styleLbl name="bgSibTrans2D1">
    <dgm:fillClrLst meth="repeat">
      <a:schemeClr val="accent2"/>
      <a:schemeClr val="accent3"/>
      <a:schemeClr val="accent4"/>
      <a:schemeClr val="accent5"/>
      <a:schemeClr val="accent6"/>
    </dgm:fillClrLst>
    <dgm:linClrLst meth="cycle">
      <a:schemeClr val="lt1"/>
    </dgm:linClrLst>
    <dgm:effectClrLst/>
    <dgm:txLinClrLst/>
    <dgm:txFillClrLst meth="repeat">
      <a:schemeClr val="lt1"/>
    </dgm:txFillClrLst>
    <dgm:txEffectClrLst/>
  </dgm:styleLbl>
  <dgm:styleLbl name="sibTrans1D1">
    <dgm:fillClrLst meth="repeat">
      <a:schemeClr val="accent2"/>
      <a:schemeClr val="accent3"/>
      <a:schemeClr val="accent4"/>
      <a:schemeClr val="accent5"/>
      <a:schemeClr val="accent6"/>
    </dgm:fillClrLst>
    <dgm:linClrLst meth="repeat">
      <a:schemeClr val="accent2"/>
      <a:schemeClr val="accent3"/>
      <a:schemeClr val="accent4"/>
      <a:schemeClr val="accent5"/>
      <a:schemeClr val="accent6"/>
    </dgm:linClrLst>
    <dgm:effectClrLst/>
    <dgm:txLinClrLst/>
    <dgm:txFillClrLst meth="repeat">
      <a:schemeClr val="tx1"/>
    </dgm:txFillClrLst>
    <dgm:txEffectClrLst/>
  </dgm:styleLbl>
  <dgm:styleLbl name="callout">
    <dgm:fillClrLst meth="repeat">
      <a:schemeClr val="accent2"/>
    </dgm:fillClrLst>
    <dgm:linClrLst meth="repeat">
      <a:schemeClr val="accent2">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2"/>
    </dgm:fillClrLst>
    <dgm:linClrLst meth="repeat">
      <a:schemeClr val="lt1"/>
    </dgm:linClrLst>
    <dgm:effectClrLst/>
    <dgm:txLinClrLst/>
    <dgm:txFillClrLst/>
    <dgm:txEffectClrLst/>
  </dgm:styleLbl>
  <dgm:styleLbl name="asst2">
    <dgm:fillClrLst>
      <a:schemeClr val="accent3"/>
    </dgm:fillClrLst>
    <dgm:linClrLst meth="repeat">
      <a:schemeClr val="lt1"/>
    </dgm:linClrLst>
    <dgm:effectClrLst/>
    <dgm:txLinClrLst/>
    <dgm:txFillClrLst/>
    <dgm:txEffectClrLst/>
  </dgm:styleLbl>
  <dgm:styleLbl name="asst3">
    <dgm:fillClrLst>
      <a:schemeClr val="accent4"/>
    </dgm:fillClrLst>
    <dgm:linClrLst meth="repeat">
      <a:schemeClr val="lt1"/>
    </dgm:linClrLst>
    <dgm:effectClrLst/>
    <dgm:txLinClrLst/>
    <dgm:txFillClrLst/>
    <dgm:txEffectClrLst/>
  </dgm:styleLbl>
  <dgm:styleLbl name="asst4">
    <dgm:fillClrLst>
      <a:schemeClr val="accent5"/>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2"/>
    </dgm:fillClrLst>
    <dgm:linClrLst meth="repeat">
      <a:schemeClr val="accent1"/>
    </dgm:linClrLst>
    <dgm:effectClrLst/>
    <dgm:txLinClrLst/>
    <dgm:txFillClrLst meth="repeat">
      <a:schemeClr val="tx1"/>
    </dgm:txFillClrLst>
    <dgm:txEffectClrLst/>
  </dgm:styleLbl>
  <dgm:styleLbl name="parChTrans1D2">
    <dgm:fillClrLst meth="repeat">
      <a:schemeClr val="accent3">
        <a:tint val="90000"/>
      </a:schemeClr>
    </dgm:fillClrLst>
    <dgm:linClrLst meth="repeat">
      <a:schemeClr val="accent2"/>
    </dgm:linClrLst>
    <dgm:effectClrLst/>
    <dgm:txLinClrLst/>
    <dgm:txFillClrLst meth="repeat">
      <a:schemeClr val="tx1"/>
    </dgm:txFillClrLst>
    <dgm:txEffectClrLst/>
  </dgm:styleLbl>
  <dgm:styleLbl name="parChTrans1D3">
    <dgm:fillClrLst meth="repeat">
      <a:schemeClr val="accent4">
        <a:tint val="70000"/>
      </a:schemeClr>
    </dgm:fillClrLst>
    <dgm:linClrLst meth="repeat">
      <a:schemeClr val="accent3"/>
    </dgm:linClrLst>
    <dgm:effectClrLst/>
    <dgm:txLinClrLst/>
    <dgm:txFillClrLst meth="repeat">
      <a:schemeClr val="tx1"/>
    </dgm:txFillClrLst>
    <dgm:txEffectClrLst/>
  </dgm:styleLbl>
  <dgm:styleLbl name="parChTrans1D4">
    <dgm:fillClrLst meth="repeat">
      <a:schemeClr val="accent5">
        <a:tint val="50000"/>
      </a:schemeClr>
    </dgm:fillClrLst>
    <dgm:linClrLst meth="repeat">
      <a:schemeClr val="accent4"/>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Fg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Bg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fg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align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1"/>
    </dgm:linClrLst>
    <dgm:effectClrLst/>
    <dgm:txLinClrLst/>
    <dgm:txFillClrLst meth="repeat">
      <a:schemeClr val="dk1"/>
    </dgm:txFillClrLst>
    <dgm:txEffectClrLst/>
  </dgm:styleLbl>
  <dgm:styleLbl name="fgAcc2">
    <dgm:fillClrLst meth="repeat">
      <a:schemeClr val="lt1">
        <a:alpha val="90000"/>
      </a:schemeClr>
    </dgm:fillClrLst>
    <dgm:linClrLst>
      <a:schemeClr val="accent2"/>
    </dgm:linClrLst>
    <dgm:effectClrLst/>
    <dgm:txLinClrLst/>
    <dgm:txFillClrLst meth="repeat">
      <a:schemeClr val="dk1"/>
    </dgm:txFillClrLst>
    <dgm:txEffectClrLst/>
  </dgm:styleLbl>
  <dgm:styleLbl name="fgAcc3">
    <dgm:fillClrLst meth="repeat">
      <a:schemeClr val="lt1">
        <a:alpha val="90000"/>
      </a:schemeClr>
    </dgm:fillClrLst>
    <dgm:linClrLst>
      <a:schemeClr val="accent3"/>
    </dgm:linClrLst>
    <dgm:effectClrLst/>
    <dgm:txLinClrLst/>
    <dgm:txFillClrLst meth="repeat">
      <a:schemeClr val="dk1"/>
    </dgm:txFillClrLst>
    <dgm:txEffectClrLst/>
  </dgm:styleLbl>
  <dgm:styleLbl name="fgAcc4">
    <dgm:fillClrLst meth="repeat">
      <a:schemeClr val="lt1">
        <a:alpha val="90000"/>
      </a:schemeClr>
    </dgm:fillClrLst>
    <dgm:linClrLst>
      <a:schemeClr val="accent4"/>
    </dgm:linClrLst>
    <dgm:effectClrLst/>
    <dgm:txLinClrLst/>
    <dgm:txFillClrLst meth="repeat">
      <a:schemeClr val="dk1"/>
    </dgm:txFillClrLst>
    <dgm:txEffectClrLst/>
  </dgm:styleLbl>
  <dgm:styleLbl name="bgShp">
    <dgm:fillClrLst meth="repeat">
      <a:schemeClr val="accent2">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2">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2"/>
    </dgm:linClrLst>
    <dgm:effectClrLst/>
    <dgm:txLinClrLst/>
    <dgm:txFillClrLst meth="repeat">
      <a:schemeClr val="lt1"/>
    </dgm:txFillClrLst>
    <dgm:txEffectClrLst/>
  </dgm:styleLbl>
  <dgm:styleLbl name="fgShp">
    <dgm:fillClrLst meth="repeat">
      <a:schemeClr val="accent2">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7B00E043-875A-4A60-A7BD-2775E65F19B2}" type="doc">
      <dgm:prSet loTypeId="urn:microsoft.com/office/officeart/2005/8/layout/orgChart1" loCatId="hierarchy" qsTypeId="urn:microsoft.com/office/officeart/2005/8/quickstyle/simple1" qsCatId="simple" csTypeId="urn:microsoft.com/office/officeart/2005/8/colors/colorful1" csCatId="colorful" phldr="1"/>
      <dgm:spPr/>
      <dgm:t>
        <a:bodyPr/>
        <a:lstStyle/>
        <a:p>
          <a:endParaRPr lang="en-GB"/>
        </a:p>
      </dgm:t>
    </dgm:pt>
    <dgm:pt modelId="{BE108FD2-3A0C-4907-9ADF-8F5A07EE0C01}">
      <dgm:prSet phldrT="[Text]"/>
      <dgm:spPr>
        <a:solidFill>
          <a:schemeClr val="tx2"/>
        </a:solidFill>
      </dgm:spPr>
      <dgm:t>
        <a:bodyPr/>
        <a:lstStyle/>
        <a:p>
          <a:r>
            <a:rPr lang="en-GB"/>
            <a:t>Fresatrice L=1500</a:t>
          </a:r>
        </a:p>
      </dgm:t>
    </dgm:pt>
    <dgm:pt modelId="{8F48B282-2873-4CA3-BE10-C61BCD1E452A}" type="parTrans" cxnId="{EDB88597-9630-4CB6-A2CD-903B5DF41076}">
      <dgm:prSet/>
      <dgm:spPr/>
      <dgm:t>
        <a:bodyPr/>
        <a:lstStyle/>
        <a:p>
          <a:endParaRPr lang="en-GB"/>
        </a:p>
      </dgm:t>
    </dgm:pt>
    <dgm:pt modelId="{5225EDEF-6573-4E8D-A1EA-25F884A5E013}" type="sibTrans" cxnId="{EDB88597-9630-4CB6-A2CD-903B5DF41076}">
      <dgm:prSet/>
      <dgm:spPr/>
      <dgm:t>
        <a:bodyPr/>
        <a:lstStyle/>
        <a:p>
          <a:endParaRPr lang="en-GB"/>
        </a:p>
      </dgm:t>
    </dgm:pt>
    <dgm:pt modelId="{23ED8CFC-81C1-428B-A966-C87223B77595}">
      <dgm:prSet phldrT="[Text]"/>
      <dgm:spPr>
        <a:solidFill>
          <a:schemeClr val="tx2"/>
        </a:solidFill>
      </dgm:spPr>
      <dgm:t>
        <a:bodyPr/>
        <a:lstStyle/>
        <a:p>
          <a:r>
            <a:rPr lang="en-GB"/>
            <a:t>Telaio Completo per Fresatrice L=1500 (1)</a:t>
          </a:r>
        </a:p>
      </dgm:t>
    </dgm:pt>
    <dgm:pt modelId="{98738C59-5ADF-4431-8B3C-5AAD82547238}" type="parTrans" cxnId="{EC25550A-E9CC-45FC-88B3-54160EF44D16}">
      <dgm:prSet/>
      <dgm:spPr>
        <a:ln w="38100">
          <a:solidFill>
            <a:schemeClr val="accent1"/>
          </a:solidFill>
        </a:ln>
      </dgm:spPr>
      <dgm:t>
        <a:bodyPr/>
        <a:lstStyle/>
        <a:p>
          <a:endParaRPr lang="en-GB"/>
        </a:p>
      </dgm:t>
    </dgm:pt>
    <dgm:pt modelId="{F2759905-CCCC-465E-9841-8A119BD49559}" type="sibTrans" cxnId="{EC25550A-E9CC-45FC-88B3-54160EF44D16}">
      <dgm:prSet/>
      <dgm:spPr/>
      <dgm:t>
        <a:bodyPr/>
        <a:lstStyle/>
        <a:p>
          <a:endParaRPr lang="en-GB"/>
        </a:p>
      </dgm:t>
    </dgm:pt>
    <dgm:pt modelId="{A53E9160-5CAA-4D15-A8FF-26C7A1BB68F3}">
      <dgm:prSet phldrT="[Text]"/>
      <dgm:spPr>
        <a:solidFill>
          <a:schemeClr val="tx2"/>
        </a:solidFill>
      </dgm:spPr>
      <dgm:t>
        <a:bodyPr/>
        <a:lstStyle/>
        <a:p>
          <a:r>
            <a:rPr lang="en-GB"/>
            <a:t>Carter L=1500 (1)</a:t>
          </a:r>
        </a:p>
      </dgm:t>
    </dgm:pt>
    <dgm:pt modelId="{F068F1B7-D50F-4E19-AF22-0D439665847E}" type="parTrans" cxnId="{8C98EB91-9C5B-45BF-BEF5-E0EEFD77DCC7}">
      <dgm:prSet/>
      <dgm:spPr>
        <a:ln w="38100">
          <a:solidFill>
            <a:schemeClr val="accent2"/>
          </a:solidFill>
        </a:ln>
      </dgm:spPr>
      <dgm:t>
        <a:bodyPr/>
        <a:lstStyle/>
        <a:p>
          <a:endParaRPr lang="en-GB"/>
        </a:p>
      </dgm:t>
    </dgm:pt>
    <dgm:pt modelId="{439329C8-3E8D-44D1-80F8-FAF1444C6D0A}" type="sibTrans" cxnId="{8C98EB91-9C5B-45BF-BEF5-E0EEFD77DCC7}">
      <dgm:prSet/>
      <dgm:spPr/>
      <dgm:t>
        <a:bodyPr/>
        <a:lstStyle/>
        <a:p>
          <a:endParaRPr lang="en-GB"/>
        </a:p>
      </dgm:t>
    </dgm:pt>
    <dgm:pt modelId="{2046EEBA-982B-4301-8241-2803CAE760D1}">
      <dgm:prSet phldrT="[Text]"/>
      <dgm:spPr>
        <a:solidFill>
          <a:schemeClr val="accent6"/>
        </a:solidFill>
      </dgm:spPr>
      <dgm:t>
        <a:bodyPr/>
        <a:lstStyle/>
        <a:p>
          <a:r>
            <a:rPr lang="en-GB"/>
            <a:t>Foglio Lamiera 1500x2000x3 (0.17)</a:t>
          </a:r>
        </a:p>
      </dgm:t>
    </dgm:pt>
    <dgm:pt modelId="{345A7164-9B84-4772-B53F-578508EB30FA}" type="parTrans" cxnId="{E7636A60-3B6B-48E7-8BF9-6E8672DDA6F4}">
      <dgm:prSet/>
      <dgm:spPr>
        <a:ln w="38100">
          <a:solidFill>
            <a:schemeClr val="accent4"/>
          </a:solidFill>
        </a:ln>
      </dgm:spPr>
      <dgm:t>
        <a:bodyPr/>
        <a:lstStyle/>
        <a:p>
          <a:endParaRPr lang="en-GB"/>
        </a:p>
      </dgm:t>
    </dgm:pt>
    <dgm:pt modelId="{0603BC87-DD29-460F-B651-36077527D28A}" type="sibTrans" cxnId="{E7636A60-3B6B-48E7-8BF9-6E8672DDA6F4}">
      <dgm:prSet/>
      <dgm:spPr/>
      <dgm:t>
        <a:bodyPr/>
        <a:lstStyle/>
        <a:p>
          <a:endParaRPr lang="en-GB"/>
        </a:p>
      </dgm:t>
    </dgm:pt>
    <dgm:pt modelId="{04D28262-27D4-4A96-8A9B-E9CC736D7103}">
      <dgm:prSet phldrT="[Text]"/>
      <dgm:spPr>
        <a:solidFill>
          <a:schemeClr val="tx2"/>
        </a:solidFill>
      </dgm:spPr>
      <dgm:t>
        <a:bodyPr/>
        <a:lstStyle/>
        <a:p>
          <a:r>
            <a:rPr lang="en-GB"/>
            <a:t>Staffe Rinforzo (3)</a:t>
          </a:r>
        </a:p>
      </dgm:t>
    </dgm:pt>
    <dgm:pt modelId="{3CB4F370-1677-4FF7-A431-6F134EE8D01A}" type="parTrans" cxnId="{74B077DD-C98B-4ECD-9A27-8215910CE3D9}">
      <dgm:prSet/>
      <dgm:spPr>
        <a:ln w="38100">
          <a:solidFill>
            <a:schemeClr val="accent2"/>
          </a:solidFill>
        </a:ln>
      </dgm:spPr>
      <dgm:t>
        <a:bodyPr/>
        <a:lstStyle/>
        <a:p>
          <a:endParaRPr lang="en-GB"/>
        </a:p>
      </dgm:t>
    </dgm:pt>
    <dgm:pt modelId="{80966A06-83D7-4147-A13E-1A0543822CC6}" type="sibTrans" cxnId="{74B077DD-C98B-4ECD-9A27-8215910CE3D9}">
      <dgm:prSet/>
      <dgm:spPr/>
      <dgm:t>
        <a:bodyPr/>
        <a:lstStyle/>
        <a:p>
          <a:endParaRPr lang="en-GB"/>
        </a:p>
      </dgm:t>
    </dgm:pt>
    <dgm:pt modelId="{A8B36F11-EDFA-448E-ACCA-F4E3B0ABB64C}">
      <dgm:prSet phldrT="[Text]"/>
      <dgm:spPr>
        <a:solidFill>
          <a:schemeClr val="accent6"/>
        </a:solidFill>
      </dgm:spPr>
      <dgm:t>
        <a:bodyPr/>
        <a:lstStyle/>
        <a:p>
          <a:r>
            <a:rPr lang="en-GB"/>
            <a:t>Foglio Lamiera 1000x1500x3 (0.05)</a:t>
          </a:r>
        </a:p>
      </dgm:t>
    </dgm:pt>
    <dgm:pt modelId="{819E766C-2ED8-47CA-A45D-E5D90E97075D}" type="parTrans" cxnId="{47DB8AB3-3E00-409F-8DC6-8EA6E7A4A41E}">
      <dgm:prSet/>
      <dgm:spPr>
        <a:ln w="38100">
          <a:solidFill>
            <a:schemeClr val="accent4"/>
          </a:solidFill>
        </a:ln>
      </dgm:spPr>
      <dgm:t>
        <a:bodyPr/>
        <a:lstStyle/>
        <a:p>
          <a:endParaRPr lang="en-GB"/>
        </a:p>
      </dgm:t>
    </dgm:pt>
    <dgm:pt modelId="{D4A2B17E-4084-4B25-B047-343383A7F61B}" type="sibTrans" cxnId="{47DB8AB3-3E00-409F-8DC6-8EA6E7A4A41E}">
      <dgm:prSet/>
      <dgm:spPr/>
      <dgm:t>
        <a:bodyPr/>
        <a:lstStyle/>
        <a:p>
          <a:endParaRPr lang="en-GB"/>
        </a:p>
      </dgm:t>
    </dgm:pt>
    <dgm:pt modelId="{1D8AAA2E-60A5-4FA8-BB8D-CF032DC80AE2}">
      <dgm:prSet phldrT="[Text]"/>
      <dgm:spPr>
        <a:solidFill>
          <a:schemeClr val="tx2"/>
        </a:solidFill>
      </dgm:spPr>
      <dgm:t>
        <a:bodyPr/>
        <a:lstStyle/>
        <a:p>
          <a:r>
            <a:rPr lang="en-GB"/>
            <a:t>Piastre Attacco Trattore (2)</a:t>
          </a:r>
        </a:p>
      </dgm:t>
    </dgm:pt>
    <dgm:pt modelId="{D0B3D3DE-7CB5-4F0F-B82E-AE744B2CBB75}" type="parTrans" cxnId="{7F5EAC2E-203C-401D-9E50-A6FA2FDA94DA}">
      <dgm:prSet/>
      <dgm:spPr>
        <a:ln w="38100">
          <a:solidFill>
            <a:schemeClr val="accent2"/>
          </a:solidFill>
        </a:ln>
      </dgm:spPr>
      <dgm:t>
        <a:bodyPr/>
        <a:lstStyle/>
        <a:p>
          <a:endParaRPr lang="en-GB"/>
        </a:p>
      </dgm:t>
    </dgm:pt>
    <dgm:pt modelId="{1C18BB0E-00C4-4AB9-8E94-E571BD89AF5C}" type="sibTrans" cxnId="{7F5EAC2E-203C-401D-9E50-A6FA2FDA94DA}">
      <dgm:prSet/>
      <dgm:spPr/>
      <dgm:t>
        <a:bodyPr/>
        <a:lstStyle/>
        <a:p>
          <a:endParaRPr lang="en-GB"/>
        </a:p>
      </dgm:t>
    </dgm:pt>
    <dgm:pt modelId="{01E09FA3-99A2-4DF9-9321-D18EE72FF41D}">
      <dgm:prSet phldrT="[Text]"/>
      <dgm:spPr>
        <a:solidFill>
          <a:schemeClr val="accent6"/>
        </a:solidFill>
      </dgm:spPr>
      <dgm:t>
        <a:bodyPr/>
        <a:lstStyle/>
        <a:p>
          <a:r>
            <a:rPr lang="en-GB"/>
            <a:t>Foglio Lamiera 1000x2000x3 (0.22)</a:t>
          </a:r>
        </a:p>
      </dgm:t>
    </dgm:pt>
    <dgm:pt modelId="{61B097B9-80ED-4819-BEC2-3D1040F26A3F}" type="parTrans" cxnId="{E541A665-FABF-44BA-A858-C774A1EBC96C}">
      <dgm:prSet/>
      <dgm:spPr>
        <a:ln w="38100">
          <a:solidFill>
            <a:schemeClr val="accent4"/>
          </a:solidFill>
        </a:ln>
      </dgm:spPr>
      <dgm:t>
        <a:bodyPr/>
        <a:lstStyle/>
        <a:p>
          <a:endParaRPr lang="en-GB"/>
        </a:p>
      </dgm:t>
    </dgm:pt>
    <dgm:pt modelId="{BE05A8A2-7299-4B23-A3B7-281AB018F750}" type="sibTrans" cxnId="{E541A665-FABF-44BA-A858-C774A1EBC96C}">
      <dgm:prSet/>
      <dgm:spPr/>
      <dgm:t>
        <a:bodyPr/>
        <a:lstStyle/>
        <a:p>
          <a:endParaRPr lang="en-GB"/>
        </a:p>
      </dgm:t>
    </dgm:pt>
    <dgm:pt modelId="{A40BA4BE-0B14-451B-9D4C-5CA23E3806E7}">
      <dgm:prSet phldrT="[Text]"/>
      <dgm:spPr>
        <a:solidFill>
          <a:schemeClr val="tx2"/>
        </a:solidFill>
      </dgm:spPr>
      <dgm:t>
        <a:bodyPr/>
        <a:lstStyle/>
        <a:p>
          <a:r>
            <a:rPr lang="en-GB"/>
            <a:t>Piastre Laterali (2)</a:t>
          </a:r>
        </a:p>
      </dgm:t>
    </dgm:pt>
    <dgm:pt modelId="{1D8C16E0-4599-455F-94C1-B94B89884C13}" type="parTrans" cxnId="{35E9D75E-5A88-4170-A161-FA2BF2A5495D}">
      <dgm:prSet/>
      <dgm:spPr>
        <a:ln w="38100">
          <a:solidFill>
            <a:schemeClr val="accent2"/>
          </a:solidFill>
        </a:ln>
      </dgm:spPr>
      <dgm:t>
        <a:bodyPr/>
        <a:lstStyle/>
        <a:p>
          <a:endParaRPr lang="en-GB"/>
        </a:p>
      </dgm:t>
    </dgm:pt>
    <dgm:pt modelId="{9A41387E-C038-4649-B1C0-34385333535C}" type="sibTrans" cxnId="{35E9D75E-5A88-4170-A161-FA2BF2A5495D}">
      <dgm:prSet/>
      <dgm:spPr/>
      <dgm:t>
        <a:bodyPr/>
        <a:lstStyle/>
        <a:p>
          <a:endParaRPr lang="en-GB"/>
        </a:p>
      </dgm:t>
    </dgm:pt>
    <dgm:pt modelId="{4D9F74E5-BA62-42F8-B114-413718964F39}">
      <dgm:prSet phldrT="[Text]"/>
      <dgm:spPr>
        <a:solidFill>
          <a:schemeClr val="accent6"/>
        </a:solidFill>
      </dgm:spPr>
      <dgm:t>
        <a:bodyPr/>
        <a:lstStyle/>
        <a:p>
          <a:r>
            <a:rPr lang="en-GB"/>
            <a:t>Foglio Lamiera 1000x2000x3 (0.22)</a:t>
          </a:r>
        </a:p>
      </dgm:t>
    </dgm:pt>
    <dgm:pt modelId="{69494B5E-50FF-4F1D-9825-8FDC2B68D937}" type="parTrans" cxnId="{4A59A226-0298-4AF3-B064-BD119CE452CD}">
      <dgm:prSet/>
      <dgm:spPr>
        <a:ln w="38100">
          <a:solidFill>
            <a:schemeClr val="accent4"/>
          </a:solidFill>
        </a:ln>
      </dgm:spPr>
      <dgm:t>
        <a:bodyPr/>
        <a:lstStyle/>
        <a:p>
          <a:endParaRPr lang="en-GB"/>
        </a:p>
      </dgm:t>
    </dgm:pt>
    <dgm:pt modelId="{0B3E1B75-E236-4303-926D-5CA3242079CA}" type="sibTrans" cxnId="{4A59A226-0298-4AF3-B064-BD119CE452CD}">
      <dgm:prSet/>
      <dgm:spPr/>
      <dgm:t>
        <a:bodyPr/>
        <a:lstStyle/>
        <a:p>
          <a:endParaRPr lang="en-GB"/>
        </a:p>
      </dgm:t>
    </dgm:pt>
    <dgm:pt modelId="{EAA85139-F8E3-4BBA-8393-786789E6EBE2}">
      <dgm:prSet phldrT="[Text]"/>
      <dgm:spPr>
        <a:solidFill>
          <a:schemeClr val="accent6"/>
        </a:solidFill>
      </dgm:spPr>
      <dgm:t>
        <a:bodyPr/>
        <a:lstStyle/>
        <a:p>
          <a:pPr algn="ctr"/>
          <a:r>
            <a:rPr lang="en-GB"/>
            <a:t>Albero di trasmissione per macchine L=1500 (1)</a:t>
          </a:r>
        </a:p>
      </dgm:t>
    </dgm:pt>
    <dgm:pt modelId="{EEACE347-62BD-43BF-9D33-81718D276236}" type="parTrans" cxnId="{3C7D47F7-6CB2-4F43-9C04-E83788E602E9}">
      <dgm:prSet/>
      <dgm:spPr>
        <a:ln w="38100">
          <a:solidFill>
            <a:schemeClr val="accent1"/>
          </a:solidFill>
        </a:ln>
      </dgm:spPr>
      <dgm:t>
        <a:bodyPr/>
        <a:lstStyle/>
        <a:p>
          <a:endParaRPr lang="en-GB"/>
        </a:p>
      </dgm:t>
    </dgm:pt>
    <dgm:pt modelId="{2C92DF4F-6112-414F-B5F1-B34720944213}" type="sibTrans" cxnId="{3C7D47F7-6CB2-4F43-9C04-E83788E602E9}">
      <dgm:prSet/>
      <dgm:spPr/>
      <dgm:t>
        <a:bodyPr/>
        <a:lstStyle/>
        <a:p>
          <a:endParaRPr lang="en-GB"/>
        </a:p>
      </dgm:t>
    </dgm:pt>
    <dgm:pt modelId="{D3EAD832-C3B7-4F16-9218-900EF7C01B26}">
      <dgm:prSet phldrT="[Text]"/>
      <dgm:spPr>
        <a:solidFill>
          <a:schemeClr val="accent6"/>
        </a:solidFill>
      </dgm:spPr>
      <dgm:t>
        <a:bodyPr/>
        <a:lstStyle/>
        <a:p>
          <a:r>
            <a:rPr lang="en-GB"/>
            <a:t>Ruota dentata conica (2)</a:t>
          </a:r>
        </a:p>
      </dgm:t>
    </dgm:pt>
    <dgm:pt modelId="{814D8EC5-A029-4C0B-8818-7679B1066622}" type="parTrans" cxnId="{0A31A697-3AEE-4FAD-9723-4E07816C5A78}">
      <dgm:prSet/>
      <dgm:spPr>
        <a:ln w="38100">
          <a:solidFill>
            <a:schemeClr val="accent1"/>
          </a:solidFill>
        </a:ln>
      </dgm:spPr>
      <dgm:t>
        <a:bodyPr/>
        <a:lstStyle/>
        <a:p>
          <a:endParaRPr lang="en-GB"/>
        </a:p>
      </dgm:t>
    </dgm:pt>
    <dgm:pt modelId="{ACEA1F23-050F-4A7E-81C4-B8661588BC3A}" type="sibTrans" cxnId="{0A31A697-3AEE-4FAD-9723-4E07816C5A78}">
      <dgm:prSet/>
      <dgm:spPr/>
      <dgm:t>
        <a:bodyPr/>
        <a:lstStyle/>
        <a:p>
          <a:endParaRPr lang="en-GB"/>
        </a:p>
      </dgm:t>
    </dgm:pt>
    <dgm:pt modelId="{720A84F5-A8C3-42D6-9F6F-4D2126BBBA83}">
      <dgm:prSet phldrT="[Text]"/>
      <dgm:spPr>
        <a:solidFill>
          <a:schemeClr val="accent6"/>
        </a:solidFill>
      </dgm:spPr>
      <dgm:t>
        <a:bodyPr/>
        <a:lstStyle/>
        <a:p>
          <a:r>
            <a:rPr lang="en-GB"/>
            <a:t>Ruota dentata cilindrica (3)</a:t>
          </a:r>
        </a:p>
      </dgm:t>
    </dgm:pt>
    <dgm:pt modelId="{38CB51C5-3562-4000-A3D7-91940DD857E4}" type="parTrans" cxnId="{B8D4DA16-B6C4-4121-B023-F170713D6AA7}">
      <dgm:prSet/>
      <dgm:spPr>
        <a:ln w="38100">
          <a:solidFill>
            <a:schemeClr val="accent1"/>
          </a:solidFill>
        </a:ln>
      </dgm:spPr>
      <dgm:t>
        <a:bodyPr/>
        <a:lstStyle/>
        <a:p>
          <a:endParaRPr lang="en-GB"/>
        </a:p>
      </dgm:t>
    </dgm:pt>
    <dgm:pt modelId="{4AB5C324-30D6-4C82-8CB8-34ED816646D6}" type="sibTrans" cxnId="{B8D4DA16-B6C4-4121-B023-F170713D6AA7}">
      <dgm:prSet/>
      <dgm:spPr/>
      <dgm:t>
        <a:bodyPr/>
        <a:lstStyle/>
        <a:p>
          <a:endParaRPr lang="en-GB"/>
        </a:p>
      </dgm:t>
    </dgm:pt>
    <dgm:pt modelId="{904C68A8-6EB1-4096-BAE2-F8597E3545F7}">
      <dgm:prSet phldrT="[Text]"/>
      <dgm:spPr>
        <a:solidFill>
          <a:schemeClr val="accent6"/>
        </a:solidFill>
      </dgm:spPr>
      <dgm:t>
        <a:bodyPr/>
        <a:lstStyle/>
        <a:p>
          <a:r>
            <a:rPr lang="en-GB"/>
            <a:t>Albero completo frese per fresatrice L=1500 (1)</a:t>
          </a:r>
        </a:p>
      </dgm:t>
    </dgm:pt>
    <dgm:pt modelId="{D7203144-6EEB-4CE8-8887-D45809D8E0A2}" type="parTrans" cxnId="{F608F54C-3AAD-4057-8B3B-38FCFBB65B31}">
      <dgm:prSet/>
      <dgm:spPr>
        <a:ln w="38100">
          <a:solidFill>
            <a:schemeClr val="accent1"/>
          </a:solidFill>
        </a:ln>
      </dgm:spPr>
      <dgm:t>
        <a:bodyPr/>
        <a:lstStyle/>
        <a:p>
          <a:endParaRPr lang="en-GB"/>
        </a:p>
      </dgm:t>
    </dgm:pt>
    <dgm:pt modelId="{BD1078CA-3716-4737-9B2C-0A4BF3F70586}" type="sibTrans" cxnId="{F608F54C-3AAD-4057-8B3B-38FCFBB65B31}">
      <dgm:prSet/>
      <dgm:spPr/>
      <dgm:t>
        <a:bodyPr/>
        <a:lstStyle/>
        <a:p>
          <a:endParaRPr lang="en-GB"/>
        </a:p>
      </dgm:t>
    </dgm:pt>
    <dgm:pt modelId="{F9823C52-5345-410C-9F4A-613A5C21F0E8}" type="pres">
      <dgm:prSet presAssocID="{7B00E043-875A-4A60-A7BD-2775E65F19B2}" presName="hierChild1" presStyleCnt="0">
        <dgm:presLayoutVars>
          <dgm:orgChart val="1"/>
          <dgm:chPref val="1"/>
          <dgm:dir/>
          <dgm:animOne val="branch"/>
          <dgm:animLvl val="lvl"/>
          <dgm:resizeHandles/>
        </dgm:presLayoutVars>
      </dgm:prSet>
      <dgm:spPr/>
    </dgm:pt>
    <dgm:pt modelId="{713AD229-56A2-4412-94A8-192ED355CA95}" type="pres">
      <dgm:prSet presAssocID="{BE108FD2-3A0C-4907-9ADF-8F5A07EE0C01}" presName="hierRoot1" presStyleCnt="0">
        <dgm:presLayoutVars>
          <dgm:hierBranch val="init"/>
        </dgm:presLayoutVars>
      </dgm:prSet>
      <dgm:spPr/>
    </dgm:pt>
    <dgm:pt modelId="{7D7AEAE3-F839-473A-B6BE-671413977CFC}" type="pres">
      <dgm:prSet presAssocID="{BE108FD2-3A0C-4907-9ADF-8F5A07EE0C01}" presName="rootComposite1" presStyleCnt="0"/>
      <dgm:spPr/>
    </dgm:pt>
    <dgm:pt modelId="{B5EF23FE-E97C-4F8C-B341-37F1FEA0D4DD}" type="pres">
      <dgm:prSet presAssocID="{BE108FD2-3A0C-4907-9ADF-8F5A07EE0C01}" presName="rootText1" presStyleLbl="node0" presStyleIdx="0" presStyleCnt="1">
        <dgm:presLayoutVars>
          <dgm:chPref val="3"/>
        </dgm:presLayoutVars>
      </dgm:prSet>
      <dgm:spPr/>
    </dgm:pt>
    <dgm:pt modelId="{7A853995-3DC4-4A23-BB8E-35D3332D16E6}" type="pres">
      <dgm:prSet presAssocID="{BE108FD2-3A0C-4907-9ADF-8F5A07EE0C01}" presName="rootConnector1" presStyleLbl="node1" presStyleIdx="0" presStyleCnt="0"/>
      <dgm:spPr/>
    </dgm:pt>
    <dgm:pt modelId="{E9344533-571F-48FF-B221-7CE27D1FAD8F}" type="pres">
      <dgm:prSet presAssocID="{BE108FD2-3A0C-4907-9ADF-8F5A07EE0C01}" presName="hierChild2" presStyleCnt="0"/>
      <dgm:spPr/>
    </dgm:pt>
    <dgm:pt modelId="{340F67C4-F267-4C22-B5DF-B7550B5CA0DF}" type="pres">
      <dgm:prSet presAssocID="{98738C59-5ADF-4431-8B3C-5AAD82547238}" presName="Name37" presStyleLbl="parChTrans1D2" presStyleIdx="0" presStyleCnt="5"/>
      <dgm:spPr/>
    </dgm:pt>
    <dgm:pt modelId="{3B530F0C-F368-430D-9728-F0951AF79F67}" type="pres">
      <dgm:prSet presAssocID="{23ED8CFC-81C1-428B-A966-C87223B77595}" presName="hierRoot2" presStyleCnt="0">
        <dgm:presLayoutVars>
          <dgm:hierBranch val="init"/>
        </dgm:presLayoutVars>
      </dgm:prSet>
      <dgm:spPr/>
    </dgm:pt>
    <dgm:pt modelId="{0541DB2A-74CC-40F8-A4C9-221E4BDDBC0F}" type="pres">
      <dgm:prSet presAssocID="{23ED8CFC-81C1-428B-A966-C87223B77595}" presName="rootComposite" presStyleCnt="0"/>
      <dgm:spPr/>
    </dgm:pt>
    <dgm:pt modelId="{7A0B9906-977A-4B42-942C-11DDBAD50226}" type="pres">
      <dgm:prSet presAssocID="{23ED8CFC-81C1-428B-A966-C87223B77595}" presName="rootText" presStyleLbl="node2" presStyleIdx="0" presStyleCnt="5">
        <dgm:presLayoutVars>
          <dgm:chPref val="3"/>
        </dgm:presLayoutVars>
      </dgm:prSet>
      <dgm:spPr/>
    </dgm:pt>
    <dgm:pt modelId="{4DF62BC4-0040-4565-93E9-FE04334E95F7}" type="pres">
      <dgm:prSet presAssocID="{23ED8CFC-81C1-428B-A966-C87223B77595}" presName="rootConnector" presStyleLbl="node2" presStyleIdx="0" presStyleCnt="5"/>
      <dgm:spPr/>
    </dgm:pt>
    <dgm:pt modelId="{ADE0A641-D530-4348-A4C3-AE6295B7BFB2}" type="pres">
      <dgm:prSet presAssocID="{23ED8CFC-81C1-428B-A966-C87223B77595}" presName="hierChild4" presStyleCnt="0"/>
      <dgm:spPr/>
    </dgm:pt>
    <dgm:pt modelId="{3D65BB9A-E472-4012-9432-AF20FB359CF9}" type="pres">
      <dgm:prSet presAssocID="{F068F1B7-D50F-4E19-AF22-0D439665847E}" presName="Name37" presStyleLbl="parChTrans1D3" presStyleIdx="0" presStyleCnt="4"/>
      <dgm:spPr/>
    </dgm:pt>
    <dgm:pt modelId="{0EEB9817-48D2-459A-BF87-6EE7F6749BC8}" type="pres">
      <dgm:prSet presAssocID="{A53E9160-5CAA-4D15-A8FF-26C7A1BB68F3}" presName="hierRoot2" presStyleCnt="0">
        <dgm:presLayoutVars>
          <dgm:hierBranch val="init"/>
        </dgm:presLayoutVars>
      </dgm:prSet>
      <dgm:spPr/>
    </dgm:pt>
    <dgm:pt modelId="{507DE141-A108-4466-A9FC-498E5E6CE6FF}" type="pres">
      <dgm:prSet presAssocID="{A53E9160-5CAA-4D15-A8FF-26C7A1BB68F3}" presName="rootComposite" presStyleCnt="0"/>
      <dgm:spPr/>
    </dgm:pt>
    <dgm:pt modelId="{1FB34EFA-170E-4CEC-8A83-94E6D3D1104A}" type="pres">
      <dgm:prSet presAssocID="{A53E9160-5CAA-4D15-A8FF-26C7A1BB68F3}" presName="rootText" presStyleLbl="node3" presStyleIdx="0" presStyleCnt="4">
        <dgm:presLayoutVars>
          <dgm:chPref val="3"/>
        </dgm:presLayoutVars>
      </dgm:prSet>
      <dgm:spPr/>
    </dgm:pt>
    <dgm:pt modelId="{13EE620A-8E91-4933-90A0-B10DD4BFB838}" type="pres">
      <dgm:prSet presAssocID="{A53E9160-5CAA-4D15-A8FF-26C7A1BB68F3}" presName="rootConnector" presStyleLbl="node3" presStyleIdx="0" presStyleCnt="4"/>
      <dgm:spPr/>
    </dgm:pt>
    <dgm:pt modelId="{F2590A2E-914F-42F0-B0E2-B8E1E522C117}" type="pres">
      <dgm:prSet presAssocID="{A53E9160-5CAA-4D15-A8FF-26C7A1BB68F3}" presName="hierChild4" presStyleCnt="0"/>
      <dgm:spPr/>
    </dgm:pt>
    <dgm:pt modelId="{3A5A8D36-8B03-42BF-B627-CE87AF11EC22}" type="pres">
      <dgm:prSet presAssocID="{345A7164-9B84-4772-B53F-578508EB30FA}" presName="Name37" presStyleLbl="parChTrans1D4" presStyleIdx="0" presStyleCnt="4"/>
      <dgm:spPr/>
    </dgm:pt>
    <dgm:pt modelId="{7D182248-D391-4EEA-BCFF-9EFF4F0659C7}" type="pres">
      <dgm:prSet presAssocID="{2046EEBA-982B-4301-8241-2803CAE760D1}" presName="hierRoot2" presStyleCnt="0">
        <dgm:presLayoutVars>
          <dgm:hierBranch val="init"/>
        </dgm:presLayoutVars>
      </dgm:prSet>
      <dgm:spPr/>
    </dgm:pt>
    <dgm:pt modelId="{1D625D73-B697-4891-BA6E-54D81034BF41}" type="pres">
      <dgm:prSet presAssocID="{2046EEBA-982B-4301-8241-2803CAE760D1}" presName="rootComposite" presStyleCnt="0"/>
      <dgm:spPr/>
    </dgm:pt>
    <dgm:pt modelId="{43782A98-1838-41BA-B5F4-3F6A5D3A4643}" type="pres">
      <dgm:prSet presAssocID="{2046EEBA-982B-4301-8241-2803CAE760D1}" presName="rootText" presStyleLbl="node4" presStyleIdx="0" presStyleCnt="4" custLinFactY="38067" custLinFactNeighborX="5910" custLinFactNeighborY="100000">
        <dgm:presLayoutVars>
          <dgm:chPref val="3"/>
        </dgm:presLayoutVars>
      </dgm:prSet>
      <dgm:spPr/>
    </dgm:pt>
    <dgm:pt modelId="{8AF5AB59-B06C-46A8-910F-A9FC22C138D6}" type="pres">
      <dgm:prSet presAssocID="{2046EEBA-982B-4301-8241-2803CAE760D1}" presName="rootConnector" presStyleLbl="node4" presStyleIdx="0" presStyleCnt="4"/>
      <dgm:spPr/>
    </dgm:pt>
    <dgm:pt modelId="{C01AD7B7-51E8-4A3B-8D3B-5E509C0EBD14}" type="pres">
      <dgm:prSet presAssocID="{2046EEBA-982B-4301-8241-2803CAE760D1}" presName="hierChild4" presStyleCnt="0"/>
      <dgm:spPr/>
    </dgm:pt>
    <dgm:pt modelId="{3AB739AB-CB04-4871-88F4-1806691FA6FB}" type="pres">
      <dgm:prSet presAssocID="{2046EEBA-982B-4301-8241-2803CAE760D1}" presName="hierChild5" presStyleCnt="0"/>
      <dgm:spPr/>
    </dgm:pt>
    <dgm:pt modelId="{A440448E-AD3F-4042-8AC2-096A091EB180}" type="pres">
      <dgm:prSet presAssocID="{A53E9160-5CAA-4D15-A8FF-26C7A1BB68F3}" presName="hierChild5" presStyleCnt="0"/>
      <dgm:spPr/>
    </dgm:pt>
    <dgm:pt modelId="{F4372CDA-AFB5-4451-92EF-ECBD1813E030}" type="pres">
      <dgm:prSet presAssocID="{3CB4F370-1677-4FF7-A431-6F134EE8D01A}" presName="Name37" presStyleLbl="parChTrans1D3" presStyleIdx="1" presStyleCnt="4"/>
      <dgm:spPr/>
    </dgm:pt>
    <dgm:pt modelId="{AA08A403-89D7-4468-860F-4C8D9083D262}" type="pres">
      <dgm:prSet presAssocID="{04D28262-27D4-4A96-8A9B-E9CC736D7103}" presName="hierRoot2" presStyleCnt="0">
        <dgm:presLayoutVars>
          <dgm:hierBranch val="init"/>
        </dgm:presLayoutVars>
      </dgm:prSet>
      <dgm:spPr/>
    </dgm:pt>
    <dgm:pt modelId="{7ECA534C-9B68-4623-86C0-B1B2B8E47C27}" type="pres">
      <dgm:prSet presAssocID="{04D28262-27D4-4A96-8A9B-E9CC736D7103}" presName="rootComposite" presStyleCnt="0"/>
      <dgm:spPr/>
    </dgm:pt>
    <dgm:pt modelId="{BF4BB1AA-4DBE-4507-B279-84DB611DE3D9}" type="pres">
      <dgm:prSet presAssocID="{04D28262-27D4-4A96-8A9B-E9CC736D7103}" presName="rootText" presStyleLbl="node3" presStyleIdx="1" presStyleCnt="4">
        <dgm:presLayoutVars>
          <dgm:chPref val="3"/>
        </dgm:presLayoutVars>
      </dgm:prSet>
      <dgm:spPr/>
    </dgm:pt>
    <dgm:pt modelId="{B662C18C-FD65-4B35-81DA-0AA07988768D}" type="pres">
      <dgm:prSet presAssocID="{04D28262-27D4-4A96-8A9B-E9CC736D7103}" presName="rootConnector" presStyleLbl="node3" presStyleIdx="1" presStyleCnt="4"/>
      <dgm:spPr/>
    </dgm:pt>
    <dgm:pt modelId="{9459F0E1-5508-4192-A472-B8C4A37233FB}" type="pres">
      <dgm:prSet presAssocID="{04D28262-27D4-4A96-8A9B-E9CC736D7103}" presName="hierChild4" presStyleCnt="0"/>
      <dgm:spPr/>
    </dgm:pt>
    <dgm:pt modelId="{B8429EAD-8128-43ED-AC95-1F16B0237B6E}" type="pres">
      <dgm:prSet presAssocID="{819E766C-2ED8-47CA-A45D-E5D90E97075D}" presName="Name37" presStyleLbl="parChTrans1D4" presStyleIdx="1" presStyleCnt="4"/>
      <dgm:spPr/>
    </dgm:pt>
    <dgm:pt modelId="{B78DF617-0C60-4DFF-9A4A-3499B36D3A05}" type="pres">
      <dgm:prSet presAssocID="{A8B36F11-EDFA-448E-ACCA-F4E3B0ABB64C}" presName="hierRoot2" presStyleCnt="0">
        <dgm:presLayoutVars>
          <dgm:hierBranch val="init"/>
        </dgm:presLayoutVars>
      </dgm:prSet>
      <dgm:spPr/>
    </dgm:pt>
    <dgm:pt modelId="{6E5C4F98-26EB-440B-BEE0-9C5BD6BCEA32}" type="pres">
      <dgm:prSet presAssocID="{A8B36F11-EDFA-448E-ACCA-F4E3B0ABB64C}" presName="rootComposite" presStyleCnt="0"/>
      <dgm:spPr/>
    </dgm:pt>
    <dgm:pt modelId="{89C82BCD-3E8F-4B3E-ADEB-9F0B68EEFC29}" type="pres">
      <dgm:prSet presAssocID="{A8B36F11-EDFA-448E-ACCA-F4E3B0ABB64C}" presName="rootText" presStyleLbl="node4" presStyleIdx="1" presStyleCnt="4" custLinFactY="38067" custLinFactNeighborX="5910" custLinFactNeighborY="100000">
        <dgm:presLayoutVars>
          <dgm:chPref val="3"/>
        </dgm:presLayoutVars>
      </dgm:prSet>
      <dgm:spPr/>
    </dgm:pt>
    <dgm:pt modelId="{A616E4E2-6302-4B13-9A4D-0A15F519358E}" type="pres">
      <dgm:prSet presAssocID="{A8B36F11-EDFA-448E-ACCA-F4E3B0ABB64C}" presName="rootConnector" presStyleLbl="node4" presStyleIdx="1" presStyleCnt="4"/>
      <dgm:spPr/>
    </dgm:pt>
    <dgm:pt modelId="{72703296-1B66-4433-9D88-4E9CC73449CD}" type="pres">
      <dgm:prSet presAssocID="{A8B36F11-EDFA-448E-ACCA-F4E3B0ABB64C}" presName="hierChild4" presStyleCnt="0"/>
      <dgm:spPr/>
    </dgm:pt>
    <dgm:pt modelId="{C8674BAC-EC0F-48E6-BE54-13CC6AF2546C}" type="pres">
      <dgm:prSet presAssocID="{A8B36F11-EDFA-448E-ACCA-F4E3B0ABB64C}" presName="hierChild5" presStyleCnt="0"/>
      <dgm:spPr/>
    </dgm:pt>
    <dgm:pt modelId="{D7C749B0-249E-4EFF-B39B-600769655A0E}" type="pres">
      <dgm:prSet presAssocID="{04D28262-27D4-4A96-8A9B-E9CC736D7103}" presName="hierChild5" presStyleCnt="0"/>
      <dgm:spPr/>
    </dgm:pt>
    <dgm:pt modelId="{52FD661B-2D3B-49BB-9A28-EEFCCA35AD9B}" type="pres">
      <dgm:prSet presAssocID="{D0B3D3DE-7CB5-4F0F-B82E-AE744B2CBB75}" presName="Name37" presStyleLbl="parChTrans1D3" presStyleIdx="2" presStyleCnt="4"/>
      <dgm:spPr/>
    </dgm:pt>
    <dgm:pt modelId="{C7EB2C27-4BE2-4C9E-9FBD-516A7416693A}" type="pres">
      <dgm:prSet presAssocID="{1D8AAA2E-60A5-4FA8-BB8D-CF032DC80AE2}" presName="hierRoot2" presStyleCnt="0">
        <dgm:presLayoutVars>
          <dgm:hierBranch val="init"/>
        </dgm:presLayoutVars>
      </dgm:prSet>
      <dgm:spPr/>
    </dgm:pt>
    <dgm:pt modelId="{2D67EAD2-9E10-49BF-9895-79AFB5089F5D}" type="pres">
      <dgm:prSet presAssocID="{1D8AAA2E-60A5-4FA8-BB8D-CF032DC80AE2}" presName="rootComposite" presStyleCnt="0"/>
      <dgm:spPr/>
    </dgm:pt>
    <dgm:pt modelId="{2475995F-D1F8-4107-A258-730E90BCD88D}" type="pres">
      <dgm:prSet presAssocID="{1D8AAA2E-60A5-4FA8-BB8D-CF032DC80AE2}" presName="rootText" presStyleLbl="node3" presStyleIdx="2" presStyleCnt="4">
        <dgm:presLayoutVars>
          <dgm:chPref val="3"/>
        </dgm:presLayoutVars>
      </dgm:prSet>
      <dgm:spPr/>
    </dgm:pt>
    <dgm:pt modelId="{F0C0DE88-8657-4FB8-84E9-EE1A7E96A7BA}" type="pres">
      <dgm:prSet presAssocID="{1D8AAA2E-60A5-4FA8-BB8D-CF032DC80AE2}" presName="rootConnector" presStyleLbl="node3" presStyleIdx="2" presStyleCnt="4"/>
      <dgm:spPr/>
    </dgm:pt>
    <dgm:pt modelId="{965FFA83-479B-47EC-8AF1-1C0CFFC610CE}" type="pres">
      <dgm:prSet presAssocID="{1D8AAA2E-60A5-4FA8-BB8D-CF032DC80AE2}" presName="hierChild4" presStyleCnt="0"/>
      <dgm:spPr/>
    </dgm:pt>
    <dgm:pt modelId="{91D23516-BC80-4A96-83F0-C5CFAB70308E}" type="pres">
      <dgm:prSet presAssocID="{61B097B9-80ED-4819-BEC2-3D1040F26A3F}" presName="Name37" presStyleLbl="parChTrans1D4" presStyleIdx="2" presStyleCnt="4"/>
      <dgm:spPr/>
    </dgm:pt>
    <dgm:pt modelId="{B8824ECB-13C7-4A8B-9913-B10FF9421312}" type="pres">
      <dgm:prSet presAssocID="{01E09FA3-99A2-4DF9-9321-D18EE72FF41D}" presName="hierRoot2" presStyleCnt="0">
        <dgm:presLayoutVars>
          <dgm:hierBranch val="init"/>
        </dgm:presLayoutVars>
      </dgm:prSet>
      <dgm:spPr/>
    </dgm:pt>
    <dgm:pt modelId="{C58BDCA1-9B4F-40F3-8ABB-174C68C01412}" type="pres">
      <dgm:prSet presAssocID="{01E09FA3-99A2-4DF9-9321-D18EE72FF41D}" presName="rootComposite" presStyleCnt="0"/>
      <dgm:spPr/>
    </dgm:pt>
    <dgm:pt modelId="{96EAEC2D-51A0-4D58-8D8D-ED695F4677BC}" type="pres">
      <dgm:prSet presAssocID="{01E09FA3-99A2-4DF9-9321-D18EE72FF41D}" presName="rootText" presStyleLbl="node4" presStyleIdx="2" presStyleCnt="4" custLinFactY="38067" custLinFactNeighborX="5910" custLinFactNeighborY="100000">
        <dgm:presLayoutVars>
          <dgm:chPref val="3"/>
        </dgm:presLayoutVars>
      </dgm:prSet>
      <dgm:spPr/>
    </dgm:pt>
    <dgm:pt modelId="{6028E1F5-EAEC-42CF-AD1E-785122FD505B}" type="pres">
      <dgm:prSet presAssocID="{01E09FA3-99A2-4DF9-9321-D18EE72FF41D}" presName="rootConnector" presStyleLbl="node4" presStyleIdx="2" presStyleCnt="4"/>
      <dgm:spPr/>
    </dgm:pt>
    <dgm:pt modelId="{DB86481F-E835-4255-93DD-00A8591AFD2A}" type="pres">
      <dgm:prSet presAssocID="{01E09FA3-99A2-4DF9-9321-D18EE72FF41D}" presName="hierChild4" presStyleCnt="0"/>
      <dgm:spPr/>
    </dgm:pt>
    <dgm:pt modelId="{1F21D95E-A82F-4FEC-8679-201D0F68FF87}" type="pres">
      <dgm:prSet presAssocID="{01E09FA3-99A2-4DF9-9321-D18EE72FF41D}" presName="hierChild5" presStyleCnt="0"/>
      <dgm:spPr/>
    </dgm:pt>
    <dgm:pt modelId="{A69BEC85-7D63-48D6-B881-C892AE65D5D6}" type="pres">
      <dgm:prSet presAssocID="{1D8AAA2E-60A5-4FA8-BB8D-CF032DC80AE2}" presName="hierChild5" presStyleCnt="0"/>
      <dgm:spPr/>
    </dgm:pt>
    <dgm:pt modelId="{17103C69-0302-483E-83B6-DDD01D942D32}" type="pres">
      <dgm:prSet presAssocID="{1D8C16E0-4599-455F-94C1-B94B89884C13}" presName="Name37" presStyleLbl="parChTrans1D3" presStyleIdx="3" presStyleCnt="4"/>
      <dgm:spPr/>
    </dgm:pt>
    <dgm:pt modelId="{6D7C1801-74A8-4D14-BCD0-996644C52870}" type="pres">
      <dgm:prSet presAssocID="{A40BA4BE-0B14-451B-9D4C-5CA23E3806E7}" presName="hierRoot2" presStyleCnt="0">
        <dgm:presLayoutVars>
          <dgm:hierBranch val="init"/>
        </dgm:presLayoutVars>
      </dgm:prSet>
      <dgm:spPr/>
    </dgm:pt>
    <dgm:pt modelId="{BE7D34A5-5527-4060-B06D-654E69E5502B}" type="pres">
      <dgm:prSet presAssocID="{A40BA4BE-0B14-451B-9D4C-5CA23E3806E7}" presName="rootComposite" presStyleCnt="0"/>
      <dgm:spPr/>
    </dgm:pt>
    <dgm:pt modelId="{8626661B-01F0-4DF6-819E-869027AAF714}" type="pres">
      <dgm:prSet presAssocID="{A40BA4BE-0B14-451B-9D4C-5CA23E3806E7}" presName="rootText" presStyleLbl="node3" presStyleIdx="3" presStyleCnt="4">
        <dgm:presLayoutVars>
          <dgm:chPref val="3"/>
        </dgm:presLayoutVars>
      </dgm:prSet>
      <dgm:spPr/>
    </dgm:pt>
    <dgm:pt modelId="{0857AC9D-95D4-4A52-9D1C-207F7D093922}" type="pres">
      <dgm:prSet presAssocID="{A40BA4BE-0B14-451B-9D4C-5CA23E3806E7}" presName="rootConnector" presStyleLbl="node3" presStyleIdx="3" presStyleCnt="4"/>
      <dgm:spPr/>
    </dgm:pt>
    <dgm:pt modelId="{5DB5BE4C-CAFC-4A01-86F3-DA9FA36C0D79}" type="pres">
      <dgm:prSet presAssocID="{A40BA4BE-0B14-451B-9D4C-5CA23E3806E7}" presName="hierChild4" presStyleCnt="0"/>
      <dgm:spPr/>
    </dgm:pt>
    <dgm:pt modelId="{1CFCAC33-F28B-4BE4-B86C-6C7DF7DFC108}" type="pres">
      <dgm:prSet presAssocID="{69494B5E-50FF-4F1D-9825-8FDC2B68D937}" presName="Name37" presStyleLbl="parChTrans1D4" presStyleIdx="3" presStyleCnt="4"/>
      <dgm:spPr/>
    </dgm:pt>
    <dgm:pt modelId="{25D1CF56-B460-4FDF-A999-1CD2DD601421}" type="pres">
      <dgm:prSet presAssocID="{4D9F74E5-BA62-42F8-B114-413718964F39}" presName="hierRoot2" presStyleCnt="0">
        <dgm:presLayoutVars>
          <dgm:hierBranch val="init"/>
        </dgm:presLayoutVars>
      </dgm:prSet>
      <dgm:spPr/>
    </dgm:pt>
    <dgm:pt modelId="{CA0862ED-6417-4702-8D20-F6CCD60B7935}" type="pres">
      <dgm:prSet presAssocID="{4D9F74E5-BA62-42F8-B114-413718964F39}" presName="rootComposite" presStyleCnt="0"/>
      <dgm:spPr/>
    </dgm:pt>
    <dgm:pt modelId="{859E0FBF-A04C-41A7-A7EC-948BE89D5DDD}" type="pres">
      <dgm:prSet presAssocID="{4D9F74E5-BA62-42F8-B114-413718964F39}" presName="rootText" presStyleLbl="node4" presStyleIdx="3" presStyleCnt="4" custLinFactY="38067" custLinFactNeighborX="5910" custLinFactNeighborY="100000">
        <dgm:presLayoutVars>
          <dgm:chPref val="3"/>
        </dgm:presLayoutVars>
      </dgm:prSet>
      <dgm:spPr/>
    </dgm:pt>
    <dgm:pt modelId="{FF7622DF-90D1-4E9A-B146-852AC3119D49}" type="pres">
      <dgm:prSet presAssocID="{4D9F74E5-BA62-42F8-B114-413718964F39}" presName="rootConnector" presStyleLbl="node4" presStyleIdx="3" presStyleCnt="4"/>
      <dgm:spPr/>
    </dgm:pt>
    <dgm:pt modelId="{C57ED237-440C-419F-8E71-F88C904A4F40}" type="pres">
      <dgm:prSet presAssocID="{4D9F74E5-BA62-42F8-B114-413718964F39}" presName="hierChild4" presStyleCnt="0"/>
      <dgm:spPr/>
    </dgm:pt>
    <dgm:pt modelId="{03317CF8-3CFE-4E8E-B8C3-E026194D5DD8}" type="pres">
      <dgm:prSet presAssocID="{4D9F74E5-BA62-42F8-B114-413718964F39}" presName="hierChild5" presStyleCnt="0"/>
      <dgm:spPr/>
    </dgm:pt>
    <dgm:pt modelId="{1C6CC99E-B773-4ACD-9060-AC6310D71328}" type="pres">
      <dgm:prSet presAssocID="{A40BA4BE-0B14-451B-9D4C-5CA23E3806E7}" presName="hierChild5" presStyleCnt="0"/>
      <dgm:spPr/>
    </dgm:pt>
    <dgm:pt modelId="{289BC3D3-6900-4405-AF4F-92EACE1CB878}" type="pres">
      <dgm:prSet presAssocID="{23ED8CFC-81C1-428B-A966-C87223B77595}" presName="hierChild5" presStyleCnt="0"/>
      <dgm:spPr/>
    </dgm:pt>
    <dgm:pt modelId="{A6339135-5765-4A4B-AE66-1F85B67972B6}" type="pres">
      <dgm:prSet presAssocID="{EEACE347-62BD-43BF-9D33-81718D276236}" presName="Name37" presStyleLbl="parChTrans1D2" presStyleIdx="1" presStyleCnt="5"/>
      <dgm:spPr/>
    </dgm:pt>
    <dgm:pt modelId="{229BEA70-9311-4A25-9595-781F96417EA2}" type="pres">
      <dgm:prSet presAssocID="{EAA85139-F8E3-4BBA-8393-786789E6EBE2}" presName="hierRoot2" presStyleCnt="0">
        <dgm:presLayoutVars>
          <dgm:hierBranch val="init"/>
        </dgm:presLayoutVars>
      </dgm:prSet>
      <dgm:spPr/>
    </dgm:pt>
    <dgm:pt modelId="{D5E3CC9F-3F6B-4D10-A6ED-A2946E623EF2}" type="pres">
      <dgm:prSet presAssocID="{EAA85139-F8E3-4BBA-8393-786789E6EBE2}" presName="rootComposite" presStyleCnt="0"/>
      <dgm:spPr/>
    </dgm:pt>
    <dgm:pt modelId="{0865E7C1-C8C5-4628-BF91-DFD448E2F845}" type="pres">
      <dgm:prSet presAssocID="{EAA85139-F8E3-4BBA-8393-786789E6EBE2}" presName="rootText" presStyleLbl="node2" presStyleIdx="1" presStyleCnt="5">
        <dgm:presLayoutVars>
          <dgm:chPref val="3"/>
        </dgm:presLayoutVars>
      </dgm:prSet>
      <dgm:spPr/>
    </dgm:pt>
    <dgm:pt modelId="{653B3261-3336-439D-8CA1-E643C0521771}" type="pres">
      <dgm:prSet presAssocID="{EAA85139-F8E3-4BBA-8393-786789E6EBE2}" presName="rootConnector" presStyleLbl="node2" presStyleIdx="1" presStyleCnt="5"/>
      <dgm:spPr/>
    </dgm:pt>
    <dgm:pt modelId="{9BA7BDF4-D218-48E7-A497-B9F6038DBB89}" type="pres">
      <dgm:prSet presAssocID="{EAA85139-F8E3-4BBA-8393-786789E6EBE2}" presName="hierChild4" presStyleCnt="0"/>
      <dgm:spPr/>
    </dgm:pt>
    <dgm:pt modelId="{ECBC1C88-C064-4FCB-8BE5-9A9B55AE6E6A}" type="pres">
      <dgm:prSet presAssocID="{EAA85139-F8E3-4BBA-8393-786789E6EBE2}" presName="hierChild5" presStyleCnt="0"/>
      <dgm:spPr/>
    </dgm:pt>
    <dgm:pt modelId="{9212C7B4-A036-482B-A3D9-AA773E264725}" type="pres">
      <dgm:prSet presAssocID="{814D8EC5-A029-4C0B-8818-7679B1066622}" presName="Name37" presStyleLbl="parChTrans1D2" presStyleIdx="2" presStyleCnt="5"/>
      <dgm:spPr/>
    </dgm:pt>
    <dgm:pt modelId="{AD74046B-5360-4517-A12C-9F42201B4D9B}" type="pres">
      <dgm:prSet presAssocID="{D3EAD832-C3B7-4F16-9218-900EF7C01B26}" presName="hierRoot2" presStyleCnt="0">
        <dgm:presLayoutVars>
          <dgm:hierBranch val="init"/>
        </dgm:presLayoutVars>
      </dgm:prSet>
      <dgm:spPr/>
    </dgm:pt>
    <dgm:pt modelId="{3BB6078C-1922-4E8B-B257-10DF6457F419}" type="pres">
      <dgm:prSet presAssocID="{D3EAD832-C3B7-4F16-9218-900EF7C01B26}" presName="rootComposite" presStyleCnt="0"/>
      <dgm:spPr/>
    </dgm:pt>
    <dgm:pt modelId="{7AA36B74-A52B-45E3-A0CB-60087D0C2443}" type="pres">
      <dgm:prSet presAssocID="{D3EAD832-C3B7-4F16-9218-900EF7C01B26}" presName="rootText" presStyleLbl="node2" presStyleIdx="2" presStyleCnt="5">
        <dgm:presLayoutVars>
          <dgm:chPref val="3"/>
        </dgm:presLayoutVars>
      </dgm:prSet>
      <dgm:spPr/>
    </dgm:pt>
    <dgm:pt modelId="{A9BC85F3-FCB6-4CF0-8CCC-4C4CB663CFB9}" type="pres">
      <dgm:prSet presAssocID="{D3EAD832-C3B7-4F16-9218-900EF7C01B26}" presName="rootConnector" presStyleLbl="node2" presStyleIdx="2" presStyleCnt="5"/>
      <dgm:spPr/>
    </dgm:pt>
    <dgm:pt modelId="{2F13A907-A147-4CF6-A78E-ACFBD33DEF94}" type="pres">
      <dgm:prSet presAssocID="{D3EAD832-C3B7-4F16-9218-900EF7C01B26}" presName="hierChild4" presStyleCnt="0"/>
      <dgm:spPr/>
    </dgm:pt>
    <dgm:pt modelId="{4B3C8E36-C582-44A1-BD1F-A44F180DCADF}" type="pres">
      <dgm:prSet presAssocID="{D3EAD832-C3B7-4F16-9218-900EF7C01B26}" presName="hierChild5" presStyleCnt="0"/>
      <dgm:spPr/>
    </dgm:pt>
    <dgm:pt modelId="{83E92D29-5D87-4FBD-92AC-2EEFA23E617A}" type="pres">
      <dgm:prSet presAssocID="{38CB51C5-3562-4000-A3D7-91940DD857E4}" presName="Name37" presStyleLbl="parChTrans1D2" presStyleIdx="3" presStyleCnt="5"/>
      <dgm:spPr/>
    </dgm:pt>
    <dgm:pt modelId="{8473ACC8-048A-42E7-AFE9-979DD9A621A4}" type="pres">
      <dgm:prSet presAssocID="{720A84F5-A8C3-42D6-9F6F-4D2126BBBA83}" presName="hierRoot2" presStyleCnt="0">
        <dgm:presLayoutVars>
          <dgm:hierBranch val="init"/>
        </dgm:presLayoutVars>
      </dgm:prSet>
      <dgm:spPr/>
    </dgm:pt>
    <dgm:pt modelId="{420094F4-BAA9-40AE-B319-FA30DFAA258F}" type="pres">
      <dgm:prSet presAssocID="{720A84F5-A8C3-42D6-9F6F-4D2126BBBA83}" presName="rootComposite" presStyleCnt="0"/>
      <dgm:spPr/>
    </dgm:pt>
    <dgm:pt modelId="{8164BF52-63BB-40C9-A999-DB74F871BBE3}" type="pres">
      <dgm:prSet presAssocID="{720A84F5-A8C3-42D6-9F6F-4D2126BBBA83}" presName="rootText" presStyleLbl="node2" presStyleIdx="3" presStyleCnt="5">
        <dgm:presLayoutVars>
          <dgm:chPref val="3"/>
        </dgm:presLayoutVars>
      </dgm:prSet>
      <dgm:spPr/>
    </dgm:pt>
    <dgm:pt modelId="{3AABA5AD-67FB-4A5E-84CC-23B186557FB6}" type="pres">
      <dgm:prSet presAssocID="{720A84F5-A8C3-42D6-9F6F-4D2126BBBA83}" presName="rootConnector" presStyleLbl="node2" presStyleIdx="3" presStyleCnt="5"/>
      <dgm:spPr/>
    </dgm:pt>
    <dgm:pt modelId="{3D9DE625-E69C-4266-8428-D1316D2ED9B0}" type="pres">
      <dgm:prSet presAssocID="{720A84F5-A8C3-42D6-9F6F-4D2126BBBA83}" presName="hierChild4" presStyleCnt="0"/>
      <dgm:spPr/>
    </dgm:pt>
    <dgm:pt modelId="{D6127A26-2E68-4B06-B9AD-3C2A370A55C7}" type="pres">
      <dgm:prSet presAssocID="{720A84F5-A8C3-42D6-9F6F-4D2126BBBA83}" presName="hierChild5" presStyleCnt="0"/>
      <dgm:spPr/>
    </dgm:pt>
    <dgm:pt modelId="{00268D7A-8C38-48B0-961F-1FD70B54E78D}" type="pres">
      <dgm:prSet presAssocID="{D7203144-6EEB-4CE8-8887-D45809D8E0A2}" presName="Name37" presStyleLbl="parChTrans1D2" presStyleIdx="4" presStyleCnt="5"/>
      <dgm:spPr/>
    </dgm:pt>
    <dgm:pt modelId="{29B2F634-9C26-476A-86AF-8EC37649FEFD}" type="pres">
      <dgm:prSet presAssocID="{904C68A8-6EB1-4096-BAE2-F8597E3545F7}" presName="hierRoot2" presStyleCnt="0">
        <dgm:presLayoutVars>
          <dgm:hierBranch val="init"/>
        </dgm:presLayoutVars>
      </dgm:prSet>
      <dgm:spPr/>
    </dgm:pt>
    <dgm:pt modelId="{3193FDBC-03F9-4399-A776-07F180B82236}" type="pres">
      <dgm:prSet presAssocID="{904C68A8-6EB1-4096-BAE2-F8597E3545F7}" presName="rootComposite" presStyleCnt="0"/>
      <dgm:spPr/>
    </dgm:pt>
    <dgm:pt modelId="{2A9C3C54-5B58-49BD-BB0F-7BD286DF6C57}" type="pres">
      <dgm:prSet presAssocID="{904C68A8-6EB1-4096-BAE2-F8597E3545F7}" presName="rootText" presStyleLbl="node2" presStyleIdx="4" presStyleCnt="5">
        <dgm:presLayoutVars>
          <dgm:chPref val="3"/>
        </dgm:presLayoutVars>
      </dgm:prSet>
      <dgm:spPr/>
    </dgm:pt>
    <dgm:pt modelId="{75F1D8B1-431B-40B6-B7D0-99CA4BAD291D}" type="pres">
      <dgm:prSet presAssocID="{904C68A8-6EB1-4096-BAE2-F8597E3545F7}" presName="rootConnector" presStyleLbl="node2" presStyleIdx="4" presStyleCnt="5"/>
      <dgm:spPr/>
    </dgm:pt>
    <dgm:pt modelId="{AAD0481A-6EA6-4AC8-8F38-35667754CC35}" type="pres">
      <dgm:prSet presAssocID="{904C68A8-6EB1-4096-BAE2-F8597E3545F7}" presName="hierChild4" presStyleCnt="0"/>
      <dgm:spPr/>
    </dgm:pt>
    <dgm:pt modelId="{C89F1E55-C151-4630-AECB-8DE73B34F6E0}" type="pres">
      <dgm:prSet presAssocID="{904C68A8-6EB1-4096-BAE2-F8597E3545F7}" presName="hierChild5" presStyleCnt="0"/>
      <dgm:spPr/>
    </dgm:pt>
    <dgm:pt modelId="{7750E4D9-DB4C-4E8F-8CE6-4C4B89A1ECFF}" type="pres">
      <dgm:prSet presAssocID="{BE108FD2-3A0C-4907-9ADF-8F5A07EE0C01}" presName="hierChild3" presStyleCnt="0"/>
      <dgm:spPr/>
    </dgm:pt>
  </dgm:ptLst>
  <dgm:cxnLst>
    <dgm:cxn modelId="{2B870502-9B1B-4585-95F4-A123DF81CA0B}" type="presOf" srcId="{345A7164-9B84-4772-B53F-578508EB30FA}" destId="{3A5A8D36-8B03-42BF-B627-CE87AF11EC22}" srcOrd="0" destOrd="0" presId="urn:microsoft.com/office/officeart/2005/8/layout/orgChart1"/>
    <dgm:cxn modelId="{E0FCF806-74F9-4621-B431-0B01D73D49BD}" type="presOf" srcId="{A8B36F11-EDFA-448E-ACCA-F4E3B0ABB64C}" destId="{89C82BCD-3E8F-4B3E-ADEB-9F0B68EEFC29}" srcOrd="0" destOrd="0" presId="urn:microsoft.com/office/officeart/2005/8/layout/orgChart1"/>
    <dgm:cxn modelId="{EC25550A-E9CC-45FC-88B3-54160EF44D16}" srcId="{BE108FD2-3A0C-4907-9ADF-8F5A07EE0C01}" destId="{23ED8CFC-81C1-428B-A966-C87223B77595}" srcOrd="0" destOrd="0" parTransId="{98738C59-5ADF-4431-8B3C-5AAD82547238}" sibTransId="{F2759905-CCCC-465E-9841-8A119BD49559}"/>
    <dgm:cxn modelId="{93AFF50C-E062-49F7-995A-5DE16FD8AE02}" type="presOf" srcId="{D7203144-6EEB-4CE8-8887-D45809D8E0A2}" destId="{00268D7A-8C38-48B0-961F-1FD70B54E78D}" srcOrd="0" destOrd="0" presId="urn:microsoft.com/office/officeart/2005/8/layout/orgChart1"/>
    <dgm:cxn modelId="{EBFE660E-8517-408C-A626-E3D07E016552}" type="presOf" srcId="{04D28262-27D4-4A96-8A9B-E9CC736D7103}" destId="{BF4BB1AA-4DBE-4507-B279-84DB611DE3D9}" srcOrd="0" destOrd="0" presId="urn:microsoft.com/office/officeart/2005/8/layout/orgChart1"/>
    <dgm:cxn modelId="{A3CDB313-A0F8-4032-9ADB-C55809D3267A}" type="presOf" srcId="{04D28262-27D4-4A96-8A9B-E9CC736D7103}" destId="{B662C18C-FD65-4B35-81DA-0AA07988768D}" srcOrd="1" destOrd="0" presId="urn:microsoft.com/office/officeart/2005/8/layout/orgChart1"/>
    <dgm:cxn modelId="{B8D4DA16-B6C4-4121-B023-F170713D6AA7}" srcId="{BE108FD2-3A0C-4907-9ADF-8F5A07EE0C01}" destId="{720A84F5-A8C3-42D6-9F6F-4D2126BBBA83}" srcOrd="3" destOrd="0" parTransId="{38CB51C5-3562-4000-A3D7-91940DD857E4}" sibTransId="{4AB5C324-30D6-4C82-8CB8-34ED816646D6}"/>
    <dgm:cxn modelId="{4A59A226-0298-4AF3-B064-BD119CE452CD}" srcId="{A40BA4BE-0B14-451B-9D4C-5CA23E3806E7}" destId="{4D9F74E5-BA62-42F8-B114-413718964F39}" srcOrd="0" destOrd="0" parTransId="{69494B5E-50FF-4F1D-9825-8FDC2B68D937}" sibTransId="{0B3E1B75-E236-4303-926D-5CA3242079CA}"/>
    <dgm:cxn modelId="{7F5EAC2E-203C-401D-9E50-A6FA2FDA94DA}" srcId="{23ED8CFC-81C1-428B-A966-C87223B77595}" destId="{1D8AAA2E-60A5-4FA8-BB8D-CF032DC80AE2}" srcOrd="2" destOrd="0" parTransId="{D0B3D3DE-7CB5-4F0F-B82E-AE744B2CBB75}" sibTransId="{1C18BB0E-00C4-4AB9-8E94-E571BD89AF5C}"/>
    <dgm:cxn modelId="{F57BDE30-D8B2-49AF-BEC6-7140ED8E3F91}" type="presOf" srcId="{01E09FA3-99A2-4DF9-9321-D18EE72FF41D}" destId="{96EAEC2D-51A0-4D58-8D8D-ED695F4677BC}" srcOrd="0" destOrd="0" presId="urn:microsoft.com/office/officeart/2005/8/layout/orgChart1"/>
    <dgm:cxn modelId="{324B2936-BE62-4603-BA2D-2C0FDE9815D0}" type="presOf" srcId="{EAA85139-F8E3-4BBA-8393-786789E6EBE2}" destId="{0865E7C1-C8C5-4628-BF91-DFD448E2F845}" srcOrd="0" destOrd="0" presId="urn:microsoft.com/office/officeart/2005/8/layout/orgChart1"/>
    <dgm:cxn modelId="{373ACC38-5177-4B97-9AB1-80E17CA92893}" type="presOf" srcId="{2046EEBA-982B-4301-8241-2803CAE760D1}" destId="{8AF5AB59-B06C-46A8-910F-A9FC22C138D6}" srcOrd="1" destOrd="0" presId="urn:microsoft.com/office/officeart/2005/8/layout/orgChart1"/>
    <dgm:cxn modelId="{148CFB39-DBFE-46A9-88EB-9741985B287B}" type="presOf" srcId="{A53E9160-5CAA-4D15-A8FF-26C7A1BB68F3}" destId="{1FB34EFA-170E-4CEC-8A83-94E6D3D1104A}" srcOrd="0" destOrd="0" presId="urn:microsoft.com/office/officeart/2005/8/layout/orgChart1"/>
    <dgm:cxn modelId="{8C83143A-D9C9-40BB-8C8F-9FD75F91FBC2}" type="presOf" srcId="{EAA85139-F8E3-4BBA-8393-786789E6EBE2}" destId="{653B3261-3336-439D-8CA1-E643C0521771}" srcOrd="1" destOrd="0" presId="urn:microsoft.com/office/officeart/2005/8/layout/orgChart1"/>
    <dgm:cxn modelId="{99444B3B-7A2F-4A8E-9C27-18483C25B821}" type="presOf" srcId="{23ED8CFC-81C1-428B-A966-C87223B77595}" destId="{4DF62BC4-0040-4565-93E9-FE04334E95F7}" srcOrd="1" destOrd="0" presId="urn:microsoft.com/office/officeart/2005/8/layout/orgChart1"/>
    <dgm:cxn modelId="{EAAE665D-9024-4C8F-B311-38B834CA51BC}" type="presOf" srcId="{814D8EC5-A029-4C0B-8818-7679B1066622}" destId="{9212C7B4-A036-482B-A3D9-AA773E264725}" srcOrd="0" destOrd="0" presId="urn:microsoft.com/office/officeart/2005/8/layout/orgChart1"/>
    <dgm:cxn modelId="{0C78355E-5FCC-4414-B32C-F9F7062C9370}" type="presOf" srcId="{1D8AAA2E-60A5-4FA8-BB8D-CF032DC80AE2}" destId="{F0C0DE88-8657-4FB8-84E9-EE1A7E96A7BA}" srcOrd="1" destOrd="0" presId="urn:microsoft.com/office/officeart/2005/8/layout/orgChart1"/>
    <dgm:cxn modelId="{35E9D75E-5A88-4170-A161-FA2BF2A5495D}" srcId="{23ED8CFC-81C1-428B-A966-C87223B77595}" destId="{A40BA4BE-0B14-451B-9D4C-5CA23E3806E7}" srcOrd="3" destOrd="0" parTransId="{1D8C16E0-4599-455F-94C1-B94B89884C13}" sibTransId="{9A41387E-C038-4649-B1C0-34385333535C}"/>
    <dgm:cxn modelId="{E7636A60-3B6B-48E7-8BF9-6E8672DDA6F4}" srcId="{A53E9160-5CAA-4D15-A8FF-26C7A1BB68F3}" destId="{2046EEBA-982B-4301-8241-2803CAE760D1}" srcOrd="0" destOrd="0" parTransId="{345A7164-9B84-4772-B53F-578508EB30FA}" sibTransId="{0603BC87-DD29-460F-B651-36077527D28A}"/>
    <dgm:cxn modelId="{7C1AEA61-29E9-49FF-930C-6321EBBC0A0D}" type="presOf" srcId="{720A84F5-A8C3-42D6-9F6F-4D2126BBBA83}" destId="{3AABA5AD-67FB-4A5E-84CC-23B186557FB6}" srcOrd="1" destOrd="0" presId="urn:microsoft.com/office/officeart/2005/8/layout/orgChart1"/>
    <dgm:cxn modelId="{06989445-AAE0-442C-8687-02557B085975}" type="presOf" srcId="{D0B3D3DE-7CB5-4F0F-B82E-AE744B2CBB75}" destId="{52FD661B-2D3B-49BB-9A28-EEFCCA35AD9B}" srcOrd="0" destOrd="0" presId="urn:microsoft.com/office/officeart/2005/8/layout/orgChart1"/>
    <dgm:cxn modelId="{E541A665-FABF-44BA-A858-C774A1EBC96C}" srcId="{1D8AAA2E-60A5-4FA8-BB8D-CF032DC80AE2}" destId="{01E09FA3-99A2-4DF9-9321-D18EE72FF41D}" srcOrd="0" destOrd="0" parTransId="{61B097B9-80ED-4819-BEC2-3D1040F26A3F}" sibTransId="{BE05A8A2-7299-4B23-A3B7-281AB018F750}"/>
    <dgm:cxn modelId="{A1DD8D67-B5BD-4001-8762-8A11B838B32E}" type="presOf" srcId="{D3EAD832-C3B7-4F16-9218-900EF7C01B26}" destId="{7AA36B74-A52B-45E3-A0CB-60087D0C2443}" srcOrd="0" destOrd="0" presId="urn:microsoft.com/office/officeart/2005/8/layout/orgChart1"/>
    <dgm:cxn modelId="{F3831569-8A20-4058-A64B-4268E5D0EDBB}" type="presOf" srcId="{904C68A8-6EB1-4096-BAE2-F8597E3545F7}" destId="{2A9C3C54-5B58-49BD-BB0F-7BD286DF6C57}" srcOrd="0" destOrd="0" presId="urn:microsoft.com/office/officeart/2005/8/layout/orgChart1"/>
    <dgm:cxn modelId="{F608F54C-3AAD-4057-8B3B-38FCFBB65B31}" srcId="{BE108FD2-3A0C-4907-9ADF-8F5A07EE0C01}" destId="{904C68A8-6EB1-4096-BAE2-F8597E3545F7}" srcOrd="4" destOrd="0" parTransId="{D7203144-6EEB-4CE8-8887-D45809D8E0A2}" sibTransId="{BD1078CA-3716-4737-9B2C-0A4BF3F70586}"/>
    <dgm:cxn modelId="{4BCF8B83-3C18-45A5-B5BA-515474ECA790}" type="presOf" srcId="{01E09FA3-99A2-4DF9-9321-D18EE72FF41D}" destId="{6028E1F5-EAEC-42CF-AD1E-785122FD505B}" srcOrd="1" destOrd="0" presId="urn:microsoft.com/office/officeart/2005/8/layout/orgChart1"/>
    <dgm:cxn modelId="{C166CB86-4844-48C3-9DFE-F65E726C3D43}" type="presOf" srcId="{98738C59-5ADF-4431-8B3C-5AAD82547238}" destId="{340F67C4-F267-4C22-B5DF-B7550B5CA0DF}" srcOrd="0" destOrd="0" presId="urn:microsoft.com/office/officeart/2005/8/layout/orgChart1"/>
    <dgm:cxn modelId="{89C01690-30C1-4A0C-A3CC-B8E39A49CDE2}" type="presOf" srcId="{2046EEBA-982B-4301-8241-2803CAE760D1}" destId="{43782A98-1838-41BA-B5F4-3F6A5D3A4643}" srcOrd="0" destOrd="0" presId="urn:microsoft.com/office/officeart/2005/8/layout/orgChart1"/>
    <dgm:cxn modelId="{8C98EB91-9C5B-45BF-BEF5-E0EEFD77DCC7}" srcId="{23ED8CFC-81C1-428B-A966-C87223B77595}" destId="{A53E9160-5CAA-4D15-A8FF-26C7A1BB68F3}" srcOrd="0" destOrd="0" parTransId="{F068F1B7-D50F-4E19-AF22-0D439665847E}" sibTransId="{439329C8-3E8D-44D1-80F8-FAF1444C6D0A}"/>
    <dgm:cxn modelId="{EDB88597-9630-4CB6-A2CD-903B5DF41076}" srcId="{7B00E043-875A-4A60-A7BD-2775E65F19B2}" destId="{BE108FD2-3A0C-4907-9ADF-8F5A07EE0C01}" srcOrd="0" destOrd="0" parTransId="{8F48B282-2873-4CA3-BE10-C61BCD1E452A}" sibTransId="{5225EDEF-6573-4E8D-A1EA-25F884A5E013}"/>
    <dgm:cxn modelId="{0A31A697-3AEE-4FAD-9723-4E07816C5A78}" srcId="{BE108FD2-3A0C-4907-9ADF-8F5A07EE0C01}" destId="{D3EAD832-C3B7-4F16-9218-900EF7C01B26}" srcOrd="2" destOrd="0" parTransId="{814D8EC5-A029-4C0B-8818-7679B1066622}" sibTransId="{ACEA1F23-050F-4A7E-81C4-B8661588BC3A}"/>
    <dgm:cxn modelId="{C844809A-B3FA-4012-95AA-B491AFA8C89A}" type="presOf" srcId="{720A84F5-A8C3-42D6-9F6F-4D2126BBBA83}" destId="{8164BF52-63BB-40C9-A999-DB74F871BBE3}" srcOrd="0" destOrd="0" presId="urn:microsoft.com/office/officeart/2005/8/layout/orgChart1"/>
    <dgm:cxn modelId="{BE00F89A-7054-40B2-B7F9-24CF6451E451}" type="presOf" srcId="{819E766C-2ED8-47CA-A45D-E5D90E97075D}" destId="{B8429EAD-8128-43ED-AC95-1F16B0237B6E}" srcOrd="0" destOrd="0" presId="urn:microsoft.com/office/officeart/2005/8/layout/orgChart1"/>
    <dgm:cxn modelId="{A71B1F9D-32AD-402B-B8CF-16054B9C31C3}" type="presOf" srcId="{4D9F74E5-BA62-42F8-B114-413718964F39}" destId="{FF7622DF-90D1-4E9A-B146-852AC3119D49}" srcOrd="1" destOrd="0" presId="urn:microsoft.com/office/officeart/2005/8/layout/orgChart1"/>
    <dgm:cxn modelId="{DBC0889D-68DF-4F66-8218-13736751E2A0}" type="presOf" srcId="{1D8AAA2E-60A5-4FA8-BB8D-CF032DC80AE2}" destId="{2475995F-D1F8-4107-A258-730E90BCD88D}" srcOrd="0" destOrd="0" presId="urn:microsoft.com/office/officeart/2005/8/layout/orgChart1"/>
    <dgm:cxn modelId="{4D06ABA5-EBF3-4C02-8495-FC5108C182DA}" type="presOf" srcId="{38CB51C5-3562-4000-A3D7-91940DD857E4}" destId="{83E92D29-5D87-4FBD-92AC-2EEFA23E617A}" srcOrd="0" destOrd="0" presId="urn:microsoft.com/office/officeart/2005/8/layout/orgChart1"/>
    <dgm:cxn modelId="{771FC8A5-BC27-4308-A0A4-18033C44106B}" type="presOf" srcId="{BE108FD2-3A0C-4907-9ADF-8F5A07EE0C01}" destId="{7A853995-3DC4-4A23-BB8E-35D3332D16E6}" srcOrd="1" destOrd="0" presId="urn:microsoft.com/office/officeart/2005/8/layout/orgChart1"/>
    <dgm:cxn modelId="{3FAA9AA7-60F6-46CD-A4F5-D5E03A02793B}" type="presOf" srcId="{A40BA4BE-0B14-451B-9D4C-5CA23E3806E7}" destId="{0857AC9D-95D4-4A52-9D1C-207F7D093922}" srcOrd="1" destOrd="0" presId="urn:microsoft.com/office/officeart/2005/8/layout/orgChart1"/>
    <dgm:cxn modelId="{47DB8AB3-3E00-409F-8DC6-8EA6E7A4A41E}" srcId="{04D28262-27D4-4A96-8A9B-E9CC736D7103}" destId="{A8B36F11-EDFA-448E-ACCA-F4E3B0ABB64C}" srcOrd="0" destOrd="0" parTransId="{819E766C-2ED8-47CA-A45D-E5D90E97075D}" sibTransId="{D4A2B17E-4084-4B25-B047-343383A7F61B}"/>
    <dgm:cxn modelId="{83DD4FB4-20F4-49C0-930D-DADABBD39A2A}" type="presOf" srcId="{61B097B9-80ED-4819-BEC2-3D1040F26A3F}" destId="{91D23516-BC80-4A96-83F0-C5CFAB70308E}" srcOrd="0" destOrd="0" presId="urn:microsoft.com/office/officeart/2005/8/layout/orgChart1"/>
    <dgm:cxn modelId="{54F436BC-DA84-498C-9CF5-9FBF0A62103D}" type="presOf" srcId="{7B00E043-875A-4A60-A7BD-2775E65F19B2}" destId="{F9823C52-5345-410C-9F4A-613A5C21F0E8}" srcOrd="0" destOrd="0" presId="urn:microsoft.com/office/officeart/2005/8/layout/orgChart1"/>
    <dgm:cxn modelId="{543477C3-9AA9-4A53-A048-F157D4AF2FDB}" type="presOf" srcId="{A8B36F11-EDFA-448E-ACCA-F4E3B0ABB64C}" destId="{A616E4E2-6302-4B13-9A4D-0A15F519358E}" srcOrd="1" destOrd="0" presId="urn:microsoft.com/office/officeart/2005/8/layout/orgChart1"/>
    <dgm:cxn modelId="{68CDD8C3-41D1-4BBD-9F32-721B8EC1A105}" type="presOf" srcId="{904C68A8-6EB1-4096-BAE2-F8597E3545F7}" destId="{75F1D8B1-431B-40B6-B7D0-99CA4BAD291D}" srcOrd="1" destOrd="0" presId="urn:microsoft.com/office/officeart/2005/8/layout/orgChart1"/>
    <dgm:cxn modelId="{3F21E5CC-7E08-4DE7-9110-5172B08073A2}" type="presOf" srcId="{D3EAD832-C3B7-4F16-9218-900EF7C01B26}" destId="{A9BC85F3-FCB6-4CF0-8CCC-4C4CB663CFB9}" srcOrd="1" destOrd="0" presId="urn:microsoft.com/office/officeart/2005/8/layout/orgChart1"/>
    <dgm:cxn modelId="{1DDF29D4-27DF-43BA-84F9-E67FE9641B3C}" type="presOf" srcId="{BE108FD2-3A0C-4907-9ADF-8F5A07EE0C01}" destId="{B5EF23FE-E97C-4F8C-B341-37F1FEA0D4DD}" srcOrd="0" destOrd="0" presId="urn:microsoft.com/office/officeart/2005/8/layout/orgChart1"/>
    <dgm:cxn modelId="{F33BE4D9-AA90-4DE8-9535-77548F995C8B}" type="presOf" srcId="{1D8C16E0-4599-455F-94C1-B94B89884C13}" destId="{17103C69-0302-483E-83B6-DDD01D942D32}" srcOrd="0" destOrd="0" presId="urn:microsoft.com/office/officeart/2005/8/layout/orgChart1"/>
    <dgm:cxn modelId="{8520C2DA-CF19-4355-8D66-FF39A8A90970}" type="presOf" srcId="{A40BA4BE-0B14-451B-9D4C-5CA23E3806E7}" destId="{8626661B-01F0-4DF6-819E-869027AAF714}" srcOrd="0" destOrd="0" presId="urn:microsoft.com/office/officeart/2005/8/layout/orgChart1"/>
    <dgm:cxn modelId="{74B077DD-C98B-4ECD-9A27-8215910CE3D9}" srcId="{23ED8CFC-81C1-428B-A966-C87223B77595}" destId="{04D28262-27D4-4A96-8A9B-E9CC736D7103}" srcOrd="1" destOrd="0" parTransId="{3CB4F370-1677-4FF7-A431-6F134EE8D01A}" sibTransId="{80966A06-83D7-4147-A13E-1A0543822CC6}"/>
    <dgm:cxn modelId="{955024DE-438D-4D36-8F5E-CD976A49459B}" type="presOf" srcId="{69494B5E-50FF-4F1D-9825-8FDC2B68D937}" destId="{1CFCAC33-F28B-4BE4-B86C-6C7DF7DFC108}" srcOrd="0" destOrd="0" presId="urn:microsoft.com/office/officeart/2005/8/layout/orgChart1"/>
    <dgm:cxn modelId="{37ECAEE0-FD61-4712-A0D0-6C7E879849F2}" type="presOf" srcId="{EEACE347-62BD-43BF-9D33-81718D276236}" destId="{A6339135-5765-4A4B-AE66-1F85B67972B6}" srcOrd="0" destOrd="0" presId="urn:microsoft.com/office/officeart/2005/8/layout/orgChart1"/>
    <dgm:cxn modelId="{40C716EB-E526-438B-9DAD-7A42BF54C3D2}" type="presOf" srcId="{23ED8CFC-81C1-428B-A966-C87223B77595}" destId="{7A0B9906-977A-4B42-942C-11DDBAD50226}" srcOrd="0" destOrd="0" presId="urn:microsoft.com/office/officeart/2005/8/layout/orgChart1"/>
    <dgm:cxn modelId="{ADEBC7F6-850C-4005-82F6-4994ADAD795E}" type="presOf" srcId="{4D9F74E5-BA62-42F8-B114-413718964F39}" destId="{859E0FBF-A04C-41A7-A7EC-948BE89D5DDD}" srcOrd="0" destOrd="0" presId="urn:microsoft.com/office/officeart/2005/8/layout/orgChart1"/>
    <dgm:cxn modelId="{3C7D47F7-6CB2-4F43-9C04-E83788E602E9}" srcId="{BE108FD2-3A0C-4907-9ADF-8F5A07EE0C01}" destId="{EAA85139-F8E3-4BBA-8393-786789E6EBE2}" srcOrd="1" destOrd="0" parTransId="{EEACE347-62BD-43BF-9D33-81718D276236}" sibTransId="{2C92DF4F-6112-414F-B5F1-B34720944213}"/>
    <dgm:cxn modelId="{402BC0F7-8792-4617-A190-6AFFCA2AEEEF}" type="presOf" srcId="{A53E9160-5CAA-4D15-A8FF-26C7A1BB68F3}" destId="{13EE620A-8E91-4933-90A0-B10DD4BFB838}" srcOrd="1" destOrd="0" presId="urn:microsoft.com/office/officeart/2005/8/layout/orgChart1"/>
    <dgm:cxn modelId="{BD48EFF9-93CC-48D7-BF29-18F1B2791E67}" type="presOf" srcId="{F068F1B7-D50F-4E19-AF22-0D439665847E}" destId="{3D65BB9A-E472-4012-9432-AF20FB359CF9}" srcOrd="0" destOrd="0" presId="urn:microsoft.com/office/officeart/2005/8/layout/orgChart1"/>
    <dgm:cxn modelId="{F8E020FF-D75D-4EB6-89AB-8B4B865909B6}" type="presOf" srcId="{3CB4F370-1677-4FF7-A431-6F134EE8D01A}" destId="{F4372CDA-AFB5-4451-92EF-ECBD1813E030}" srcOrd="0" destOrd="0" presId="urn:microsoft.com/office/officeart/2005/8/layout/orgChart1"/>
    <dgm:cxn modelId="{86AA19A6-0908-4CA7-8EFE-D0EDCBFD9C39}" type="presParOf" srcId="{F9823C52-5345-410C-9F4A-613A5C21F0E8}" destId="{713AD229-56A2-4412-94A8-192ED355CA95}" srcOrd="0" destOrd="0" presId="urn:microsoft.com/office/officeart/2005/8/layout/orgChart1"/>
    <dgm:cxn modelId="{22AE6C1F-9EBC-4DE3-A2CC-D7A378F2C73F}" type="presParOf" srcId="{713AD229-56A2-4412-94A8-192ED355CA95}" destId="{7D7AEAE3-F839-473A-B6BE-671413977CFC}" srcOrd="0" destOrd="0" presId="urn:microsoft.com/office/officeart/2005/8/layout/orgChart1"/>
    <dgm:cxn modelId="{AFA4C6BE-F754-479E-8CED-347C4781170F}" type="presParOf" srcId="{7D7AEAE3-F839-473A-B6BE-671413977CFC}" destId="{B5EF23FE-E97C-4F8C-B341-37F1FEA0D4DD}" srcOrd="0" destOrd="0" presId="urn:microsoft.com/office/officeart/2005/8/layout/orgChart1"/>
    <dgm:cxn modelId="{BFA19FC2-7A43-425F-B7AB-DC29E8594418}" type="presParOf" srcId="{7D7AEAE3-F839-473A-B6BE-671413977CFC}" destId="{7A853995-3DC4-4A23-BB8E-35D3332D16E6}" srcOrd="1" destOrd="0" presId="urn:microsoft.com/office/officeart/2005/8/layout/orgChart1"/>
    <dgm:cxn modelId="{5559B732-3438-4A60-B0F0-E8982415CC51}" type="presParOf" srcId="{713AD229-56A2-4412-94A8-192ED355CA95}" destId="{E9344533-571F-48FF-B221-7CE27D1FAD8F}" srcOrd="1" destOrd="0" presId="urn:microsoft.com/office/officeart/2005/8/layout/orgChart1"/>
    <dgm:cxn modelId="{C29EE5CF-D4AF-4A9F-9B5A-86D05BDBAE55}" type="presParOf" srcId="{E9344533-571F-48FF-B221-7CE27D1FAD8F}" destId="{340F67C4-F267-4C22-B5DF-B7550B5CA0DF}" srcOrd="0" destOrd="0" presId="urn:microsoft.com/office/officeart/2005/8/layout/orgChart1"/>
    <dgm:cxn modelId="{75F73382-12C9-46FB-957E-AA88D06329F4}" type="presParOf" srcId="{E9344533-571F-48FF-B221-7CE27D1FAD8F}" destId="{3B530F0C-F368-430D-9728-F0951AF79F67}" srcOrd="1" destOrd="0" presId="urn:microsoft.com/office/officeart/2005/8/layout/orgChart1"/>
    <dgm:cxn modelId="{08BF8931-6776-4DEC-AB87-1BF010853954}" type="presParOf" srcId="{3B530F0C-F368-430D-9728-F0951AF79F67}" destId="{0541DB2A-74CC-40F8-A4C9-221E4BDDBC0F}" srcOrd="0" destOrd="0" presId="urn:microsoft.com/office/officeart/2005/8/layout/orgChart1"/>
    <dgm:cxn modelId="{F6A8955A-C104-49CD-B4B2-FC60CC315B81}" type="presParOf" srcId="{0541DB2A-74CC-40F8-A4C9-221E4BDDBC0F}" destId="{7A0B9906-977A-4B42-942C-11DDBAD50226}" srcOrd="0" destOrd="0" presId="urn:microsoft.com/office/officeart/2005/8/layout/orgChart1"/>
    <dgm:cxn modelId="{8092F9FE-9748-47EC-87B7-6000A3D72AED}" type="presParOf" srcId="{0541DB2A-74CC-40F8-A4C9-221E4BDDBC0F}" destId="{4DF62BC4-0040-4565-93E9-FE04334E95F7}" srcOrd="1" destOrd="0" presId="urn:microsoft.com/office/officeart/2005/8/layout/orgChart1"/>
    <dgm:cxn modelId="{DCEFD348-2E06-4C57-B3A3-53352E603036}" type="presParOf" srcId="{3B530F0C-F368-430D-9728-F0951AF79F67}" destId="{ADE0A641-D530-4348-A4C3-AE6295B7BFB2}" srcOrd="1" destOrd="0" presId="urn:microsoft.com/office/officeart/2005/8/layout/orgChart1"/>
    <dgm:cxn modelId="{6D83250B-009A-4FC7-B74B-4C52BC262B97}" type="presParOf" srcId="{ADE0A641-D530-4348-A4C3-AE6295B7BFB2}" destId="{3D65BB9A-E472-4012-9432-AF20FB359CF9}" srcOrd="0" destOrd="0" presId="urn:microsoft.com/office/officeart/2005/8/layout/orgChart1"/>
    <dgm:cxn modelId="{93CD3413-2E29-4DF5-A499-23673208D1A3}" type="presParOf" srcId="{ADE0A641-D530-4348-A4C3-AE6295B7BFB2}" destId="{0EEB9817-48D2-459A-BF87-6EE7F6749BC8}" srcOrd="1" destOrd="0" presId="urn:microsoft.com/office/officeart/2005/8/layout/orgChart1"/>
    <dgm:cxn modelId="{1197B74C-83EE-488D-B6A9-CEC357CE1026}" type="presParOf" srcId="{0EEB9817-48D2-459A-BF87-6EE7F6749BC8}" destId="{507DE141-A108-4466-A9FC-498E5E6CE6FF}" srcOrd="0" destOrd="0" presId="urn:microsoft.com/office/officeart/2005/8/layout/orgChart1"/>
    <dgm:cxn modelId="{AF7C290E-9C7A-40D7-8949-B91FFC560635}" type="presParOf" srcId="{507DE141-A108-4466-A9FC-498E5E6CE6FF}" destId="{1FB34EFA-170E-4CEC-8A83-94E6D3D1104A}" srcOrd="0" destOrd="0" presId="urn:microsoft.com/office/officeart/2005/8/layout/orgChart1"/>
    <dgm:cxn modelId="{E358C183-1DCE-4EAB-BBAD-AAE3A07CB97F}" type="presParOf" srcId="{507DE141-A108-4466-A9FC-498E5E6CE6FF}" destId="{13EE620A-8E91-4933-90A0-B10DD4BFB838}" srcOrd="1" destOrd="0" presId="urn:microsoft.com/office/officeart/2005/8/layout/orgChart1"/>
    <dgm:cxn modelId="{7C297B48-1408-40E0-B7A4-EC7871FCC10C}" type="presParOf" srcId="{0EEB9817-48D2-459A-BF87-6EE7F6749BC8}" destId="{F2590A2E-914F-42F0-B0E2-B8E1E522C117}" srcOrd="1" destOrd="0" presId="urn:microsoft.com/office/officeart/2005/8/layout/orgChart1"/>
    <dgm:cxn modelId="{FFEF5EF2-0FCD-408F-8B83-56C668596EE4}" type="presParOf" srcId="{F2590A2E-914F-42F0-B0E2-B8E1E522C117}" destId="{3A5A8D36-8B03-42BF-B627-CE87AF11EC22}" srcOrd="0" destOrd="0" presId="urn:microsoft.com/office/officeart/2005/8/layout/orgChart1"/>
    <dgm:cxn modelId="{0191ED6D-BAF5-4F61-8108-7DFAF43A6DD3}" type="presParOf" srcId="{F2590A2E-914F-42F0-B0E2-B8E1E522C117}" destId="{7D182248-D391-4EEA-BCFF-9EFF4F0659C7}" srcOrd="1" destOrd="0" presId="urn:microsoft.com/office/officeart/2005/8/layout/orgChart1"/>
    <dgm:cxn modelId="{563887DB-81C3-4C46-8EA7-D4370B762CEF}" type="presParOf" srcId="{7D182248-D391-4EEA-BCFF-9EFF4F0659C7}" destId="{1D625D73-B697-4891-BA6E-54D81034BF41}" srcOrd="0" destOrd="0" presId="urn:microsoft.com/office/officeart/2005/8/layout/orgChart1"/>
    <dgm:cxn modelId="{074AB39A-3903-4BEB-B10F-CD1F3A94925D}" type="presParOf" srcId="{1D625D73-B697-4891-BA6E-54D81034BF41}" destId="{43782A98-1838-41BA-B5F4-3F6A5D3A4643}" srcOrd="0" destOrd="0" presId="urn:microsoft.com/office/officeart/2005/8/layout/orgChart1"/>
    <dgm:cxn modelId="{ADD68F58-F2DA-46D3-A2FF-AB4C31348E84}" type="presParOf" srcId="{1D625D73-B697-4891-BA6E-54D81034BF41}" destId="{8AF5AB59-B06C-46A8-910F-A9FC22C138D6}" srcOrd="1" destOrd="0" presId="urn:microsoft.com/office/officeart/2005/8/layout/orgChart1"/>
    <dgm:cxn modelId="{872C5284-5F11-454B-9229-59F30FE43F57}" type="presParOf" srcId="{7D182248-D391-4EEA-BCFF-9EFF4F0659C7}" destId="{C01AD7B7-51E8-4A3B-8D3B-5E509C0EBD14}" srcOrd="1" destOrd="0" presId="urn:microsoft.com/office/officeart/2005/8/layout/orgChart1"/>
    <dgm:cxn modelId="{DF43DE49-FFFD-4F8F-B61F-F3336FEA8956}" type="presParOf" srcId="{7D182248-D391-4EEA-BCFF-9EFF4F0659C7}" destId="{3AB739AB-CB04-4871-88F4-1806691FA6FB}" srcOrd="2" destOrd="0" presId="urn:microsoft.com/office/officeart/2005/8/layout/orgChart1"/>
    <dgm:cxn modelId="{B28F931A-8340-4FB5-A4B8-773B7E3FAFAB}" type="presParOf" srcId="{0EEB9817-48D2-459A-BF87-6EE7F6749BC8}" destId="{A440448E-AD3F-4042-8AC2-096A091EB180}" srcOrd="2" destOrd="0" presId="urn:microsoft.com/office/officeart/2005/8/layout/orgChart1"/>
    <dgm:cxn modelId="{A3D9362C-213A-4F92-B9B1-4CFE604FD488}" type="presParOf" srcId="{ADE0A641-D530-4348-A4C3-AE6295B7BFB2}" destId="{F4372CDA-AFB5-4451-92EF-ECBD1813E030}" srcOrd="2" destOrd="0" presId="urn:microsoft.com/office/officeart/2005/8/layout/orgChart1"/>
    <dgm:cxn modelId="{0D54A1F0-19ED-40EB-A6F0-53FB8CBCDFBB}" type="presParOf" srcId="{ADE0A641-D530-4348-A4C3-AE6295B7BFB2}" destId="{AA08A403-89D7-4468-860F-4C8D9083D262}" srcOrd="3" destOrd="0" presId="urn:microsoft.com/office/officeart/2005/8/layout/orgChart1"/>
    <dgm:cxn modelId="{6728FA9B-DC06-4A94-9DA4-ADE0D9220083}" type="presParOf" srcId="{AA08A403-89D7-4468-860F-4C8D9083D262}" destId="{7ECA534C-9B68-4623-86C0-B1B2B8E47C27}" srcOrd="0" destOrd="0" presId="urn:microsoft.com/office/officeart/2005/8/layout/orgChart1"/>
    <dgm:cxn modelId="{1B8FB36C-CCAB-480E-9C2D-4DE8BFAFEE44}" type="presParOf" srcId="{7ECA534C-9B68-4623-86C0-B1B2B8E47C27}" destId="{BF4BB1AA-4DBE-4507-B279-84DB611DE3D9}" srcOrd="0" destOrd="0" presId="urn:microsoft.com/office/officeart/2005/8/layout/orgChart1"/>
    <dgm:cxn modelId="{F1EDFE60-DDAE-4427-BF89-985CEF33A5CF}" type="presParOf" srcId="{7ECA534C-9B68-4623-86C0-B1B2B8E47C27}" destId="{B662C18C-FD65-4B35-81DA-0AA07988768D}" srcOrd="1" destOrd="0" presId="urn:microsoft.com/office/officeart/2005/8/layout/orgChart1"/>
    <dgm:cxn modelId="{CA12B3EA-F8DD-4BE5-9EDC-AD87C4CB26E0}" type="presParOf" srcId="{AA08A403-89D7-4468-860F-4C8D9083D262}" destId="{9459F0E1-5508-4192-A472-B8C4A37233FB}" srcOrd="1" destOrd="0" presId="urn:microsoft.com/office/officeart/2005/8/layout/orgChart1"/>
    <dgm:cxn modelId="{7CC3B617-4E72-4394-AB49-B2335D9E1B3B}" type="presParOf" srcId="{9459F0E1-5508-4192-A472-B8C4A37233FB}" destId="{B8429EAD-8128-43ED-AC95-1F16B0237B6E}" srcOrd="0" destOrd="0" presId="urn:microsoft.com/office/officeart/2005/8/layout/orgChart1"/>
    <dgm:cxn modelId="{3A4A9147-BF7E-4373-A0C1-606DB5A4495F}" type="presParOf" srcId="{9459F0E1-5508-4192-A472-B8C4A37233FB}" destId="{B78DF617-0C60-4DFF-9A4A-3499B36D3A05}" srcOrd="1" destOrd="0" presId="urn:microsoft.com/office/officeart/2005/8/layout/orgChart1"/>
    <dgm:cxn modelId="{9ABA4384-D7A2-4FD8-9216-D833BD6FE218}" type="presParOf" srcId="{B78DF617-0C60-4DFF-9A4A-3499B36D3A05}" destId="{6E5C4F98-26EB-440B-BEE0-9C5BD6BCEA32}" srcOrd="0" destOrd="0" presId="urn:microsoft.com/office/officeart/2005/8/layout/orgChart1"/>
    <dgm:cxn modelId="{E7575C78-8A2A-4C62-A125-405C25C8582E}" type="presParOf" srcId="{6E5C4F98-26EB-440B-BEE0-9C5BD6BCEA32}" destId="{89C82BCD-3E8F-4B3E-ADEB-9F0B68EEFC29}" srcOrd="0" destOrd="0" presId="urn:microsoft.com/office/officeart/2005/8/layout/orgChart1"/>
    <dgm:cxn modelId="{7840A7AB-A388-4432-BA93-8C9B149B85B0}" type="presParOf" srcId="{6E5C4F98-26EB-440B-BEE0-9C5BD6BCEA32}" destId="{A616E4E2-6302-4B13-9A4D-0A15F519358E}" srcOrd="1" destOrd="0" presId="urn:microsoft.com/office/officeart/2005/8/layout/orgChart1"/>
    <dgm:cxn modelId="{B8269E03-6AE8-4D7D-9B57-5666424DB125}" type="presParOf" srcId="{B78DF617-0C60-4DFF-9A4A-3499B36D3A05}" destId="{72703296-1B66-4433-9D88-4E9CC73449CD}" srcOrd="1" destOrd="0" presId="urn:microsoft.com/office/officeart/2005/8/layout/orgChart1"/>
    <dgm:cxn modelId="{F96C6A53-FC3B-4399-9B08-8FE975220CD9}" type="presParOf" srcId="{B78DF617-0C60-4DFF-9A4A-3499B36D3A05}" destId="{C8674BAC-EC0F-48E6-BE54-13CC6AF2546C}" srcOrd="2" destOrd="0" presId="urn:microsoft.com/office/officeart/2005/8/layout/orgChart1"/>
    <dgm:cxn modelId="{87D3E95A-92DD-46AA-AABE-DA09C900509B}" type="presParOf" srcId="{AA08A403-89D7-4468-860F-4C8D9083D262}" destId="{D7C749B0-249E-4EFF-B39B-600769655A0E}" srcOrd="2" destOrd="0" presId="urn:microsoft.com/office/officeart/2005/8/layout/orgChart1"/>
    <dgm:cxn modelId="{0FDD7475-B451-488B-B7F3-F260EB391AAF}" type="presParOf" srcId="{ADE0A641-D530-4348-A4C3-AE6295B7BFB2}" destId="{52FD661B-2D3B-49BB-9A28-EEFCCA35AD9B}" srcOrd="4" destOrd="0" presId="urn:microsoft.com/office/officeart/2005/8/layout/orgChart1"/>
    <dgm:cxn modelId="{A5EED9A6-3B1E-4825-9D3B-84AB9CAD70B0}" type="presParOf" srcId="{ADE0A641-D530-4348-A4C3-AE6295B7BFB2}" destId="{C7EB2C27-4BE2-4C9E-9FBD-516A7416693A}" srcOrd="5" destOrd="0" presId="urn:microsoft.com/office/officeart/2005/8/layout/orgChart1"/>
    <dgm:cxn modelId="{37510912-E84F-4BF8-A120-97484A32422D}" type="presParOf" srcId="{C7EB2C27-4BE2-4C9E-9FBD-516A7416693A}" destId="{2D67EAD2-9E10-49BF-9895-79AFB5089F5D}" srcOrd="0" destOrd="0" presId="urn:microsoft.com/office/officeart/2005/8/layout/orgChart1"/>
    <dgm:cxn modelId="{209A224B-C4D4-471C-87A9-1D10E1D82033}" type="presParOf" srcId="{2D67EAD2-9E10-49BF-9895-79AFB5089F5D}" destId="{2475995F-D1F8-4107-A258-730E90BCD88D}" srcOrd="0" destOrd="0" presId="urn:microsoft.com/office/officeart/2005/8/layout/orgChart1"/>
    <dgm:cxn modelId="{AEC11A64-15F7-4107-807E-FE8B4FF8B697}" type="presParOf" srcId="{2D67EAD2-9E10-49BF-9895-79AFB5089F5D}" destId="{F0C0DE88-8657-4FB8-84E9-EE1A7E96A7BA}" srcOrd="1" destOrd="0" presId="urn:microsoft.com/office/officeart/2005/8/layout/orgChart1"/>
    <dgm:cxn modelId="{B1EA1E34-349F-41E0-AA87-C13070E860AC}" type="presParOf" srcId="{C7EB2C27-4BE2-4C9E-9FBD-516A7416693A}" destId="{965FFA83-479B-47EC-8AF1-1C0CFFC610CE}" srcOrd="1" destOrd="0" presId="urn:microsoft.com/office/officeart/2005/8/layout/orgChart1"/>
    <dgm:cxn modelId="{1ECE711C-C822-4C51-9E58-F8C99CC4E8B6}" type="presParOf" srcId="{965FFA83-479B-47EC-8AF1-1C0CFFC610CE}" destId="{91D23516-BC80-4A96-83F0-C5CFAB70308E}" srcOrd="0" destOrd="0" presId="urn:microsoft.com/office/officeart/2005/8/layout/orgChart1"/>
    <dgm:cxn modelId="{F0BABF52-B56C-49C2-9FC3-4EF53614FA47}" type="presParOf" srcId="{965FFA83-479B-47EC-8AF1-1C0CFFC610CE}" destId="{B8824ECB-13C7-4A8B-9913-B10FF9421312}" srcOrd="1" destOrd="0" presId="urn:microsoft.com/office/officeart/2005/8/layout/orgChart1"/>
    <dgm:cxn modelId="{02E056F7-5043-4F2B-97DE-BAFFCA5FEB50}" type="presParOf" srcId="{B8824ECB-13C7-4A8B-9913-B10FF9421312}" destId="{C58BDCA1-9B4F-40F3-8ABB-174C68C01412}" srcOrd="0" destOrd="0" presId="urn:microsoft.com/office/officeart/2005/8/layout/orgChart1"/>
    <dgm:cxn modelId="{48F11373-B60A-4B83-95A4-AC567F31CBEF}" type="presParOf" srcId="{C58BDCA1-9B4F-40F3-8ABB-174C68C01412}" destId="{96EAEC2D-51A0-4D58-8D8D-ED695F4677BC}" srcOrd="0" destOrd="0" presId="urn:microsoft.com/office/officeart/2005/8/layout/orgChart1"/>
    <dgm:cxn modelId="{12BF9FAE-551F-4CEB-B503-17810753FD9D}" type="presParOf" srcId="{C58BDCA1-9B4F-40F3-8ABB-174C68C01412}" destId="{6028E1F5-EAEC-42CF-AD1E-785122FD505B}" srcOrd="1" destOrd="0" presId="urn:microsoft.com/office/officeart/2005/8/layout/orgChart1"/>
    <dgm:cxn modelId="{36154B80-8FF0-461D-91DE-8300BAAF598C}" type="presParOf" srcId="{B8824ECB-13C7-4A8B-9913-B10FF9421312}" destId="{DB86481F-E835-4255-93DD-00A8591AFD2A}" srcOrd="1" destOrd="0" presId="urn:microsoft.com/office/officeart/2005/8/layout/orgChart1"/>
    <dgm:cxn modelId="{3923CE5E-3626-4016-9E09-1532B2B39704}" type="presParOf" srcId="{B8824ECB-13C7-4A8B-9913-B10FF9421312}" destId="{1F21D95E-A82F-4FEC-8679-201D0F68FF87}" srcOrd="2" destOrd="0" presId="urn:microsoft.com/office/officeart/2005/8/layout/orgChart1"/>
    <dgm:cxn modelId="{3CC423B7-27E6-4986-950B-678A9082D8E4}" type="presParOf" srcId="{C7EB2C27-4BE2-4C9E-9FBD-516A7416693A}" destId="{A69BEC85-7D63-48D6-B881-C892AE65D5D6}" srcOrd="2" destOrd="0" presId="urn:microsoft.com/office/officeart/2005/8/layout/orgChart1"/>
    <dgm:cxn modelId="{35481D53-ADC6-4BE2-823F-8BA0F784D0A7}" type="presParOf" srcId="{ADE0A641-D530-4348-A4C3-AE6295B7BFB2}" destId="{17103C69-0302-483E-83B6-DDD01D942D32}" srcOrd="6" destOrd="0" presId="urn:microsoft.com/office/officeart/2005/8/layout/orgChart1"/>
    <dgm:cxn modelId="{D1E8DA88-0255-4294-A59B-23098C8250CB}" type="presParOf" srcId="{ADE0A641-D530-4348-A4C3-AE6295B7BFB2}" destId="{6D7C1801-74A8-4D14-BCD0-996644C52870}" srcOrd="7" destOrd="0" presId="urn:microsoft.com/office/officeart/2005/8/layout/orgChart1"/>
    <dgm:cxn modelId="{5074B6D7-A9B4-4E41-A49D-18020FF4E2B2}" type="presParOf" srcId="{6D7C1801-74A8-4D14-BCD0-996644C52870}" destId="{BE7D34A5-5527-4060-B06D-654E69E5502B}" srcOrd="0" destOrd="0" presId="urn:microsoft.com/office/officeart/2005/8/layout/orgChart1"/>
    <dgm:cxn modelId="{757674AE-B818-4D50-9865-E7D66B906A87}" type="presParOf" srcId="{BE7D34A5-5527-4060-B06D-654E69E5502B}" destId="{8626661B-01F0-4DF6-819E-869027AAF714}" srcOrd="0" destOrd="0" presId="urn:microsoft.com/office/officeart/2005/8/layout/orgChart1"/>
    <dgm:cxn modelId="{28E89D52-A6F3-49EB-9618-D538AF10B009}" type="presParOf" srcId="{BE7D34A5-5527-4060-B06D-654E69E5502B}" destId="{0857AC9D-95D4-4A52-9D1C-207F7D093922}" srcOrd="1" destOrd="0" presId="urn:microsoft.com/office/officeart/2005/8/layout/orgChart1"/>
    <dgm:cxn modelId="{79940FDC-3DE6-4462-946E-672C6D4EC584}" type="presParOf" srcId="{6D7C1801-74A8-4D14-BCD0-996644C52870}" destId="{5DB5BE4C-CAFC-4A01-86F3-DA9FA36C0D79}" srcOrd="1" destOrd="0" presId="urn:microsoft.com/office/officeart/2005/8/layout/orgChart1"/>
    <dgm:cxn modelId="{F91BCC9A-C031-4904-9752-D39C3C1BD6FD}" type="presParOf" srcId="{5DB5BE4C-CAFC-4A01-86F3-DA9FA36C0D79}" destId="{1CFCAC33-F28B-4BE4-B86C-6C7DF7DFC108}" srcOrd="0" destOrd="0" presId="urn:microsoft.com/office/officeart/2005/8/layout/orgChart1"/>
    <dgm:cxn modelId="{B1AC1B5C-1033-4E6D-951C-80C22602EE38}" type="presParOf" srcId="{5DB5BE4C-CAFC-4A01-86F3-DA9FA36C0D79}" destId="{25D1CF56-B460-4FDF-A999-1CD2DD601421}" srcOrd="1" destOrd="0" presId="urn:microsoft.com/office/officeart/2005/8/layout/orgChart1"/>
    <dgm:cxn modelId="{109B3C9A-7918-40B2-8AFC-3B36BE3AFBCF}" type="presParOf" srcId="{25D1CF56-B460-4FDF-A999-1CD2DD601421}" destId="{CA0862ED-6417-4702-8D20-F6CCD60B7935}" srcOrd="0" destOrd="0" presId="urn:microsoft.com/office/officeart/2005/8/layout/orgChart1"/>
    <dgm:cxn modelId="{CE6876C3-0B2C-4FC1-8BDA-23B4CCC152D4}" type="presParOf" srcId="{CA0862ED-6417-4702-8D20-F6CCD60B7935}" destId="{859E0FBF-A04C-41A7-A7EC-948BE89D5DDD}" srcOrd="0" destOrd="0" presId="urn:microsoft.com/office/officeart/2005/8/layout/orgChart1"/>
    <dgm:cxn modelId="{2EFD6D63-D388-48BB-82B9-82D20866732F}" type="presParOf" srcId="{CA0862ED-6417-4702-8D20-F6CCD60B7935}" destId="{FF7622DF-90D1-4E9A-B146-852AC3119D49}" srcOrd="1" destOrd="0" presId="urn:microsoft.com/office/officeart/2005/8/layout/orgChart1"/>
    <dgm:cxn modelId="{BCAE802C-BD34-4C42-B255-FD7278634BFE}" type="presParOf" srcId="{25D1CF56-B460-4FDF-A999-1CD2DD601421}" destId="{C57ED237-440C-419F-8E71-F88C904A4F40}" srcOrd="1" destOrd="0" presId="urn:microsoft.com/office/officeart/2005/8/layout/orgChart1"/>
    <dgm:cxn modelId="{57E646B1-8C90-4E60-AC3D-67E4F76CBD82}" type="presParOf" srcId="{25D1CF56-B460-4FDF-A999-1CD2DD601421}" destId="{03317CF8-3CFE-4E8E-B8C3-E026194D5DD8}" srcOrd="2" destOrd="0" presId="urn:microsoft.com/office/officeart/2005/8/layout/orgChart1"/>
    <dgm:cxn modelId="{2DCC9C7F-446A-48DD-9FCF-8542060401CE}" type="presParOf" srcId="{6D7C1801-74A8-4D14-BCD0-996644C52870}" destId="{1C6CC99E-B773-4ACD-9060-AC6310D71328}" srcOrd="2" destOrd="0" presId="urn:microsoft.com/office/officeart/2005/8/layout/orgChart1"/>
    <dgm:cxn modelId="{1844CA0B-E4CB-4CF6-9200-55A6CBE8D4C3}" type="presParOf" srcId="{3B530F0C-F368-430D-9728-F0951AF79F67}" destId="{289BC3D3-6900-4405-AF4F-92EACE1CB878}" srcOrd="2" destOrd="0" presId="urn:microsoft.com/office/officeart/2005/8/layout/orgChart1"/>
    <dgm:cxn modelId="{3A573F02-F062-4248-981D-D4E43FF1B874}" type="presParOf" srcId="{E9344533-571F-48FF-B221-7CE27D1FAD8F}" destId="{A6339135-5765-4A4B-AE66-1F85B67972B6}" srcOrd="2" destOrd="0" presId="urn:microsoft.com/office/officeart/2005/8/layout/orgChart1"/>
    <dgm:cxn modelId="{49E560B3-A6CB-4C36-AB97-5C7BACF26862}" type="presParOf" srcId="{E9344533-571F-48FF-B221-7CE27D1FAD8F}" destId="{229BEA70-9311-4A25-9595-781F96417EA2}" srcOrd="3" destOrd="0" presId="urn:microsoft.com/office/officeart/2005/8/layout/orgChart1"/>
    <dgm:cxn modelId="{83CD7684-A369-4AFC-B7DF-D779361430E4}" type="presParOf" srcId="{229BEA70-9311-4A25-9595-781F96417EA2}" destId="{D5E3CC9F-3F6B-4D10-A6ED-A2946E623EF2}" srcOrd="0" destOrd="0" presId="urn:microsoft.com/office/officeart/2005/8/layout/orgChart1"/>
    <dgm:cxn modelId="{0592084F-9F30-4C11-BD64-30F537792D9C}" type="presParOf" srcId="{D5E3CC9F-3F6B-4D10-A6ED-A2946E623EF2}" destId="{0865E7C1-C8C5-4628-BF91-DFD448E2F845}" srcOrd="0" destOrd="0" presId="urn:microsoft.com/office/officeart/2005/8/layout/orgChart1"/>
    <dgm:cxn modelId="{384F09BA-0B67-4559-951B-512F83D96AC1}" type="presParOf" srcId="{D5E3CC9F-3F6B-4D10-A6ED-A2946E623EF2}" destId="{653B3261-3336-439D-8CA1-E643C0521771}" srcOrd="1" destOrd="0" presId="urn:microsoft.com/office/officeart/2005/8/layout/orgChart1"/>
    <dgm:cxn modelId="{6DB965B5-353C-41D5-9B78-35890B2C26AD}" type="presParOf" srcId="{229BEA70-9311-4A25-9595-781F96417EA2}" destId="{9BA7BDF4-D218-48E7-A497-B9F6038DBB89}" srcOrd="1" destOrd="0" presId="urn:microsoft.com/office/officeart/2005/8/layout/orgChart1"/>
    <dgm:cxn modelId="{7E3824C1-1C85-4895-9310-6790E944B4FE}" type="presParOf" srcId="{229BEA70-9311-4A25-9595-781F96417EA2}" destId="{ECBC1C88-C064-4FCB-8BE5-9A9B55AE6E6A}" srcOrd="2" destOrd="0" presId="urn:microsoft.com/office/officeart/2005/8/layout/orgChart1"/>
    <dgm:cxn modelId="{D2379655-8E59-4DBE-96A6-525B2AD09AF5}" type="presParOf" srcId="{E9344533-571F-48FF-B221-7CE27D1FAD8F}" destId="{9212C7B4-A036-482B-A3D9-AA773E264725}" srcOrd="4" destOrd="0" presId="urn:microsoft.com/office/officeart/2005/8/layout/orgChart1"/>
    <dgm:cxn modelId="{8C898392-12E0-4758-A51B-44472F11662A}" type="presParOf" srcId="{E9344533-571F-48FF-B221-7CE27D1FAD8F}" destId="{AD74046B-5360-4517-A12C-9F42201B4D9B}" srcOrd="5" destOrd="0" presId="urn:microsoft.com/office/officeart/2005/8/layout/orgChart1"/>
    <dgm:cxn modelId="{69B37D67-446C-4775-8EE2-6AD3D36A7E86}" type="presParOf" srcId="{AD74046B-5360-4517-A12C-9F42201B4D9B}" destId="{3BB6078C-1922-4E8B-B257-10DF6457F419}" srcOrd="0" destOrd="0" presId="urn:microsoft.com/office/officeart/2005/8/layout/orgChart1"/>
    <dgm:cxn modelId="{681E872E-3659-46C7-971D-F7955000AD3E}" type="presParOf" srcId="{3BB6078C-1922-4E8B-B257-10DF6457F419}" destId="{7AA36B74-A52B-45E3-A0CB-60087D0C2443}" srcOrd="0" destOrd="0" presId="urn:microsoft.com/office/officeart/2005/8/layout/orgChart1"/>
    <dgm:cxn modelId="{DDFEAF40-12F9-45D4-8774-BA26B2C036EE}" type="presParOf" srcId="{3BB6078C-1922-4E8B-B257-10DF6457F419}" destId="{A9BC85F3-FCB6-4CF0-8CCC-4C4CB663CFB9}" srcOrd="1" destOrd="0" presId="urn:microsoft.com/office/officeart/2005/8/layout/orgChart1"/>
    <dgm:cxn modelId="{488F8914-564C-4F6B-AD44-2C8141CFE51F}" type="presParOf" srcId="{AD74046B-5360-4517-A12C-9F42201B4D9B}" destId="{2F13A907-A147-4CF6-A78E-ACFBD33DEF94}" srcOrd="1" destOrd="0" presId="urn:microsoft.com/office/officeart/2005/8/layout/orgChart1"/>
    <dgm:cxn modelId="{7148A3C9-DEFD-418E-82AC-83C7343A0472}" type="presParOf" srcId="{AD74046B-5360-4517-A12C-9F42201B4D9B}" destId="{4B3C8E36-C582-44A1-BD1F-A44F180DCADF}" srcOrd="2" destOrd="0" presId="urn:microsoft.com/office/officeart/2005/8/layout/orgChart1"/>
    <dgm:cxn modelId="{63E726C7-C876-4D1C-BCCF-5A512A35A2F2}" type="presParOf" srcId="{E9344533-571F-48FF-B221-7CE27D1FAD8F}" destId="{83E92D29-5D87-4FBD-92AC-2EEFA23E617A}" srcOrd="6" destOrd="0" presId="urn:microsoft.com/office/officeart/2005/8/layout/orgChart1"/>
    <dgm:cxn modelId="{8C3DD004-C501-4F0C-AC0F-B3D1FA7E08D8}" type="presParOf" srcId="{E9344533-571F-48FF-B221-7CE27D1FAD8F}" destId="{8473ACC8-048A-42E7-AFE9-979DD9A621A4}" srcOrd="7" destOrd="0" presId="urn:microsoft.com/office/officeart/2005/8/layout/orgChart1"/>
    <dgm:cxn modelId="{86AC0A6F-4320-48B1-B7BA-659EFAA0A777}" type="presParOf" srcId="{8473ACC8-048A-42E7-AFE9-979DD9A621A4}" destId="{420094F4-BAA9-40AE-B319-FA30DFAA258F}" srcOrd="0" destOrd="0" presId="urn:microsoft.com/office/officeart/2005/8/layout/orgChart1"/>
    <dgm:cxn modelId="{AE04DF69-E12E-4351-B427-34918E8099F2}" type="presParOf" srcId="{420094F4-BAA9-40AE-B319-FA30DFAA258F}" destId="{8164BF52-63BB-40C9-A999-DB74F871BBE3}" srcOrd="0" destOrd="0" presId="urn:microsoft.com/office/officeart/2005/8/layout/orgChart1"/>
    <dgm:cxn modelId="{8E1DBEBD-4133-406B-9B13-51E19335B3E8}" type="presParOf" srcId="{420094F4-BAA9-40AE-B319-FA30DFAA258F}" destId="{3AABA5AD-67FB-4A5E-84CC-23B186557FB6}" srcOrd="1" destOrd="0" presId="urn:microsoft.com/office/officeart/2005/8/layout/orgChart1"/>
    <dgm:cxn modelId="{AE57BCAB-3238-4E4F-902D-42222135258A}" type="presParOf" srcId="{8473ACC8-048A-42E7-AFE9-979DD9A621A4}" destId="{3D9DE625-E69C-4266-8428-D1316D2ED9B0}" srcOrd="1" destOrd="0" presId="urn:microsoft.com/office/officeart/2005/8/layout/orgChart1"/>
    <dgm:cxn modelId="{125FA1A0-62AC-4672-A8D7-96FA5D48D7AA}" type="presParOf" srcId="{8473ACC8-048A-42E7-AFE9-979DD9A621A4}" destId="{D6127A26-2E68-4B06-B9AD-3C2A370A55C7}" srcOrd="2" destOrd="0" presId="urn:microsoft.com/office/officeart/2005/8/layout/orgChart1"/>
    <dgm:cxn modelId="{DF463765-1E88-45D3-A541-CCDBB8F49BE9}" type="presParOf" srcId="{E9344533-571F-48FF-B221-7CE27D1FAD8F}" destId="{00268D7A-8C38-48B0-961F-1FD70B54E78D}" srcOrd="8" destOrd="0" presId="urn:microsoft.com/office/officeart/2005/8/layout/orgChart1"/>
    <dgm:cxn modelId="{5D7622FD-0885-450D-AEFE-31C9F25DBB00}" type="presParOf" srcId="{E9344533-571F-48FF-B221-7CE27D1FAD8F}" destId="{29B2F634-9C26-476A-86AF-8EC37649FEFD}" srcOrd="9" destOrd="0" presId="urn:microsoft.com/office/officeart/2005/8/layout/orgChart1"/>
    <dgm:cxn modelId="{5FD959B5-9BD1-4031-A985-5168FFAFAA04}" type="presParOf" srcId="{29B2F634-9C26-476A-86AF-8EC37649FEFD}" destId="{3193FDBC-03F9-4399-A776-07F180B82236}" srcOrd="0" destOrd="0" presId="urn:microsoft.com/office/officeart/2005/8/layout/orgChart1"/>
    <dgm:cxn modelId="{29C33B0B-DC0D-4756-B02D-28695A56C409}" type="presParOf" srcId="{3193FDBC-03F9-4399-A776-07F180B82236}" destId="{2A9C3C54-5B58-49BD-BB0F-7BD286DF6C57}" srcOrd="0" destOrd="0" presId="urn:microsoft.com/office/officeart/2005/8/layout/orgChart1"/>
    <dgm:cxn modelId="{F0568FAC-114D-4CD9-BA03-4BCA513188A3}" type="presParOf" srcId="{3193FDBC-03F9-4399-A776-07F180B82236}" destId="{75F1D8B1-431B-40B6-B7D0-99CA4BAD291D}" srcOrd="1" destOrd="0" presId="urn:microsoft.com/office/officeart/2005/8/layout/orgChart1"/>
    <dgm:cxn modelId="{92EC6712-5C5B-4FC5-9551-BC3F35B80200}" type="presParOf" srcId="{29B2F634-9C26-476A-86AF-8EC37649FEFD}" destId="{AAD0481A-6EA6-4AC8-8F38-35667754CC35}" srcOrd="1" destOrd="0" presId="urn:microsoft.com/office/officeart/2005/8/layout/orgChart1"/>
    <dgm:cxn modelId="{F6D3FC0E-D7FE-4B18-9CBD-C222389E62D3}" type="presParOf" srcId="{29B2F634-9C26-476A-86AF-8EC37649FEFD}" destId="{C89F1E55-C151-4630-AECB-8DE73B34F6E0}" srcOrd="2" destOrd="0" presId="urn:microsoft.com/office/officeart/2005/8/layout/orgChart1"/>
    <dgm:cxn modelId="{7C9127EE-286D-447C-8E84-B299C6D8CECC}" type="presParOf" srcId="{713AD229-56A2-4412-94A8-192ED355CA95}" destId="{7750E4D9-DB4C-4E8F-8CE6-4C4B89A1ECFF}" srcOrd="2" destOrd="0" presId="urn:microsoft.com/office/officeart/2005/8/layout/orgChart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7B00E043-875A-4A60-A7BD-2775E65F19B2}" type="doc">
      <dgm:prSet loTypeId="urn:microsoft.com/office/officeart/2005/8/layout/orgChart1" loCatId="hierarchy" qsTypeId="urn:microsoft.com/office/officeart/2005/8/quickstyle/simple1" qsCatId="simple" csTypeId="urn:microsoft.com/office/officeart/2005/8/colors/colorful1" csCatId="colorful" phldr="1"/>
      <dgm:spPr/>
      <dgm:t>
        <a:bodyPr/>
        <a:lstStyle/>
        <a:p>
          <a:endParaRPr lang="en-GB"/>
        </a:p>
      </dgm:t>
    </dgm:pt>
    <dgm:pt modelId="{BE108FD2-3A0C-4907-9ADF-8F5A07EE0C01}">
      <dgm:prSet phldrT="[Text]"/>
      <dgm:spPr>
        <a:solidFill>
          <a:schemeClr val="tx2"/>
        </a:solidFill>
      </dgm:spPr>
      <dgm:t>
        <a:bodyPr/>
        <a:lstStyle/>
        <a:p>
          <a:r>
            <a:rPr lang="en-GB"/>
            <a:t>Fresatrice L=1750</a:t>
          </a:r>
        </a:p>
      </dgm:t>
    </dgm:pt>
    <dgm:pt modelId="{8F48B282-2873-4CA3-BE10-C61BCD1E452A}" type="parTrans" cxnId="{EDB88597-9630-4CB6-A2CD-903B5DF41076}">
      <dgm:prSet/>
      <dgm:spPr/>
      <dgm:t>
        <a:bodyPr/>
        <a:lstStyle/>
        <a:p>
          <a:endParaRPr lang="en-GB"/>
        </a:p>
      </dgm:t>
    </dgm:pt>
    <dgm:pt modelId="{5225EDEF-6573-4E8D-A1EA-25F884A5E013}" type="sibTrans" cxnId="{EDB88597-9630-4CB6-A2CD-903B5DF41076}">
      <dgm:prSet/>
      <dgm:spPr/>
      <dgm:t>
        <a:bodyPr/>
        <a:lstStyle/>
        <a:p>
          <a:endParaRPr lang="en-GB"/>
        </a:p>
      </dgm:t>
    </dgm:pt>
    <dgm:pt modelId="{23ED8CFC-81C1-428B-A966-C87223B77595}">
      <dgm:prSet phldrT="[Text]"/>
      <dgm:spPr>
        <a:solidFill>
          <a:schemeClr val="tx2"/>
        </a:solidFill>
      </dgm:spPr>
      <dgm:t>
        <a:bodyPr/>
        <a:lstStyle/>
        <a:p>
          <a:r>
            <a:rPr lang="en-GB"/>
            <a:t>Telaio Completo per Fresatrice L=1750 (1)</a:t>
          </a:r>
        </a:p>
      </dgm:t>
    </dgm:pt>
    <dgm:pt modelId="{98738C59-5ADF-4431-8B3C-5AAD82547238}" type="parTrans" cxnId="{EC25550A-E9CC-45FC-88B3-54160EF44D16}">
      <dgm:prSet/>
      <dgm:spPr>
        <a:ln w="38100">
          <a:solidFill>
            <a:schemeClr val="accent1"/>
          </a:solidFill>
        </a:ln>
      </dgm:spPr>
      <dgm:t>
        <a:bodyPr/>
        <a:lstStyle/>
        <a:p>
          <a:endParaRPr lang="en-GB"/>
        </a:p>
      </dgm:t>
    </dgm:pt>
    <dgm:pt modelId="{F2759905-CCCC-465E-9841-8A119BD49559}" type="sibTrans" cxnId="{EC25550A-E9CC-45FC-88B3-54160EF44D16}">
      <dgm:prSet/>
      <dgm:spPr/>
      <dgm:t>
        <a:bodyPr/>
        <a:lstStyle/>
        <a:p>
          <a:endParaRPr lang="en-GB"/>
        </a:p>
      </dgm:t>
    </dgm:pt>
    <dgm:pt modelId="{A53E9160-5CAA-4D15-A8FF-26C7A1BB68F3}">
      <dgm:prSet phldrT="[Text]"/>
      <dgm:spPr>
        <a:solidFill>
          <a:schemeClr val="tx2"/>
        </a:solidFill>
      </dgm:spPr>
      <dgm:t>
        <a:bodyPr/>
        <a:lstStyle/>
        <a:p>
          <a:r>
            <a:rPr lang="en-GB"/>
            <a:t>Carter L=1750 (1)</a:t>
          </a:r>
        </a:p>
      </dgm:t>
    </dgm:pt>
    <dgm:pt modelId="{F068F1B7-D50F-4E19-AF22-0D439665847E}" type="parTrans" cxnId="{8C98EB91-9C5B-45BF-BEF5-E0EEFD77DCC7}">
      <dgm:prSet/>
      <dgm:spPr>
        <a:ln w="38100">
          <a:solidFill>
            <a:schemeClr val="accent2"/>
          </a:solidFill>
        </a:ln>
      </dgm:spPr>
      <dgm:t>
        <a:bodyPr/>
        <a:lstStyle/>
        <a:p>
          <a:endParaRPr lang="en-GB"/>
        </a:p>
      </dgm:t>
    </dgm:pt>
    <dgm:pt modelId="{439329C8-3E8D-44D1-80F8-FAF1444C6D0A}" type="sibTrans" cxnId="{8C98EB91-9C5B-45BF-BEF5-E0EEFD77DCC7}">
      <dgm:prSet/>
      <dgm:spPr/>
      <dgm:t>
        <a:bodyPr/>
        <a:lstStyle/>
        <a:p>
          <a:endParaRPr lang="en-GB"/>
        </a:p>
      </dgm:t>
    </dgm:pt>
    <dgm:pt modelId="{2046EEBA-982B-4301-8241-2803CAE760D1}">
      <dgm:prSet phldrT="[Text]"/>
      <dgm:spPr>
        <a:solidFill>
          <a:schemeClr val="accent6"/>
        </a:solidFill>
      </dgm:spPr>
      <dgm:t>
        <a:bodyPr/>
        <a:lstStyle/>
        <a:p>
          <a:r>
            <a:rPr lang="en-GB"/>
            <a:t>Foglio Lamiera 1500x2000x3 (0.17)</a:t>
          </a:r>
        </a:p>
      </dgm:t>
    </dgm:pt>
    <dgm:pt modelId="{345A7164-9B84-4772-B53F-578508EB30FA}" type="parTrans" cxnId="{E7636A60-3B6B-48E7-8BF9-6E8672DDA6F4}">
      <dgm:prSet/>
      <dgm:spPr>
        <a:ln w="38100">
          <a:solidFill>
            <a:schemeClr val="accent4"/>
          </a:solidFill>
        </a:ln>
      </dgm:spPr>
      <dgm:t>
        <a:bodyPr/>
        <a:lstStyle/>
        <a:p>
          <a:endParaRPr lang="en-GB"/>
        </a:p>
      </dgm:t>
    </dgm:pt>
    <dgm:pt modelId="{0603BC87-DD29-460F-B651-36077527D28A}" type="sibTrans" cxnId="{E7636A60-3B6B-48E7-8BF9-6E8672DDA6F4}">
      <dgm:prSet/>
      <dgm:spPr/>
      <dgm:t>
        <a:bodyPr/>
        <a:lstStyle/>
        <a:p>
          <a:endParaRPr lang="en-GB"/>
        </a:p>
      </dgm:t>
    </dgm:pt>
    <dgm:pt modelId="{04D28262-27D4-4A96-8A9B-E9CC736D7103}">
      <dgm:prSet phldrT="[Text]"/>
      <dgm:spPr>
        <a:solidFill>
          <a:schemeClr val="tx2"/>
        </a:solidFill>
      </dgm:spPr>
      <dgm:t>
        <a:bodyPr/>
        <a:lstStyle/>
        <a:p>
          <a:r>
            <a:rPr lang="en-GB"/>
            <a:t>Staffe Rinforzo (3)</a:t>
          </a:r>
        </a:p>
      </dgm:t>
    </dgm:pt>
    <dgm:pt modelId="{3CB4F370-1677-4FF7-A431-6F134EE8D01A}" type="parTrans" cxnId="{74B077DD-C98B-4ECD-9A27-8215910CE3D9}">
      <dgm:prSet/>
      <dgm:spPr>
        <a:ln w="38100">
          <a:solidFill>
            <a:schemeClr val="accent2"/>
          </a:solidFill>
        </a:ln>
      </dgm:spPr>
      <dgm:t>
        <a:bodyPr/>
        <a:lstStyle/>
        <a:p>
          <a:endParaRPr lang="en-GB"/>
        </a:p>
      </dgm:t>
    </dgm:pt>
    <dgm:pt modelId="{80966A06-83D7-4147-A13E-1A0543822CC6}" type="sibTrans" cxnId="{74B077DD-C98B-4ECD-9A27-8215910CE3D9}">
      <dgm:prSet/>
      <dgm:spPr/>
      <dgm:t>
        <a:bodyPr/>
        <a:lstStyle/>
        <a:p>
          <a:endParaRPr lang="en-GB"/>
        </a:p>
      </dgm:t>
    </dgm:pt>
    <dgm:pt modelId="{A8B36F11-EDFA-448E-ACCA-F4E3B0ABB64C}">
      <dgm:prSet phldrT="[Text]"/>
      <dgm:spPr>
        <a:solidFill>
          <a:schemeClr val="accent6"/>
        </a:solidFill>
      </dgm:spPr>
      <dgm:t>
        <a:bodyPr/>
        <a:lstStyle/>
        <a:p>
          <a:r>
            <a:rPr lang="en-GB"/>
            <a:t>Foglio Lamiera 1000x1500x3 (0.05)</a:t>
          </a:r>
        </a:p>
      </dgm:t>
    </dgm:pt>
    <dgm:pt modelId="{819E766C-2ED8-47CA-A45D-E5D90E97075D}" type="parTrans" cxnId="{47DB8AB3-3E00-409F-8DC6-8EA6E7A4A41E}">
      <dgm:prSet/>
      <dgm:spPr>
        <a:ln w="38100">
          <a:solidFill>
            <a:schemeClr val="accent4"/>
          </a:solidFill>
        </a:ln>
      </dgm:spPr>
      <dgm:t>
        <a:bodyPr/>
        <a:lstStyle/>
        <a:p>
          <a:endParaRPr lang="en-GB"/>
        </a:p>
      </dgm:t>
    </dgm:pt>
    <dgm:pt modelId="{D4A2B17E-4084-4B25-B047-343383A7F61B}" type="sibTrans" cxnId="{47DB8AB3-3E00-409F-8DC6-8EA6E7A4A41E}">
      <dgm:prSet/>
      <dgm:spPr/>
      <dgm:t>
        <a:bodyPr/>
        <a:lstStyle/>
        <a:p>
          <a:endParaRPr lang="en-GB"/>
        </a:p>
      </dgm:t>
    </dgm:pt>
    <dgm:pt modelId="{1D8AAA2E-60A5-4FA8-BB8D-CF032DC80AE2}">
      <dgm:prSet phldrT="[Text]"/>
      <dgm:spPr>
        <a:solidFill>
          <a:schemeClr val="tx2"/>
        </a:solidFill>
      </dgm:spPr>
      <dgm:t>
        <a:bodyPr/>
        <a:lstStyle/>
        <a:p>
          <a:r>
            <a:rPr lang="en-GB"/>
            <a:t>Piastre Attacco Trattore (2)</a:t>
          </a:r>
        </a:p>
      </dgm:t>
    </dgm:pt>
    <dgm:pt modelId="{D0B3D3DE-7CB5-4F0F-B82E-AE744B2CBB75}" type="parTrans" cxnId="{7F5EAC2E-203C-401D-9E50-A6FA2FDA94DA}">
      <dgm:prSet/>
      <dgm:spPr>
        <a:ln w="38100">
          <a:solidFill>
            <a:schemeClr val="accent2"/>
          </a:solidFill>
        </a:ln>
      </dgm:spPr>
      <dgm:t>
        <a:bodyPr/>
        <a:lstStyle/>
        <a:p>
          <a:endParaRPr lang="en-GB"/>
        </a:p>
      </dgm:t>
    </dgm:pt>
    <dgm:pt modelId="{1C18BB0E-00C4-4AB9-8E94-E571BD89AF5C}" type="sibTrans" cxnId="{7F5EAC2E-203C-401D-9E50-A6FA2FDA94DA}">
      <dgm:prSet/>
      <dgm:spPr/>
      <dgm:t>
        <a:bodyPr/>
        <a:lstStyle/>
        <a:p>
          <a:endParaRPr lang="en-GB"/>
        </a:p>
      </dgm:t>
    </dgm:pt>
    <dgm:pt modelId="{01E09FA3-99A2-4DF9-9321-D18EE72FF41D}">
      <dgm:prSet phldrT="[Text]"/>
      <dgm:spPr>
        <a:solidFill>
          <a:schemeClr val="accent6"/>
        </a:solidFill>
      </dgm:spPr>
      <dgm:t>
        <a:bodyPr/>
        <a:lstStyle/>
        <a:p>
          <a:r>
            <a:rPr lang="en-GB"/>
            <a:t>Foglio Lamiera 1000x2000x3 (0.22)</a:t>
          </a:r>
        </a:p>
      </dgm:t>
    </dgm:pt>
    <dgm:pt modelId="{61B097B9-80ED-4819-BEC2-3D1040F26A3F}" type="parTrans" cxnId="{E541A665-FABF-44BA-A858-C774A1EBC96C}">
      <dgm:prSet/>
      <dgm:spPr>
        <a:ln w="38100">
          <a:solidFill>
            <a:schemeClr val="accent4"/>
          </a:solidFill>
        </a:ln>
      </dgm:spPr>
      <dgm:t>
        <a:bodyPr/>
        <a:lstStyle/>
        <a:p>
          <a:endParaRPr lang="en-GB"/>
        </a:p>
      </dgm:t>
    </dgm:pt>
    <dgm:pt modelId="{BE05A8A2-7299-4B23-A3B7-281AB018F750}" type="sibTrans" cxnId="{E541A665-FABF-44BA-A858-C774A1EBC96C}">
      <dgm:prSet/>
      <dgm:spPr/>
      <dgm:t>
        <a:bodyPr/>
        <a:lstStyle/>
        <a:p>
          <a:endParaRPr lang="en-GB"/>
        </a:p>
      </dgm:t>
    </dgm:pt>
    <dgm:pt modelId="{A40BA4BE-0B14-451B-9D4C-5CA23E3806E7}">
      <dgm:prSet phldrT="[Text]"/>
      <dgm:spPr>
        <a:solidFill>
          <a:schemeClr val="tx2"/>
        </a:solidFill>
      </dgm:spPr>
      <dgm:t>
        <a:bodyPr/>
        <a:lstStyle/>
        <a:p>
          <a:r>
            <a:rPr lang="en-GB"/>
            <a:t>Piastre Laterali (2)</a:t>
          </a:r>
        </a:p>
      </dgm:t>
    </dgm:pt>
    <dgm:pt modelId="{1D8C16E0-4599-455F-94C1-B94B89884C13}" type="parTrans" cxnId="{35E9D75E-5A88-4170-A161-FA2BF2A5495D}">
      <dgm:prSet/>
      <dgm:spPr>
        <a:ln w="38100">
          <a:solidFill>
            <a:schemeClr val="accent2"/>
          </a:solidFill>
        </a:ln>
      </dgm:spPr>
      <dgm:t>
        <a:bodyPr/>
        <a:lstStyle/>
        <a:p>
          <a:endParaRPr lang="en-GB"/>
        </a:p>
      </dgm:t>
    </dgm:pt>
    <dgm:pt modelId="{9A41387E-C038-4649-B1C0-34385333535C}" type="sibTrans" cxnId="{35E9D75E-5A88-4170-A161-FA2BF2A5495D}">
      <dgm:prSet/>
      <dgm:spPr/>
      <dgm:t>
        <a:bodyPr/>
        <a:lstStyle/>
        <a:p>
          <a:endParaRPr lang="en-GB"/>
        </a:p>
      </dgm:t>
    </dgm:pt>
    <dgm:pt modelId="{EAA85139-F8E3-4BBA-8393-786789E6EBE2}">
      <dgm:prSet phldrT="[Text]"/>
      <dgm:spPr>
        <a:solidFill>
          <a:schemeClr val="accent6"/>
        </a:solidFill>
      </dgm:spPr>
      <dgm:t>
        <a:bodyPr/>
        <a:lstStyle/>
        <a:p>
          <a:pPr algn="ctr"/>
          <a:r>
            <a:rPr lang="en-GB"/>
            <a:t>Albero di trasmissione per macchine L=1750 (1)</a:t>
          </a:r>
        </a:p>
      </dgm:t>
    </dgm:pt>
    <dgm:pt modelId="{EEACE347-62BD-43BF-9D33-81718D276236}" type="parTrans" cxnId="{3C7D47F7-6CB2-4F43-9C04-E83788E602E9}">
      <dgm:prSet/>
      <dgm:spPr>
        <a:ln w="38100">
          <a:solidFill>
            <a:schemeClr val="accent1"/>
          </a:solidFill>
        </a:ln>
      </dgm:spPr>
      <dgm:t>
        <a:bodyPr/>
        <a:lstStyle/>
        <a:p>
          <a:endParaRPr lang="en-GB"/>
        </a:p>
      </dgm:t>
    </dgm:pt>
    <dgm:pt modelId="{2C92DF4F-6112-414F-B5F1-B34720944213}" type="sibTrans" cxnId="{3C7D47F7-6CB2-4F43-9C04-E83788E602E9}">
      <dgm:prSet/>
      <dgm:spPr/>
      <dgm:t>
        <a:bodyPr/>
        <a:lstStyle/>
        <a:p>
          <a:endParaRPr lang="en-GB"/>
        </a:p>
      </dgm:t>
    </dgm:pt>
    <dgm:pt modelId="{D3EAD832-C3B7-4F16-9218-900EF7C01B26}">
      <dgm:prSet phldrT="[Text]"/>
      <dgm:spPr>
        <a:solidFill>
          <a:schemeClr val="accent6"/>
        </a:solidFill>
      </dgm:spPr>
      <dgm:t>
        <a:bodyPr/>
        <a:lstStyle/>
        <a:p>
          <a:r>
            <a:rPr lang="en-GB"/>
            <a:t>Ruota dentata conica (2)</a:t>
          </a:r>
        </a:p>
      </dgm:t>
    </dgm:pt>
    <dgm:pt modelId="{814D8EC5-A029-4C0B-8818-7679B1066622}" type="parTrans" cxnId="{0A31A697-3AEE-4FAD-9723-4E07816C5A78}">
      <dgm:prSet/>
      <dgm:spPr>
        <a:ln w="38100">
          <a:solidFill>
            <a:schemeClr val="accent1"/>
          </a:solidFill>
        </a:ln>
      </dgm:spPr>
      <dgm:t>
        <a:bodyPr/>
        <a:lstStyle/>
        <a:p>
          <a:endParaRPr lang="en-GB"/>
        </a:p>
      </dgm:t>
    </dgm:pt>
    <dgm:pt modelId="{ACEA1F23-050F-4A7E-81C4-B8661588BC3A}" type="sibTrans" cxnId="{0A31A697-3AEE-4FAD-9723-4E07816C5A78}">
      <dgm:prSet/>
      <dgm:spPr/>
      <dgm:t>
        <a:bodyPr/>
        <a:lstStyle/>
        <a:p>
          <a:endParaRPr lang="en-GB"/>
        </a:p>
      </dgm:t>
    </dgm:pt>
    <dgm:pt modelId="{720A84F5-A8C3-42D6-9F6F-4D2126BBBA83}">
      <dgm:prSet phldrT="[Text]"/>
      <dgm:spPr>
        <a:solidFill>
          <a:schemeClr val="accent6"/>
        </a:solidFill>
      </dgm:spPr>
      <dgm:t>
        <a:bodyPr/>
        <a:lstStyle/>
        <a:p>
          <a:r>
            <a:rPr lang="en-GB"/>
            <a:t>Ruota dentata cilindrica (3)</a:t>
          </a:r>
        </a:p>
      </dgm:t>
    </dgm:pt>
    <dgm:pt modelId="{38CB51C5-3562-4000-A3D7-91940DD857E4}" type="parTrans" cxnId="{B8D4DA16-B6C4-4121-B023-F170713D6AA7}">
      <dgm:prSet/>
      <dgm:spPr>
        <a:ln w="38100">
          <a:solidFill>
            <a:schemeClr val="accent1"/>
          </a:solidFill>
        </a:ln>
      </dgm:spPr>
      <dgm:t>
        <a:bodyPr/>
        <a:lstStyle/>
        <a:p>
          <a:endParaRPr lang="en-GB"/>
        </a:p>
      </dgm:t>
    </dgm:pt>
    <dgm:pt modelId="{4AB5C324-30D6-4C82-8CB8-34ED816646D6}" type="sibTrans" cxnId="{B8D4DA16-B6C4-4121-B023-F170713D6AA7}">
      <dgm:prSet/>
      <dgm:spPr/>
      <dgm:t>
        <a:bodyPr/>
        <a:lstStyle/>
        <a:p>
          <a:endParaRPr lang="en-GB"/>
        </a:p>
      </dgm:t>
    </dgm:pt>
    <dgm:pt modelId="{904C68A8-6EB1-4096-BAE2-F8597E3545F7}">
      <dgm:prSet phldrT="[Text]"/>
      <dgm:spPr>
        <a:solidFill>
          <a:schemeClr val="accent6"/>
        </a:solidFill>
      </dgm:spPr>
      <dgm:t>
        <a:bodyPr/>
        <a:lstStyle/>
        <a:p>
          <a:r>
            <a:rPr lang="en-GB"/>
            <a:t>Albero completo frese per fresatrici L=1750 (1)</a:t>
          </a:r>
        </a:p>
      </dgm:t>
    </dgm:pt>
    <dgm:pt modelId="{D7203144-6EEB-4CE8-8887-D45809D8E0A2}" type="parTrans" cxnId="{F608F54C-3AAD-4057-8B3B-38FCFBB65B31}">
      <dgm:prSet/>
      <dgm:spPr>
        <a:ln w="38100">
          <a:solidFill>
            <a:schemeClr val="accent1"/>
          </a:solidFill>
        </a:ln>
      </dgm:spPr>
      <dgm:t>
        <a:bodyPr/>
        <a:lstStyle/>
        <a:p>
          <a:endParaRPr lang="en-GB"/>
        </a:p>
      </dgm:t>
    </dgm:pt>
    <dgm:pt modelId="{BD1078CA-3716-4737-9B2C-0A4BF3F70586}" type="sibTrans" cxnId="{F608F54C-3AAD-4057-8B3B-38FCFBB65B31}">
      <dgm:prSet/>
      <dgm:spPr/>
      <dgm:t>
        <a:bodyPr/>
        <a:lstStyle/>
        <a:p>
          <a:endParaRPr lang="en-GB"/>
        </a:p>
      </dgm:t>
    </dgm:pt>
    <dgm:pt modelId="{4D9F74E5-BA62-42F8-B114-413718964F39}">
      <dgm:prSet phldrT="[Text]"/>
      <dgm:spPr>
        <a:solidFill>
          <a:schemeClr val="accent6"/>
        </a:solidFill>
      </dgm:spPr>
      <dgm:t>
        <a:bodyPr/>
        <a:lstStyle/>
        <a:p>
          <a:r>
            <a:rPr lang="en-GB"/>
            <a:t>Foglio Lamiera 1000x2000x3 (0.22)</a:t>
          </a:r>
        </a:p>
      </dgm:t>
    </dgm:pt>
    <dgm:pt modelId="{0B3E1B75-E236-4303-926D-5CA3242079CA}" type="sibTrans" cxnId="{4A59A226-0298-4AF3-B064-BD119CE452CD}">
      <dgm:prSet/>
      <dgm:spPr/>
      <dgm:t>
        <a:bodyPr/>
        <a:lstStyle/>
        <a:p>
          <a:endParaRPr lang="en-GB"/>
        </a:p>
      </dgm:t>
    </dgm:pt>
    <dgm:pt modelId="{69494B5E-50FF-4F1D-9825-8FDC2B68D937}" type="parTrans" cxnId="{4A59A226-0298-4AF3-B064-BD119CE452CD}">
      <dgm:prSet/>
      <dgm:spPr>
        <a:ln w="38100">
          <a:solidFill>
            <a:schemeClr val="accent4"/>
          </a:solidFill>
        </a:ln>
      </dgm:spPr>
      <dgm:t>
        <a:bodyPr/>
        <a:lstStyle/>
        <a:p>
          <a:endParaRPr lang="en-GB"/>
        </a:p>
      </dgm:t>
    </dgm:pt>
    <dgm:pt modelId="{F9823C52-5345-410C-9F4A-613A5C21F0E8}" type="pres">
      <dgm:prSet presAssocID="{7B00E043-875A-4A60-A7BD-2775E65F19B2}" presName="hierChild1" presStyleCnt="0">
        <dgm:presLayoutVars>
          <dgm:orgChart val="1"/>
          <dgm:chPref val="1"/>
          <dgm:dir/>
          <dgm:animOne val="branch"/>
          <dgm:animLvl val="lvl"/>
          <dgm:resizeHandles/>
        </dgm:presLayoutVars>
      </dgm:prSet>
      <dgm:spPr/>
    </dgm:pt>
    <dgm:pt modelId="{713AD229-56A2-4412-94A8-192ED355CA95}" type="pres">
      <dgm:prSet presAssocID="{BE108FD2-3A0C-4907-9ADF-8F5A07EE0C01}" presName="hierRoot1" presStyleCnt="0">
        <dgm:presLayoutVars>
          <dgm:hierBranch val="init"/>
        </dgm:presLayoutVars>
      </dgm:prSet>
      <dgm:spPr/>
    </dgm:pt>
    <dgm:pt modelId="{7D7AEAE3-F839-473A-B6BE-671413977CFC}" type="pres">
      <dgm:prSet presAssocID="{BE108FD2-3A0C-4907-9ADF-8F5A07EE0C01}" presName="rootComposite1" presStyleCnt="0"/>
      <dgm:spPr/>
    </dgm:pt>
    <dgm:pt modelId="{B5EF23FE-E97C-4F8C-B341-37F1FEA0D4DD}" type="pres">
      <dgm:prSet presAssocID="{BE108FD2-3A0C-4907-9ADF-8F5A07EE0C01}" presName="rootText1" presStyleLbl="node0" presStyleIdx="0" presStyleCnt="1">
        <dgm:presLayoutVars>
          <dgm:chPref val="3"/>
        </dgm:presLayoutVars>
      </dgm:prSet>
      <dgm:spPr/>
    </dgm:pt>
    <dgm:pt modelId="{7A853995-3DC4-4A23-BB8E-35D3332D16E6}" type="pres">
      <dgm:prSet presAssocID="{BE108FD2-3A0C-4907-9ADF-8F5A07EE0C01}" presName="rootConnector1" presStyleLbl="node1" presStyleIdx="0" presStyleCnt="0"/>
      <dgm:spPr/>
    </dgm:pt>
    <dgm:pt modelId="{E9344533-571F-48FF-B221-7CE27D1FAD8F}" type="pres">
      <dgm:prSet presAssocID="{BE108FD2-3A0C-4907-9ADF-8F5A07EE0C01}" presName="hierChild2" presStyleCnt="0"/>
      <dgm:spPr/>
    </dgm:pt>
    <dgm:pt modelId="{340F67C4-F267-4C22-B5DF-B7550B5CA0DF}" type="pres">
      <dgm:prSet presAssocID="{98738C59-5ADF-4431-8B3C-5AAD82547238}" presName="Name37" presStyleLbl="parChTrans1D2" presStyleIdx="0" presStyleCnt="5"/>
      <dgm:spPr/>
    </dgm:pt>
    <dgm:pt modelId="{3B530F0C-F368-430D-9728-F0951AF79F67}" type="pres">
      <dgm:prSet presAssocID="{23ED8CFC-81C1-428B-A966-C87223B77595}" presName="hierRoot2" presStyleCnt="0">
        <dgm:presLayoutVars>
          <dgm:hierBranch val="init"/>
        </dgm:presLayoutVars>
      </dgm:prSet>
      <dgm:spPr/>
    </dgm:pt>
    <dgm:pt modelId="{0541DB2A-74CC-40F8-A4C9-221E4BDDBC0F}" type="pres">
      <dgm:prSet presAssocID="{23ED8CFC-81C1-428B-A966-C87223B77595}" presName="rootComposite" presStyleCnt="0"/>
      <dgm:spPr/>
    </dgm:pt>
    <dgm:pt modelId="{7A0B9906-977A-4B42-942C-11DDBAD50226}" type="pres">
      <dgm:prSet presAssocID="{23ED8CFC-81C1-428B-A966-C87223B77595}" presName="rootText" presStyleLbl="node2" presStyleIdx="0" presStyleCnt="5">
        <dgm:presLayoutVars>
          <dgm:chPref val="3"/>
        </dgm:presLayoutVars>
      </dgm:prSet>
      <dgm:spPr/>
    </dgm:pt>
    <dgm:pt modelId="{4DF62BC4-0040-4565-93E9-FE04334E95F7}" type="pres">
      <dgm:prSet presAssocID="{23ED8CFC-81C1-428B-A966-C87223B77595}" presName="rootConnector" presStyleLbl="node2" presStyleIdx="0" presStyleCnt="5"/>
      <dgm:spPr/>
    </dgm:pt>
    <dgm:pt modelId="{ADE0A641-D530-4348-A4C3-AE6295B7BFB2}" type="pres">
      <dgm:prSet presAssocID="{23ED8CFC-81C1-428B-A966-C87223B77595}" presName="hierChild4" presStyleCnt="0"/>
      <dgm:spPr/>
    </dgm:pt>
    <dgm:pt modelId="{3D65BB9A-E472-4012-9432-AF20FB359CF9}" type="pres">
      <dgm:prSet presAssocID="{F068F1B7-D50F-4E19-AF22-0D439665847E}" presName="Name37" presStyleLbl="parChTrans1D3" presStyleIdx="0" presStyleCnt="4"/>
      <dgm:spPr/>
    </dgm:pt>
    <dgm:pt modelId="{0EEB9817-48D2-459A-BF87-6EE7F6749BC8}" type="pres">
      <dgm:prSet presAssocID="{A53E9160-5CAA-4D15-A8FF-26C7A1BB68F3}" presName="hierRoot2" presStyleCnt="0">
        <dgm:presLayoutVars>
          <dgm:hierBranch val="init"/>
        </dgm:presLayoutVars>
      </dgm:prSet>
      <dgm:spPr/>
    </dgm:pt>
    <dgm:pt modelId="{507DE141-A108-4466-A9FC-498E5E6CE6FF}" type="pres">
      <dgm:prSet presAssocID="{A53E9160-5CAA-4D15-A8FF-26C7A1BB68F3}" presName="rootComposite" presStyleCnt="0"/>
      <dgm:spPr/>
    </dgm:pt>
    <dgm:pt modelId="{1FB34EFA-170E-4CEC-8A83-94E6D3D1104A}" type="pres">
      <dgm:prSet presAssocID="{A53E9160-5CAA-4D15-A8FF-26C7A1BB68F3}" presName="rootText" presStyleLbl="node3" presStyleIdx="0" presStyleCnt="4">
        <dgm:presLayoutVars>
          <dgm:chPref val="3"/>
        </dgm:presLayoutVars>
      </dgm:prSet>
      <dgm:spPr/>
    </dgm:pt>
    <dgm:pt modelId="{13EE620A-8E91-4933-90A0-B10DD4BFB838}" type="pres">
      <dgm:prSet presAssocID="{A53E9160-5CAA-4D15-A8FF-26C7A1BB68F3}" presName="rootConnector" presStyleLbl="node3" presStyleIdx="0" presStyleCnt="4"/>
      <dgm:spPr/>
    </dgm:pt>
    <dgm:pt modelId="{F2590A2E-914F-42F0-B0E2-B8E1E522C117}" type="pres">
      <dgm:prSet presAssocID="{A53E9160-5CAA-4D15-A8FF-26C7A1BB68F3}" presName="hierChild4" presStyleCnt="0"/>
      <dgm:spPr/>
    </dgm:pt>
    <dgm:pt modelId="{3A5A8D36-8B03-42BF-B627-CE87AF11EC22}" type="pres">
      <dgm:prSet presAssocID="{345A7164-9B84-4772-B53F-578508EB30FA}" presName="Name37" presStyleLbl="parChTrans1D4" presStyleIdx="0" presStyleCnt="4"/>
      <dgm:spPr/>
    </dgm:pt>
    <dgm:pt modelId="{7D182248-D391-4EEA-BCFF-9EFF4F0659C7}" type="pres">
      <dgm:prSet presAssocID="{2046EEBA-982B-4301-8241-2803CAE760D1}" presName="hierRoot2" presStyleCnt="0">
        <dgm:presLayoutVars>
          <dgm:hierBranch val="init"/>
        </dgm:presLayoutVars>
      </dgm:prSet>
      <dgm:spPr/>
    </dgm:pt>
    <dgm:pt modelId="{1D625D73-B697-4891-BA6E-54D81034BF41}" type="pres">
      <dgm:prSet presAssocID="{2046EEBA-982B-4301-8241-2803CAE760D1}" presName="rootComposite" presStyleCnt="0"/>
      <dgm:spPr/>
    </dgm:pt>
    <dgm:pt modelId="{43782A98-1838-41BA-B5F4-3F6A5D3A4643}" type="pres">
      <dgm:prSet presAssocID="{2046EEBA-982B-4301-8241-2803CAE760D1}" presName="rootText" presStyleLbl="node4" presStyleIdx="0" presStyleCnt="4" custLinFactY="30121" custLinFactNeighborX="-1346" custLinFactNeighborY="100000">
        <dgm:presLayoutVars>
          <dgm:chPref val="3"/>
        </dgm:presLayoutVars>
      </dgm:prSet>
      <dgm:spPr/>
    </dgm:pt>
    <dgm:pt modelId="{8AF5AB59-B06C-46A8-910F-A9FC22C138D6}" type="pres">
      <dgm:prSet presAssocID="{2046EEBA-982B-4301-8241-2803CAE760D1}" presName="rootConnector" presStyleLbl="node4" presStyleIdx="0" presStyleCnt="4"/>
      <dgm:spPr/>
    </dgm:pt>
    <dgm:pt modelId="{C01AD7B7-51E8-4A3B-8D3B-5E509C0EBD14}" type="pres">
      <dgm:prSet presAssocID="{2046EEBA-982B-4301-8241-2803CAE760D1}" presName="hierChild4" presStyleCnt="0"/>
      <dgm:spPr/>
    </dgm:pt>
    <dgm:pt modelId="{3AB739AB-CB04-4871-88F4-1806691FA6FB}" type="pres">
      <dgm:prSet presAssocID="{2046EEBA-982B-4301-8241-2803CAE760D1}" presName="hierChild5" presStyleCnt="0"/>
      <dgm:spPr/>
    </dgm:pt>
    <dgm:pt modelId="{A440448E-AD3F-4042-8AC2-096A091EB180}" type="pres">
      <dgm:prSet presAssocID="{A53E9160-5CAA-4D15-A8FF-26C7A1BB68F3}" presName="hierChild5" presStyleCnt="0"/>
      <dgm:spPr/>
    </dgm:pt>
    <dgm:pt modelId="{F4372CDA-AFB5-4451-92EF-ECBD1813E030}" type="pres">
      <dgm:prSet presAssocID="{3CB4F370-1677-4FF7-A431-6F134EE8D01A}" presName="Name37" presStyleLbl="parChTrans1D3" presStyleIdx="1" presStyleCnt="4"/>
      <dgm:spPr/>
    </dgm:pt>
    <dgm:pt modelId="{AA08A403-89D7-4468-860F-4C8D9083D262}" type="pres">
      <dgm:prSet presAssocID="{04D28262-27D4-4A96-8A9B-E9CC736D7103}" presName="hierRoot2" presStyleCnt="0">
        <dgm:presLayoutVars>
          <dgm:hierBranch val="init"/>
        </dgm:presLayoutVars>
      </dgm:prSet>
      <dgm:spPr/>
    </dgm:pt>
    <dgm:pt modelId="{7ECA534C-9B68-4623-86C0-B1B2B8E47C27}" type="pres">
      <dgm:prSet presAssocID="{04D28262-27D4-4A96-8A9B-E9CC736D7103}" presName="rootComposite" presStyleCnt="0"/>
      <dgm:spPr/>
    </dgm:pt>
    <dgm:pt modelId="{BF4BB1AA-4DBE-4507-B279-84DB611DE3D9}" type="pres">
      <dgm:prSet presAssocID="{04D28262-27D4-4A96-8A9B-E9CC736D7103}" presName="rootText" presStyleLbl="node3" presStyleIdx="1" presStyleCnt="4">
        <dgm:presLayoutVars>
          <dgm:chPref val="3"/>
        </dgm:presLayoutVars>
      </dgm:prSet>
      <dgm:spPr/>
    </dgm:pt>
    <dgm:pt modelId="{B662C18C-FD65-4B35-81DA-0AA07988768D}" type="pres">
      <dgm:prSet presAssocID="{04D28262-27D4-4A96-8A9B-E9CC736D7103}" presName="rootConnector" presStyleLbl="node3" presStyleIdx="1" presStyleCnt="4"/>
      <dgm:spPr/>
    </dgm:pt>
    <dgm:pt modelId="{9459F0E1-5508-4192-A472-B8C4A37233FB}" type="pres">
      <dgm:prSet presAssocID="{04D28262-27D4-4A96-8A9B-E9CC736D7103}" presName="hierChild4" presStyleCnt="0"/>
      <dgm:spPr/>
    </dgm:pt>
    <dgm:pt modelId="{B8429EAD-8128-43ED-AC95-1F16B0237B6E}" type="pres">
      <dgm:prSet presAssocID="{819E766C-2ED8-47CA-A45D-E5D90E97075D}" presName="Name37" presStyleLbl="parChTrans1D4" presStyleIdx="1" presStyleCnt="4"/>
      <dgm:spPr/>
    </dgm:pt>
    <dgm:pt modelId="{B78DF617-0C60-4DFF-9A4A-3499B36D3A05}" type="pres">
      <dgm:prSet presAssocID="{A8B36F11-EDFA-448E-ACCA-F4E3B0ABB64C}" presName="hierRoot2" presStyleCnt="0">
        <dgm:presLayoutVars>
          <dgm:hierBranch val="init"/>
        </dgm:presLayoutVars>
      </dgm:prSet>
      <dgm:spPr/>
    </dgm:pt>
    <dgm:pt modelId="{6E5C4F98-26EB-440B-BEE0-9C5BD6BCEA32}" type="pres">
      <dgm:prSet presAssocID="{A8B36F11-EDFA-448E-ACCA-F4E3B0ABB64C}" presName="rootComposite" presStyleCnt="0"/>
      <dgm:spPr/>
    </dgm:pt>
    <dgm:pt modelId="{89C82BCD-3E8F-4B3E-ADEB-9F0B68EEFC29}" type="pres">
      <dgm:prSet presAssocID="{A8B36F11-EDFA-448E-ACCA-F4E3B0ABB64C}" presName="rootText" presStyleLbl="node4" presStyleIdx="1" presStyleCnt="4" custLinFactY="30121" custLinFactNeighborX="-1346" custLinFactNeighborY="100000">
        <dgm:presLayoutVars>
          <dgm:chPref val="3"/>
        </dgm:presLayoutVars>
      </dgm:prSet>
      <dgm:spPr/>
    </dgm:pt>
    <dgm:pt modelId="{A616E4E2-6302-4B13-9A4D-0A15F519358E}" type="pres">
      <dgm:prSet presAssocID="{A8B36F11-EDFA-448E-ACCA-F4E3B0ABB64C}" presName="rootConnector" presStyleLbl="node4" presStyleIdx="1" presStyleCnt="4"/>
      <dgm:spPr/>
    </dgm:pt>
    <dgm:pt modelId="{72703296-1B66-4433-9D88-4E9CC73449CD}" type="pres">
      <dgm:prSet presAssocID="{A8B36F11-EDFA-448E-ACCA-F4E3B0ABB64C}" presName="hierChild4" presStyleCnt="0"/>
      <dgm:spPr/>
    </dgm:pt>
    <dgm:pt modelId="{C8674BAC-EC0F-48E6-BE54-13CC6AF2546C}" type="pres">
      <dgm:prSet presAssocID="{A8B36F11-EDFA-448E-ACCA-F4E3B0ABB64C}" presName="hierChild5" presStyleCnt="0"/>
      <dgm:spPr/>
    </dgm:pt>
    <dgm:pt modelId="{D7C749B0-249E-4EFF-B39B-600769655A0E}" type="pres">
      <dgm:prSet presAssocID="{04D28262-27D4-4A96-8A9B-E9CC736D7103}" presName="hierChild5" presStyleCnt="0"/>
      <dgm:spPr/>
    </dgm:pt>
    <dgm:pt modelId="{52FD661B-2D3B-49BB-9A28-EEFCCA35AD9B}" type="pres">
      <dgm:prSet presAssocID="{D0B3D3DE-7CB5-4F0F-B82E-AE744B2CBB75}" presName="Name37" presStyleLbl="parChTrans1D3" presStyleIdx="2" presStyleCnt="4"/>
      <dgm:spPr/>
    </dgm:pt>
    <dgm:pt modelId="{C7EB2C27-4BE2-4C9E-9FBD-516A7416693A}" type="pres">
      <dgm:prSet presAssocID="{1D8AAA2E-60A5-4FA8-BB8D-CF032DC80AE2}" presName="hierRoot2" presStyleCnt="0">
        <dgm:presLayoutVars>
          <dgm:hierBranch val="init"/>
        </dgm:presLayoutVars>
      </dgm:prSet>
      <dgm:spPr/>
    </dgm:pt>
    <dgm:pt modelId="{2D67EAD2-9E10-49BF-9895-79AFB5089F5D}" type="pres">
      <dgm:prSet presAssocID="{1D8AAA2E-60A5-4FA8-BB8D-CF032DC80AE2}" presName="rootComposite" presStyleCnt="0"/>
      <dgm:spPr/>
    </dgm:pt>
    <dgm:pt modelId="{2475995F-D1F8-4107-A258-730E90BCD88D}" type="pres">
      <dgm:prSet presAssocID="{1D8AAA2E-60A5-4FA8-BB8D-CF032DC80AE2}" presName="rootText" presStyleLbl="node3" presStyleIdx="2" presStyleCnt="4">
        <dgm:presLayoutVars>
          <dgm:chPref val="3"/>
        </dgm:presLayoutVars>
      </dgm:prSet>
      <dgm:spPr/>
    </dgm:pt>
    <dgm:pt modelId="{F0C0DE88-8657-4FB8-84E9-EE1A7E96A7BA}" type="pres">
      <dgm:prSet presAssocID="{1D8AAA2E-60A5-4FA8-BB8D-CF032DC80AE2}" presName="rootConnector" presStyleLbl="node3" presStyleIdx="2" presStyleCnt="4"/>
      <dgm:spPr/>
    </dgm:pt>
    <dgm:pt modelId="{965FFA83-479B-47EC-8AF1-1C0CFFC610CE}" type="pres">
      <dgm:prSet presAssocID="{1D8AAA2E-60A5-4FA8-BB8D-CF032DC80AE2}" presName="hierChild4" presStyleCnt="0"/>
      <dgm:spPr/>
    </dgm:pt>
    <dgm:pt modelId="{91D23516-BC80-4A96-83F0-C5CFAB70308E}" type="pres">
      <dgm:prSet presAssocID="{61B097B9-80ED-4819-BEC2-3D1040F26A3F}" presName="Name37" presStyleLbl="parChTrans1D4" presStyleIdx="2" presStyleCnt="4"/>
      <dgm:spPr/>
    </dgm:pt>
    <dgm:pt modelId="{B8824ECB-13C7-4A8B-9913-B10FF9421312}" type="pres">
      <dgm:prSet presAssocID="{01E09FA3-99A2-4DF9-9321-D18EE72FF41D}" presName="hierRoot2" presStyleCnt="0">
        <dgm:presLayoutVars>
          <dgm:hierBranch val="init"/>
        </dgm:presLayoutVars>
      </dgm:prSet>
      <dgm:spPr/>
    </dgm:pt>
    <dgm:pt modelId="{C58BDCA1-9B4F-40F3-8ABB-174C68C01412}" type="pres">
      <dgm:prSet presAssocID="{01E09FA3-99A2-4DF9-9321-D18EE72FF41D}" presName="rootComposite" presStyleCnt="0"/>
      <dgm:spPr/>
    </dgm:pt>
    <dgm:pt modelId="{96EAEC2D-51A0-4D58-8D8D-ED695F4677BC}" type="pres">
      <dgm:prSet presAssocID="{01E09FA3-99A2-4DF9-9321-D18EE72FF41D}" presName="rootText" presStyleLbl="node4" presStyleIdx="2" presStyleCnt="4" custLinFactY="30121" custLinFactNeighborX="-1346" custLinFactNeighborY="100000">
        <dgm:presLayoutVars>
          <dgm:chPref val="3"/>
        </dgm:presLayoutVars>
      </dgm:prSet>
      <dgm:spPr/>
    </dgm:pt>
    <dgm:pt modelId="{6028E1F5-EAEC-42CF-AD1E-785122FD505B}" type="pres">
      <dgm:prSet presAssocID="{01E09FA3-99A2-4DF9-9321-D18EE72FF41D}" presName="rootConnector" presStyleLbl="node4" presStyleIdx="2" presStyleCnt="4"/>
      <dgm:spPr/>
    </dgm:pt>
    <dgm:pt modelId="{DB86481F-E835-4255-93DD-00A8591AFD2A}" type="pres">
      <dgm:prSet presAssocID="{01E09FA3-99A2-4DF9-9321-D18EE72FF41D}" presName="hierChild4" presStyleCnt="0"/>
      <dgm:spPr/>
    </dgm:pt>
    <dgm:pt modelId="{1F21D95E-A82F-4FEC-8679-201D0F68FF87}" type="pres">
      <dgm:prSet presAssocID="{01E09FA3-99A2-4DF9-9321-D18EE72FF41D}" presName="hierChild5" presStyleCnt="0"/>
      <dgm:spPr/>
    </dgm:pt>
    <dgm:pt modelId="{A69BEC85-7D63-48D6-B881-C892AE65D5D6}" type="pres">
      <dgm:prSet presAssocID="{1D8AAA2E-60A5-4FA8-BB8D-CF032DC80AE2}" presName="hierChild5" presStyleCnt="0"/>
      <dgm:spPr/>
    </dgm:pt>
    <dgm:pt modelId="{17103C69-0302-483E-83B6-DDD01D942D32}" type="pres">
      <dgm:prSet presAssocID="{1D8C16E0-4599-455F-94C1-B94B89884C13}" presName="Name37" presStyleLbl="parChTrans1D3" presStyleIdx="3" presStyleCnt="4"/>
      <dgm:spPr/>
    </dgm:pt>
    <dgm:pt modelId="{6D7C1801-74A8-4D14-BCD0-996644C52870}" type="pres">
      <dgm:prSet presAssocID="{A40BA4BE-0B14-451B-9D4C-5CA23E3806E7}" presName="hierRoot2" presStyleCnt="0">
        <dgm:presLayoutVars>
          <dgm:hierBranch val="init"/>
        </dgm:presLayoutVars>
      </dgm:prSet>
      <dgm:spPr/>
    </dgm:pt>
    <dgm:pt modelId="{BE7D34A5-5527-4060-B06D-654E69E5502B}" type="pres">
      <dgm:prSet presAssocID="{A40BA4BE-0B14-451B-9D4C-5CA23E3806E7}" presName="rootComposite" presStyleCnt="0"/>
      <dgm:spPr/>
    </dgm:pt>
    <dgm:pt modelId="{8626661B-01F0-4DF6-819E-869027AAF714}" type="pres">
      <dgm:prSet presAssocID="{A40BA4BE-0B14-451B-9D4C-5CA23E3806E7}" presName="rootText" presStyleLbl="node3" presStyleIdx="3" presStyleCnt="4">
        <dgm:presLayoutVars>
          <dgm:chPref val="3"/>
        </dgm:presLayoutVars>
      </dgm:prSet>
      <dgm:spPr/>
    </dgm:pt>
    <dgm:pt modelId="{0857AC9D-95D4-4A52-9D1C-207F7D093922}" type="pres">
      <dgm:prSet presAssocID="{A40BA4BE-0B14-451B-9D4C-5CA23E3806E7}" presName="rootConnector" presStyleLbl="node3" presStyleIdx="3" presStyleCnt="4"/>
      <dgm:spPr/>
    </dgm:pt>
    <dgm:pt modelId="{5DB5BE4C-CAFC-4A01-86F3-DA9FA36C0D79}" type="pres">
      <dgm:prSet presAssocID="{A40BA4BE-0B14-451B-9D4C-5CA23E3806E7}" presName="hierChild4" presStyleCnt="0"/>
      <dgm:spPr/>
    </dgm:pt>
    <dgm:pt modelId="{1CFCAC33-F28B-4BE4-B86C-6C7DF7DFC108}" type="pres">
      <dgm:prSet presAssocID="{69494B5E-50FF-4F1D-9825-8FDC2B68D937}" presName="Name37" presStyleLbl="parChTrans1D4" presStyleIdx="3" presStyleCnt="4"/>
      <dgm:spPr/>
    </dgm:pt>
    <dgm:pt modelId="{25D1CF56-B460-4FDF-A999-1CD2DD601421}" type="pres">
      <dgm:prSet presAssocID="{4D9F74E5-BA62-42F8-B114-413718964F39}" presName="hierRoot2" presStyleCnt="0">
        <dgm:presLayoutVars>
          <dgm:hierBranch val="init"/>
        </dgm:presLayoutVars>
      </dgm:prSet>
      <dgm:spPr/>
    </dgm:pt>
    <dgm:pt modelId="{CA0862ED-6417-4702-8D20-F6CCD60B7935}" type="pres">
      <dgm:prSet presAssocID="{4D9F74E5-BA62-42F8-B114-413718964F39}" presName="rootComposite" presStyleCnt="0"/>
      <dgm:spPr/>
    </dgm:pt>
    <dgm:pt modelId="{859E0FBF-A04C-41A7-A7EC-948BE89D5DDD}" type="pres">
      <dgm:prSet presAssocID="{4D9F74E5-BA62-42F8-B114-413718964F39}" presName="rootText" presStyleLbl="node4" presStyleIdx="3" presStyleCnt="4" custLinFactY="30121" custLinFactNeighborX="-1346" custLinFactNeighborY="100000">
        <dgm:presLayoutVars>
          <dgm:chPref val="3"/>
        </dgm:presLayoutVars>
      </dgm:prSet>
      <dgm:spPr/>
    </dgm:pt>
    <dgm:pt modelId="{FF7622DF-90D1-4E9A-B146-852AC3119D49}" type="pres">
      <dgm:prSet presAssocID="{4D9F74E5-BA62-42F8-B114-413718964F39}" presName="rootConnector" presStyleLbl="node4" presStyleIdx="3" presStyleCnt="4"/>
      <dgm:spPr/>
    </dgm:pt>
    <dgm:pt modelId="{C57ED237-440C-419F-8E71-F88C904A4F40}" type="pres">
      <dgm:prSet presAssocID="{4D9F74E5-BA62-42F8-B114-413718964F39}" presName="hierChild4" presStyleCnt="0"/>
      <dgm:spPr/>
    </dgm:pt>
    <dgm:pt modelId="{03317CF8-3CFE-4E8E-B8C3-E026194D5DD8}" type="pres">
      <dgm:prSet presAssocID="{4D9F74E5-BA62-42F8-B114-413718964F39}" presName="hierChild5" presStyleCnt="0"/>
      <dgm:spPr/>
    </dgm:pt>
    <dgm:pt modelId="{1C6CC99E-B773-4ACD-9060-AC6310D71328}" type="pres">
      <dgm:prSet presAssocID="{A40BA4BE-0B14-451B-9D4C-5CA23E3806E7}" presName="hierChild5" presStyleCnt="0"/>
      <dgm:spPr/>
    </dgm:pt>
    <dgm:pt modelId="{289BC3D3-6900-4405-AF4F-92EACE1CB878}" type="pres">
      <dgm:prSet presAssocID="{23ED8CFC-81C1-428B-A966-C87223B77595}" presName="hierChild5" presStyleCnt="0"/>
      <dgm:spPr/>
    </dgm:pt>
    <dgm:pt modelId="{A6339135-5765-4A4B-AE66-1F85B67972B6}" type="pres">
      <dgm:prSet presAssocID="{EEACE347-62BD-43BF-9D33-81718D276236}" presName="Name37" presStyleLbl="parChTrans1D2" presStyleIdx="1" presStyleCnt="5"/>
      <dgm:spPr/>
    </dgm:pt>
    <dgm:pt modelId="{229BEA70-9311-4A25-9595-781F96417EA2}" type="pres">
      <dgm:prSet presAssocID="{EAA85139-F8E3-4BBA-8393-786789E6EBE2}" presName="hierRoot2" presStyleCnt="0">
        <dgm:presLayoutVars>
          <dgm:hierBranch val="init"/>
        </dgm:presLayoutVars>
      </dgm:prSet>
      <dgm:spPr/>
    </dgm:pt>
    <dgm:pt modelId="{D5E3CC9F-3F6B-4D10-A6ED-A2946E623EF2}" type="pres">
      <dgm:prSet presAssocID="{EAA85139-F8E3-4BBA-8393-786789E6EBE2}" presName="rootComposite" presStyleCnt="0"/>
      <dgm:spPr/>
    </dgm:pt>
    <dgm:pt modelId="{0865E7C1-C8C5-4628-BF91-DFD448E2F845}" type="pres">
      <dgm:prSet presAssocID="{EAA85139-F8E3-4BBA-8393-786789E6EBE2}" presName="rootText" presStyleLbl="node2" presStyleIdx="1" presStyleCnt="5" custLinFactNeighborX="4412">
        <dgm:presLayoutVars>
          <dgm:chPref val="3"/>
        </dgm:presLayoutVars>
      </dgm:prSet>
      <dgm:spPr/>
    </dgm:pt>
    <dgm:pt modelId="{653B3261-3336-439D-8CA1-E643C0521771}" type="pres">
      <dgm:prSet presAssocID="{EAA85139-F8E3-4BBA-8393-786789E6EBE2}" presName="rootConnector" presStyleLbl="node2" presStyleIdx="1" presStyleCnt="5"/>
      <dgm:spPr/>
    </dgm:pt>
    <dgm:pt modelId="{9BA7BDF4-D218-48E7-A497-B9F6038DBB89}" type="pres">
      <dgm:prSet presAssocID="{EAA85139-F8E3-4BBA-8393-786789E6EBE2}" presName="hierChild4" presStyleCnt="0"/>
      <dgm:spPr/>
    </dgm:pt>
    <dgm:pt modelId="{ECBC1C88-C064-4FCB-8BE5-9A9B55AE6E6A}" type="pres">
      <dgm:prSet presAssocID="{EAA85139-F8E3-4BBA-8393-786789E6EBE2}" presName="hierChild5" presStyleCnt="0"/>
      <dgm:spPr/>
    </dgm:pt>
    <dgm:pt modelId="{9212C7B4-A036-482B-A3D9-AA773E264725}" type="pres">
      <dgm:prSet presAssocID="{814D8EC5-A029-4C0B-8818-7679B1066622}" presName="Name37" presStyleLbl="parChTrans1D2" presStyleIdx="2" presStyleCnt="5"/>
      <dgm:spPr/>
    </dgm:pt>
    <dgm:pt modelId="{AD74046B-5360-4517-A12C-9F42201B4D9B}" type="pres">
      <dgm:prSet presAssocID="{D3EAD832-C3B7-4F16-9218-900EF7C01B26}" presName="hierRoot2" presStyleCnt="0">
        <dgm:presLayoutVars>
          <dgm:hierBranch val="init"/>
        </dgm:presLayoutVars>
      </dgm:prSet>
      <dgm:spPr/>
    </dgm:pt>
    <dgm:pt modelId="{3BB6078C-1922-4E8B-B257-10DF6457F419}" type="pres">
      <dgm:prSet presAssocID="{D3EAD832-C3B7-4F16-9218-900EF7C01B26}" presName="rootComposite" presStyleCnt="0"/>
      <dgm:spPr/>
    </dgm:pt>
    <dgm:pt modelId="{7AA36B74-A52B-45E3-A0CB-60087D0C2443}" type="pres">
      <dgm:prSet presAssocID="{D3EAD832-C3B7-4F16-9218-900EF7C01B26}" presName="rootText" presStyleLbl="node2" presStyleIdx="2" presStyleCnt="5">
        <dgm:presLayoutVars>
          <dgm:chPref val="3"/>
        </dgm:presLayoutVars>
      </dgm:prSet>
      <dgm:spPr/>
    </dgm:pt>
    <dgm:pt modelId="{A9BC85F3-FCB6-4CF0-8CCC-4C4CB663CFB9}" type="pres">
      <dgm:prSet presAssocID="{D3EAD832-C3B7-4F16-9218-900EF7C01B26}" presName="rootConnector" presStyleLbl="node2" presStyleIdx="2" presStyleCnt="5"/>
      <dgm:spPr/>
    </dgm:pt>
    <dgm:pt modelId="{2F13A907-A147-4CF6-A78E-ACFBD33DEF94}" type="pres">
      <dgm:prSet presAssocID="{D3EAD832-C3B7-4F16-9218-900EF7C01B26}" presName="hierChild4" presStyleCnt="0"/>
      <dgm:spPr/>
    </dgm:pt>
    <dgm:pt modelId="{4B3C8E36-C582-44A1-BD1F-A44F180DCADF}" type="pres">
      <dgm:prSet presAssocID="{D3EAD832-C3B7-4F16-9218-900EF7C01B26}" presName="hierChild5" presStyleCnt="0"/>
      <dgm:spPr/>
    </dgm:pt>
    <dgm:pt modelId="{83E92D29-5D87-4FBD-92AC-2EEFA23E617A}" type="pres">
      <dgm:prSet presAssocID="{38CB51C5-3562-4000-A3D7-91940DD857E4}" presName="Name37" presStyleLbl="parChTrans1D2" presStyleIdx="3" presStyleCnt="5"/>
      <dgm:spPr/>
    </dgm:pt>
    <dgm:pt modelId="{8473ACC8-048A-42E7-AFE9-979DD9A621A4}" type="pres">
      <dgm:prSet presAssocID="{720A84F5-A8C3-42D6-9F6F-4D2126BBBA83}" presName="hierRoot2" presStyleCnt="0">
        <dgm:presLayoutVars>
          <dgm:hierBranch val="init"/>
        </dgm:presLayoutVars>
      </dgm:prSet>
      <dgm:spPr/>
    </dgm:pt>
    <dgm:pt modelId="{420094F4-BAA9-40AE-B319-FA30DFAA258F}" type="pres">
      <dgm:prSet presAssocID="{720A84F5-A8C3-42D6-9F6F-4D2126BBBA83}" presName="rootComposite" presStyleCnt="0"/>
      <dgm:spPr/>
    </dgm:pt>
    <dgm:pt modelId="{8164BF52-63BB-40C9-A999-DB74F871BBE3}" type="pres">
      <dgm:prSet presAssocID="{720A84F5-A8C3-42D6-9F6F-4D2126BBBA83}" presName="rootText" presStyleLbl="node2" presStyleIdx="3" presStyleCnt="5">
        <dgm:presLayoutVars>
          <dgm:chPref val="3"/>
        </dgm:presLayoutVars>
      </dgm:prSet>
      <dgm:spPr/>
    </dgm:pt>
    <dgm:pt modelId="{3AABA5AD-67FB-4A5E-84CC-23B186557FB6}" type="pres">
      <dgm:prSet presAssocID="{720A84F5-A8C3-42D6-9F6F-4D2126BBBA83}" presName="rootConnector" presStyleLbl="node2" presStyleIdx="3" presStyleCnt="5"/>
      <dgm:spPr/>
    </dgm:pt>
    <dgm:pt modelId="{3D9DE625-E69C-4266-8428-D1316D2ED9B0}" type="pres">
      <dgm:prSet presAssocID="{720A84F5-A8C3-42D6-9F6F-4D2126BBBA83}" presName="hierChild4" presStyleCnt="0"/>
      <dgm:spPr/>
    </dgm:pt>
    <dgm:pt modelId="{D6127A26-2E68-4B06-B9AD-3C2A370A55C7}" type="pres">
      <dgm:prSet presAssocID="{720A84F5-A8C3-42D6-9F6F-4D2126BBBA83}" presName="hierChild5" presStyleCnt="0"/>
      <dgm:spPr/>
    </dgm:pt>
    <dgm:pt modelId="{00268D7A-8C38-48B0-961F-1FD70B54E78D}" type="pres">
      <dgm:prSet presAssocID="{D7203144-6EEB-4CE8-8887-D45809D8E0A2}" presName="Name37" presStyleLbl="parChTrans1D2" presStyleIdx="4" presStyleCnt="5"/>
      <dgm:spPr/>
    </dgm:pt>
    <dgm:pt modelId="{29B2F634-9C26-476A-86AF-8EC37649FEFD}" type="pres">
      <dgm:prSet presAssocID="{904C68A8-6EB1-4096-BAE2-F8597E3545F7}" presName="hierRoot2" presStyleCnt="0">
        <dgm:presLayoutVars>
          <dgm:hierBranch val="init"/>
        </dgm:presLayoutVars>
      </dgm:prSet>
      <dgm:spPr/>
    </dgm:pt>
    <dgm:pt modelId="{3193FDBC-03F9-4399-A776-07F180B82236}" type="pres">
      <dgm:prSet presAssocID="{904C68A8-6EB1-4096-BAE2-F8597E3545F7}" presName="rootComposite" presStyleCnt="0"/>
      <dgm:spPr/>
    </dgm:pt>
    <dgm:pt modelId="{2A9C3C54-5B58-49BD-BB0F-7BD286DF6C57}" type="pres">
      <dgm:prSet presAssocID="{904C68A8-6EB1-4096-BAE2-F8597E3545F7}" presName="rootText" presStyleLbl="node2" presStyleIdx="4" presStyleCnt="5">
        <dgm:presLayoutVars>
          <dgm:chPref val="3"/>
        </dgm:presLayoutVars>
      </dgm:prSet>
      <dgm:spPr/>
    </dgm:pt>
    <dgm:pt modelId="{75F1D8B1-431B-40B6-B7D0-99CA4BAD291D}" type="pres">
      <dgm:prSet presAssocID="{904C68A8-6EB1-4096-BAE2-F8597E3545F7}" presName="rootConnector" presStyleLbl="node2" presStyleIdx="4" presStyleCnt="5"/>
      <dgm:spPr/>
    </dgm:pt>
    <dgm:pt modelId="{AAD0481A-6EA6-4AC8-8F38-35667754CC35}" type="pres">
      <dgm:prSet presAssocID="{904C68A8-6EB1-4096-BAE2-F8597E3545F7}" presName="hierChild4" presStyleCnt="0"/>
      <dgm:spPr/>
    </dgm:pt>
    <dgm:pt modelId="{C89F1E55-C151-4630-AECB-8DE73B34F6E0}" type="pres">
      <dgm:prSet presAssocID="{904C68A8-6EB1-4096-BAE2-F8597E3545F7}" presName="hierChild5" presStyleCnt="0"/>
      <dgm:spPr/>
    </dgm:pt>
    <dgm:pt modelId="{7750E4D9-DB4C-4E8F-8CE6-4C4B89A1ECFF}" type="pres">
      <dgm:prSet presAssocID="{BE108FD2-3A0C-4907-9ADF-8F5A07EE0C01}" presName="hierChild3" presStyleCnt="0"/>
      <dgm:spPr/>
    </dgm:pt>
  </dgm:ptLst>
  <dgm:cxnLst>
    <dgm:cxn modelId="{2B870502-9B1B-4585-95F4-A123DF81CA0B}" type="presOf" srcId="{345A7164-9B84-4772-B53F-578508EB30FA}" destId="{3A5A8D36-8B03-42BF-B627-CE87AF11EC22}" srcOrd="0" destOrd="0" presId="urn:microsoft.com/office/officeart/2005/8/layout/orgChart1"/>
    <dgm:cxn modelId="{E0FCF806-74F9-4621-B431-0B01D73D49BD}" type="presOf" srcId="{A8B36F11-EDFA-448E-ACCA-F4E3B0ABB64C}" destId="{89C82BCD-3E8F-4B3E-ADEB-9F0B68EEFC29}" srcOrd="0" destOrd="0" presId="urn:microsoft.com/office/officeart/2005/8/layout/orgChart1"/>
    <dgm:cxn modelId="{EC25550A-E9CC-45FC-88B3-54160EF44D16}" srcId="{BE108FD2-3A0C-4907-9ADF-8F5A07EE0C01}" destId="{23ED8CFC-81C1-428B-A966-C87223B77595}" srcOrd="0" destOrd="0" parTransId="{98738C59-5ADF-4431-8B3C-5AAD82547238}" sibTransId="{F2759905-CCCC-465E-9841-8A119BD49559}"/>
    <dgm:cxn modelId="{93AFF50C-E062-49F7-995A-5DE16FD8AE02}" type="presOf" srcId="{D7203144-6EEB-4CE8-8887-D45809D8E0A2}" destId="{00268D7A-8C38-48B0-961F-1FD70B54E78D}" srcOrd="0" destOrd="0" presId="urn:microsoft.com/office/officeart/2005/8/layout/orgChart1"/>
    <dgm:cxn modelId="{EBFE660E-8517-408C-A626-E3D07E016552}" type="presOf" srcId="{04D28262-27D4-4A96-8A9B-E9CC736D7103}" destId="{BF4BB1AA-4DBE-4507-B279-84DB611DE3D9}" srcOrd="0" destOrd="0" presId="urn:microsoft.com/office/officeart/2005/8/layout/orgChart1"/>
    <dgm:cxn modelId="{A3CDB313-A0F8-4032-9ADB-C55809D3267A}" type="presOf" srcId="{04D28262-27D4-4A96-8A9B-E9CC736D7103}" destId="{B662C18C-FD65-4B35-81DA-0AA07988768D}" srcOrd="1" destOrd="0" presId="urn:microsoft.com/office/officeart/2005/8/layout/orgChart1"/>
    <dgm:cxn modelId="{B8D4DA16-B6C4-4121-B023-F170713D6AA7}" srcId="{BE108FD2-3A0C-4907-9ADF-8F5A07EE0C01}" destId="{720A84F5-A8C3-42D6-9F6F-4D2126BBBA83}" srcOrd="3" destOrd="0" parTransId="{38CB51C5-3562-4000-A3D7-91940DD857E4}" sibTransId="{4AB5C324-30D6-4C82-8CB8-34ED816646D6}"/>
    <dgm:cxn modelId="{4A59A226-0298-4AF3-B064-BD119CE452CD}" srcId="{A40BA4BE-0B14-451B-9D4C-5CA23E3806E7}" destId="{4D9F74E5-BA62-42F8-B114-413718964F39}" srcOrd="0" destOrd="0" parTransId="{69494B5E-50FF-4F1D-9825-8FDC2B68D937}" sibTransId="{0B3E1B75-E236-4303-926D-5CA3242079CA}"/>
    <dgm:cxn modelId="{7F5EAC2E-203C-401D-9E50-A6FA2FDA94DA}" srcId="{23ED8CFC-81C1-428B-A966-C87223B77595}" destId="{1D8AAA2E-60A5-4FA8-BB8D-CF032DC80AE2}" srcOrd="2" destOrd="0" parTransId="{D0B3D3DE-7CB5-4F0F-B82E-AE744B2CBB75}" sibTransId="{1C18BB0E-00C4-4AB9-8E94-E571BD89AF5C}"/>
    <dgm:cxn modelId="{F57BDE30-D8B2-49AF-BEC6-7140ED8E3F91}" type="presOf" srcId="{01E09FA3-99A2-4DF9-9321-D18EE72FF41D}" destId="{96EAEC2D-51A0-4D58-8D8D-ED695F4677BC}" srcOrd="0" destOrd="0" presId="urn:microsoft.com/office/officeart/2005/8/layout/orgChart1"/>
    <dgm:cxn modelId="{324B2936-BE62-4603-BA2D-2C0FDE9815D0}" type="presOf" srcId="{EAA85139-F8E3-4BBA-8393-786789E6EBE2}" destId="{0865E7C1-C8C5-4628-BF91-DFD448E2F845}" srcOrd="0" destOrd="0" presId="urn:microsoft.com/office/officeart/2005/8/layout/orgChart1"/>
    <dgm:cxn modelId="{373ACC38-5177-4B97-9AB1-80E17CA92893}" type="presOf" srcId="{2046EEBA-982B-4301-8241-2803CAE760D1}" destId="{8AF5AB59-B06C-46A8-910F-A9FC22C138D6}" srcOrd="1" destOrd="0" presId="urn:microsoft.com/office/officeart/2005/8/layout/orgChart1"/>
    <dgm:cxn modelId="{148CFB39-DBFE-46A9-88EB-9741985B287B}" type="presOf" srcId="{A53E9160-5CAA-4D15-A8FF-26C7A1BB68F3}" destId="{1FB34EFA-170E-4CEC-8A83-94E6D3D1104A}" srcOrd="0" destOrd="0" presId="urn:microsoft.com/office/officeart/2005/8/layout/orgChart1"/>
    <dgm:cxn modelId="{8C83143A-D9C9-40BB-8C8F-9FD75F91FBC2}" type="presOf" srcId="{EAA85139-F8E3-4BBA-8393-786789E6EBE2}" destId="{653B3261-3336-439D-8CA1-E643C0521771}" srcOrd="1" destOrd="0" presId="urn:microsoft.com/office/officeart/2005/8/layout/orgChart1"/>
    <dgm:cxn modelId="{99444B3B-7A2F-4A8E-9C27-18483C25B821}" type="presOf" srcId="{23ED8CFC-81C1-428B-A966-C87223B77595}" destId="{4DF62BC4-0040-4565-93E9-FE04334E95F7}" srcOrd="1" destOrd="0" presId="urn:microsoft.com/office/officeart/2005/8/layout/orgChart1"/>
    <dgm:cxn modelId="{EAAE665D-9024-4C8F-B311-38B834CA51BC}" type="presOf" srcId="{814D8EC5-A029-4C0B-8818-7679B1066622}" destId="{9212C7B4-A036-482B-A3D9-AA773E264725}" srcOrd="0" destOrd="0" presId="urn:microsoft.com/office/officeart/2005/8/layout/orgChart1"/>
    <dgm:cxn modelId="{0C78355E-5FCC-4414-B32C-F9F7062C9370}" type="presOf" srcId="{1D8AAA2E-60A5-4FA8-BB8D-CF032DC80AE2}" destId="{F0C0DE88-8657-4FB8-84E9-EE1A7E96A7BA}" srcOrd="1" destOrd="0" presId="urn:microsoft.com/office/officeart/2005/8/layout/orgChart1"/>
    <dgm:cxn modelId="{35E9D75E-5A88-4170-A161-FA2BF2A5495D}" srcId="{23ED8CFC-81C1-428B-A966-C87223B77595}" destId="{A40BA4BE-0B14-451B-9D4C-5CA23E3806E7}" srcOrd="3" destOrd="0" parTransId="{1D8C16E0-4599-455F-94C1-B94B89884C13}" sibTransId="{9A41387E-C038-4649-B1C0-34385333535C}"/>
    <dgm:cxn modelId="{E7636A60-3B6B-48E7-8BF9-6E8672DDA6F4}" srcId="{A53E9160-5CAA-4D15-A8FF-26C7A1BB68F3}" destId="{2046EEBA-982B-4301-8241-2803CAE760D1}" srcOrd="0" destOrd="0" parTransId="{345A7164-9B84-4772-B53F-578508EB30FA}" sibTransId="{0603BC87-DD29-460F-B651-36077527D28A}"/>
    <dgm:cxn modelId="{7C1AEA61-29E9-49FF-930C-6321EBBC0A0D}" type="presOf" srcId="{720A84F5-A8C3-42D6-9F6F-4D2126BBBA83}" destId="{3AABA5AD-67FB-4A5E-84CC-23B186557FB6}" srcOrd="1" destOrd="0" presId="urn:microsoft.com/office/officeart/2005/8/layout/orgChart1"/>
    <dgm:cxn modelId="{06989445-AAE0-442C-8687-02557B085975}" type="presOf" srcId="{D0B3D3DE-7CB5-4F0F-B82E-AE744B2CBB75}" destId="{52FD661B-2D3B-49BB-9A28-EEFCCA35AD9B}" srcOrd="0" destOrd="0" presId="urn:microsoft.com/office/officeart/2005/8/layout/orgChart1"/>
    <dgm:cxn modelId="{E541A665-FABF-44BA-A858-C774A1EBC96C}" srcId="{1D8AAA2E-60A5-4FA8-BB8D-CF032DC80AE2}" destId="{01E09FA3-99A2-4DF9-9321-D18EE72FF41D}" srcOrd="0" destOrd="0" parTransId="{61B097B9-80ED-4819-BEC2-3D1040F26A3F}" sibTransId="{BE05A8A2-7299-4B23-A3B7-281AB018F750}"/>
    <dgm:cxn modelId="{A1DD8D67-B5BD-4001-8762-8A11B838B32E}" type="presOf" srcId="{D3EAD832-C3B7-4F16-9218-900EF7C01B26}" destId="{7AA36B74-A52B-45E3-A0CB-60087D0C2443}" srcOrd="0" destOrd="0" presId="urn:microsoft.com/office/officeart/2005/8/layout/orgChart1"/>
    <dgm:cxn modelId="{F3831569-8A20-4058-A64B-4268E5D0EDBB}" type="presOf" srcId="{904C68A8-6EB1-4096-BAE2-F8597E3545F7}" destId="{2A9C3C54-5B58-49BD-BB0F-7BD286DF6C57}" srcOrd="0" destOrd="0" presId="urn:microsoft.com/office/officeart/2005/8/layout/orgChart1"/>
    <dgm:cxn modelId="{F608F54C-3AAD-4057-8B3B-38FCFBB65B31}" srcId="{BE108FD2-3A0C-4907-9ADF-8F5A07EE0C01}" destId="{904C68A8-6EB1-4096-BAE2-F8597E3545F7}" srcOrd="4" destOrd="0" parTransId="{D7203144-6EEB-4CE8-8887-D45809D8E0A2}" sibTransId="{BD1078CA-3716-4737-9B2C-0A4BF3F70586}"/>
    <dgm:cxn modelId="{4BCF8B83-3C18-45A5-B5BA-515474ECA790}" type="presOf" srcId="{01E09FA3-99A2-4DF9-9321-D18EE72FF41D}" destId="{6028E1F5-EAEC-42CF-AD1E-785122FD505B}" srcOrd="1" destOrd="0" presId="urn:microsoft.com/office/officeart/2005/8/layout/orgChart1"/>
    <dgm:cxn modelId="{C166CB86-4844-48C3-9DFE-F65E726C3D43}" type="presOf" srcId="{98738C59-5ADF-4431-8B3C-5AAD82547238}" destId="{340F67C4-F267-4C22-B5DF-B7550B5CA0DF}" srcOrd="0" destOrd="0" presId="urn:microsoft.com/office/officeart/2005/8/layout/orgChart1"/>
    <dgm:cxn modelId="{89C01690-30C1-4A0C-A3CC-B8E39A49CDE2}" type="presOf" srcId="{2046EEBA-982B-4301-8241-2803CAE760D1}" destId="{43782A98-1838-41BA-B5F4-3F6A5D3A4643}" srcOrd="0" destOrd="0" presId="urn:microsoft.com/office/officeart/2005/8/layout/orgChart1"/>
    <dgm:cxn modelId="{8C98EB91-9C5B-45BF-BEF5-E0EEFD77DCC7}" srcId="{23ED8CFC-81C1-428B-A966-C87223B77595}" destId="{A53E9160-5CAA-4D15-A8FF-26C7A1BB68F3}" srcOrd="0" destOrd="0" parTransId="{F068F1B7-D50F-4E19-AF22-0D439665847E}" sibTransId="{439329C8-3E8D-44D1-80F8-FAF1444C6D0A}"/>
    <dgm:cxn modelId="{EDB88597-9630-4CB6-A2CD-903B5DF41076}" srcId="{7B00E043-875A-4A60-A7BD-2775E65F19B2}" destId="{BE108FD2-3A0C-4907-9ADF-8F5A07EE0C01}" srcOrd="0" destOrd="0" parTransId="{8F48B282-2873-4CA3-BE10-C61BCD1E452A}" sibTransId="{5225EDEF-6573-4E8D-A1EA-25F884A5E013}"/>
    <dgm:cxn modelId="{0A31A697-3AEE-4FAD-9723-4E07816C5A78}" srcId="{BE108FD2-3A0C-4907-9ADF-8F5A07EE0C01}" destId="{D3EAD832-C3B7-4F16-9218-900EF7C01B26}" srcOrd="2" destOrd="0" parTransId="{814D8EC5-A029-4C0B-8818-7679B1066622}" sibTransId="{ACEA1F23-050F-4A7E-81C4-B8661588BC3A}"/>
    <dgm:cxn modelId="{C844809A-B3FA-4012-95AA-B491AFA8C89A}" type="presOf" srcId="{720A84F5-A8C3-42D6-9F6F-4D2126BBBA83}" destId="{8164BF52-63BB-40C9-A999-DB74F871BBE3}" srcOrd="0" destOrd="0" presId="urn:microsoft.com/office/officeart/2005/8/layout/orgChart1"/>
    <dgm:cxn modelId="{BE00F89A-7054-40B2-B7F9-24CF6451E451}" type="presOf" srcId="{819E766C-2ED8-47CA-A45D-E5D90E97075D}" destId="{B8429EAD-8128-43ED-AC95-1F16B0237B6E}" srcOrd="0" destOrd="0" presId="urn:microsoft.com/office/officeart/2005/8/layout/orgChart1"/>
    <dgm:cxn modelId="{A71B1F9D-32AD-402B-B8CF-16054B9C31C3}" type="presOf" srcId="{4D9F74E5-BA62-42F8-B114-413718964F39}" destId="{FF7622DF-90D1-4E9A-B146-852AC3119D49}" srcOrd="1" destOrd="0" presId="urn:microsoft.com/office/officeart/2005/8/layout/orgChart1"/>
    <dgm:cxn modelId="{DBC0889D-68DF-4F66-8218-13736751E2A0}" type="presOf" srcId="{1D8AAA2E-60A5-4FA8-BB8D-CF032DC80AE2}" destId="{2475995F-D1F8-4107-A258-730E90BCD88D}" srcOrd="0" destOrd="0" presId="urn:microsoft.com/office/officeart/2005/8/layout/orgChart1"/>
    <dgm:cxn modelId="{4D06ABA5-EBF3-4C02-8495-FC5108C182DA}" type="presOf" srcId="{38CB51C5-3562-4000-A3D7-91940DD857E4}" destId="{83E92D29-5D87-4FBD-92AC-2EEFA23E617A}" srcOrd="0" destOrd="0" presId="urn:microsoft.com/office/officeart/2005/8/layout/orgChart1"/>
    <dgm:cxn modelId="{771FC8A5-BC27-4308-A0A4-18033C44106B}" type="presOf" srcId="{BE108FD2-3A0C-4907-9ADF-8F5A07EE0C01}" destId="{7A853995-3DC4-4A23-BB8E-35D3332D16E6}" srcOrd="1" destOrd="0" presId="urn:microsoft.com/office/officeart/2005/8/layout/orgChart1"/>
    <dgm:cxn modelId="{3FAA9AA7-60F6-46CD-A4F5-D5E03A02793B}" type="presOf" srcId="{A40BA4BE-0B14-451B-9D4C-5CA23E3806E7}" destId="{0857AC9D-95D4-4A52-9D1C-207F7D093922}" srcOrd="1" destOrd="0" presId="urn:microsoft.com/office/officeart/2005/8/layout/orgChart1"/>
    <dgm:cxn modelId="{47DB8AB3-3E00-409F-8DC6-8EA6E7A4A41E}" srcId="{04D28262-27D4-4A96-8A9B-E9CC736D7103}" destId="{A8B36F11-EDFA-448E-ACCA-F4E3B0ABB64C}" srcOrd="0" destOrd="0" parTransId="{819E766C-2ED8-47CA-A45D-E5D90E97075D}" sibTransId="{D4A2B17E-4084-4B25-B047-343383A7F61B}"/>
    <dgm:cxn modelId="{83DD4FB4-20F4-49C0-930D-DADABBD39A2A}" type="presOf" srcId="{61B097B9-80ED-4819-BEC2-3D1040F26A3F}" destId="{91D23516-BC80-4A96-83F0-C5CFAB70308E}" srcOrd="0" destOrd="0" presId="urn:microsoft.com/office/officeart/2005/8/layout/orgChart1"/>
    <dgm:cxn modelId="{54F436BC-DA84-498C-9CF5-9FBF0A62103D}" type="presOf" srcId="{7B00E043-875A-4A60-A7BD-2775E65F19B2}" destId="{F9823C52-5345-410C-9F4A-613A5C21F0E8}" srcOrd="0" destOrd="0" presId="urn:microsoft.com/office/officeart/2005/8/layout/orgChart1"/>
    <dgm:cxn modelId="{543477C3-9AA9-4A53-A048-F157D4AF2FDB}" type="presOf" srcId="{A8B36F11-EDFA-448E-ACCA-F4E3B0ABB64C}" destId="{A616E4E2-6302-4B13-9A4D-0A15F519358E}" srcOrd="1" destOrd="0" presId="urn:microsoft.com/office/officeart/2005/8/layout/orgChart1"/>
    <dgm:cxn modelId="{68CDD8C3-41D1-4BBD-9F32-721B8EC1A105}" type="presOf" srcId="{904C68A8-6EB1-4096-BAE2-F8597E3545F7}" destId="{75F1D8B1-431B-40B6-B7D0-99CA4BAD291D}" srcOrd="1" destOrd="0" presId="urn:microsoft.com/office/officeart/2005/8/layout/orgChart1"/>
    <dgm:cxn modelId="{3F21E5CC-7E08-4DE7-9110-5172B08073A2}" type="presOf" srcId="{D3EAD832-C3B7-4F16-9218-900EF7C01B26}" destId="{A9BC85F3-FCB6-4CF0-8CCC-4C4CB663CFB9}" srcOrd="1" destOrd="0" presId="urn:microsoft.com/office/officeart/2005/8/layout/orgChart1"/>
    <dgm:cxn modelId="{1DDF29D4-27DF-43BA-84F9-E67FE9641B3C}" type="presOf" srcId="{BE108FD2-3A0C-4907-9ADF-8F5A07EE0C01}" destId="{B5EF23FE-E97C-4F8C-B341-37F1FEA0D4DD}" srcOrd="0" destOrd="0" presId="urn:microsoft.com/office/officeart/2005/8/layout/orgChart1"/>
    <dgm:cxn modelId="{F33BE4D9-AA90-4DE8-9535-77548F995C8B}" type="presOf" srcId="{1D8C16E0-4599-455F-94C1-B94B89884C13}" destId="{17103C69-0302-483E-83B6-DDD01D942D32}" srcOrd="0" destOrd="0" presId="urn:microsoft.com/office/officeart/2005/8/layout/orgChart1"/>
    <dgm:cxn modelId="{8520C2DA-CF19-4355-8D66-FF39A8A90970}" type="presOf" srcId="{A40BA4BE-0B14-451B-9D4C-5CA23E3806E7}" destId="{8626661B-01F0-4DF6-819E-869027AAF714}" srcOrd="0" destOrd="0" presId="urn:microsoft.com/office/officeart/2005/8/layout/orgChart1"/>
    <dgm:cxn modelId="{74B077DD-C98B-4ECD-9A27-8215910CE3D9}" srcId="{23ED8CFC-81C1-428B-A966-C87223B77595}" destId="{04D28262-27D4-4A96-8A9B-E9CC736D7103}" srcOrd="1" destOrd="0" parTransId="{3CB4F370-1677-4FF7-A431-6F134EE8D01A}" sibTransId="{80966A06-83D7-4147-A13E-1A0543822CC6}"/>
    <dgm:cxn modelId="{955024DE-438D-4D36-8F5E-CD976A49459B}" type="presOf" srcId="{69494B5E-50FF-4F1D-9825-8FDC2B68D937}" destId="{1CFCAC33-F28B-4BE4-B86C-6C7DF7DFC108}" srcOrd="0" destOrd="0" presId="urn:microsoft.com/office/officeart/2005/8/layout/orgChart1"/>
    <dgm:cxn modelId="{37ECAEE0-FD61-4712-A0D0-6C7E879849F2}" type="presOf" srcId="{EEACE347-62BD-43BF-9D33-81718D276236}" destId="{A6339135-5765-4A4B-AE66-1F85B67972B6}" srcOrd="0" destOrd="0" presId="urn:microsoft.com/office/officeart/2005/8/layout/orgChart1"/>
    <dgm:cxn modelId="{40C716EB-E526-438B-9DAD-7A42BF54C3D2}" type="presOf" srcId="{23ED8CFC-81C1-428B-A966-C87223B77595}" destId="{7A0B9906-977A-4B42-942C-11DDBAD50226}" srcOrd="0" destOrd="0" presId="urn:microsoft.com/office/officeart/2005/8/layout/orgChart1"/>
    <dgm:cxn modelId="{ADEBC7F6-850C-4005-82F6-4994ADAD795E}" type="presOf" srcId="{4D9F74E5-BA62-42F8-B114-413718964F39}" destId="{859E0FBF-A04C-41A7-A7EC-948BE89D5DDD}" srcOrd="0" destOrd="0" presId="urn:microsoft.com/office/officeart/2005/8/layout/orgChart1"/>
    <dgm:cxn modelId="{3C7D47F7-6CB2-4F43-9C04-E83788E602E9}" srcId="{BE108FD2-3A0C-4907-9ADF-8F5A07EE0C01}" destId="{EAA85139-F8E3-4BBA-8393-786789E6EBE2}" srcOrd="1" destOrd="0" parTransId="{EEACE347-62BD-43BF-9D33-81718D276236}" sibTransId="{2C92DF4F-6112-414F-B5F1-B34720944213}"/>
    <dgm:cxn modelId="{402BC0F7-8792-4617-A190-6AFFCA2AEEEF}" type="presOf" srcId="{A53E9160-5CAA-4D15-A8FF-26C7A1BB68F3}" destId="{13EE620A-8E91-4933-90A0-B10DD4BFB838}" srcOrd="1" destOrd="0" presId="urn:microsoft.com/office/officeart/2005/8/layout/orgChart1"/>
    <dgm:cxn modelId="{BD48EFF9-93CC-48D7-BF29-18F1B2791E67}" type="presOf" srcId="{F068F1B7-D50F-4E19-AF22-0D439665847E}" destId="{3D65BB9A-E472-4012-9432-AF20FB359CF9}" srcOrd="0" destOrd="0" presId="urn:microsoft.com/office/officeart/2005/8/layout/orgChart1"/>
    <dgm:cxn modelId="{F8E020FF-D75D-4EB6-89AB-8B4B865909B6}" type="presOf" srcId="{3CB4F370-1677-4FF7-A431-6F134EE8D01A}" destId="{F4372CDA-AFB5-4451-92EF-ECBD1813E030}" srcOrd="0" destOrd="0" presId="urn:microsoft.com/office/officeart/2005/8/layout/orgChart1"/>
    <dgm:cxn modelId="{86AA19A6-0908-4CA7-8EFE-D0EDCBFD9C39}" type="presParOf" srcId="{F9823C52-5345-410C-9F4A-613A5C21F0E8}" destId="{713AD229-56A2-4412-94A8-192ED355CA95}" srcOrd="0" destOrd="0" presId="urn:microsoft.com/office/officeart/2005/8/layout/orgChart1"/>
    <dgm:cxn modelId="{22AE6C1F-9EBC-4DE3-A2CC-D7A378F2C73F}" type="presParOf" srcId="{713AD229-56A2-4412-94A8-192ED355CA95}" destId="{7D7AEAE3-F839-473A-B6BE-671413977CFC}" srcOrd="0" destOrd="0" presId="urn:microsoft.com/office/officeart/2005/8/layout/orgChart1"/>
    <dgm:cxn modelId="{AFA4C6BE-F754-479E-8CED-347C4781170F}" type="presParOf" srcId="{7D7AEAE3-F839-473A-B6BE-671413977CFC}" destId="{B5EF23FE-E97C-4F8C-B341-37F1FEA0D4DD}" srcOrd="0" destOrd="0" presId="urn:microsoft.com/office/officeart/2005/8/layout/orgChart1"/>
    <dgm:cxn modelId="{BFA19FC2-7A43-425F-B7AB-DC29E8594418}" type="presParOf" srcId="{7D7AEAE3-F839-473A-B6BE-671413977CFC}" destId="{7A853995-3DC4-4A23-BB8E-35D3332D16E6}" srcOrd="1" destOrd="0" presId="urn:microsoft.com/office/officeart/2005/8/layout/orgChart1"/>
    <dgm:cxn modelId="{5559B732-3438-4A60-B0F0-E8982415CC51}" type="presParOf" srcId="{713AD229-56A2-4412-94A8-192ED355CA95}" destId="{E9344533-571F-48FF-B221-7CE27D1FAD8F}" srcOrd="1" destOrd="0" presId="urn:microsoft.com/office/officeart/2005/8/layout/orgChart1"/>
    <dgm:cxn modelId="{C29EE5CF-D4AF-4A9F-9B5A-86D05BDBAE55}" type="presParOf" srcId="{E9344533-571F-48FF-B221-7CE27D1FAD8F}" destId="{340F67C4-F267-4C22-B5DF-B7550B5CA0DF}" srcOrd="0" destOrd="0" presId="urn:microsoft.com/office/officeart/2005/8/layout/orgChart1"/>
    <dgm:cxn modelId="{75F73382-12C9-46FB-957E-AA88D06329F4}" type="presParOf" srcId="{E9344533-571F-48FF-B221-7CE27D1FAD8F}" destId="{3B530F0C-F368-430D-9728-F0951AF79F67}" srcOrd="1" destOrd="0" presId="urn:microsoft.com/office/officeart/2005/8/layout/orgChart1"/>
    <dgm:cxn modelId="{08BF8931-6776-4DEC-AB87-1BF010853954}" type="presParOf" srcId="{3B530F0C-F368-430D-9728-F0951AF79F67}" destId="{0541DB2A-74CC-40F8-A4C9-221E4BDDBC0F}" srcOrd="0" destOrd="0" presId="urn:microsoft.com/office/officeart/2005/8/layout/orgChart1"/>
    <dgm:cxn modelId="{F6A8955A-C104-49CD-B4B2-FC60CC315B81}" type="presParOf" srcId="{0541DB2A-74CC-40F8-A4C9-221E4BDDBC0F}" destId="{7A0B9906-977A-4B42-942C-11DDBAD50226}" srcOrd="0" destOrd="0" presId="urn:microsoft.com/office/officeart/2005/8/layout/orgChart1"/>
    <dgm:cxn modelId="{8092F9FE-9748-47EC-87B7-6000A3D72AED}" type="presParOf" srcId="{0541DB2A-74CC-40F8-A4C9-221E4BDDBC0F}" destId="{4DF62BC4-0040-4565-93E9-FE04334E95F7}" srcOrd="1" destOrd="0" presId="urn:microsoft.com/office/officeart/2005/8/layout/orgChart1"/>
    <dgm:cxn modelId="{DCEFD348-2E06-4C57-B3A3-53352E603036}" type="presParOf" srcId="{3B530F0C-F368-430D-9728-F0951AF79F67}" destId="{ADE0A641-D530-4348-A4C3-AE6295B7BFB2}" srcOrd="1" destOrd="0" presId="urn:microsoft.com/office/officeart/2005/8/layout/orgChart1"/>
    <dgm:cxn modelId="{6D83250B-009A-4FC7-B74B-4C52BC262B97}" type="presParOf" srcId="{ADE0A641-D530-4348-A4C3-AE6295B7BFB2}" destId="{3D65BB9A-E472-4012-9432-AF20FB359CF9}" srcOrd="0" destOrd="0" presId="urn:microsoft.com/office/officeart/2005/8/layout/orgChart1"/>
    <dgm:cxn modelId="{93CD3413-2E29-4DF5-A499-23673208D1A3}" type="presParOf" srcId="{ADE0A641-D530-4348-A4C3-AE6295B7BFB2}" destId="{0EEB9817-48D2-459A-BF87-6EE7F6749BC8}" srcOrd="1" destOrd="0" presId="urn:microsoft.com/office/officeart/2005/8/layout/orgChart1"/>
    <dgm:cxn modelId="{1197B74C-83EE-488D-B6A9-CEC357CE1026}" type="presParOf" srcId="{0EEB9817-48D2-459A-BF87-6EE7F6749BC8}" destId="{507DE141-A108-4466-A9FC-498E5E6CE6FF}" srcOrd="0" destOrd="0" presId="urn:microsoft.com/office/officeart/2005/8/layout/orgChart1"/>
    <dgm:cxn modelId="{AF7C290E-9C7A-40D7-8949-B91FFC560635}" type="presParOf" srcId="{507DE141-A108-4466-A9FC-498E5E6CE6FF}" destId="{1FB34EFA-170E-4CEC-8A83-94E6D3D1104A}" srcOrd="0" destOrd="0" presId="urn:microsoft.com/office/officeart/2005/8/layout/orgChart1"/>
    <dgm:cxn modelId="{E358C183-1DCE-4EAB-BBAD-AAE3A07CB97F}" type="presParOf" srcId="{507DE141-A108-4466-A9FC-498E5E6CE6FF}" destId="{13EE620A-8E91-4933-90A0-B10DD4BFB838}" srcOrd="1" destOrd="0" presId="urn:microsoft.com/office/officeart/2005/8/layout/orgChart1"/>
    <dgm:cxn modelId="{7C297B48-1408-40E0-B7A4-EC7871FCC10C}" type="presParOf" srcId="{0EEB9817-48D2-459A-BF87-6EE7F6749BC8}" destId="{F2590A2E-914F-42F0-B0E2-B8E1E522C117}" srcOrd="1" destOrd="0" presId="urn:microsoft.com/office/officeart/2005/8/layout/orgChart1"/>
    <dgm:cxn modelId="{FFEF5EF2-0FCD-408F-8B83-56C668596EE4}" type="presParOf" srcId="{F2590A2E-914F-42F0-B0E2-B8E1E522C117}" destId="{3A5A8D36-8B03-42BF-B627-CE87AF11EC22}" srcOrd="0" destOrd="0" presId="urn:microsoft.com/office/officeart/2005/8/layout/orgChart1"/>
    <dgm:cxn modelId="{0191ED6D-BAF5-4F61-8108-7DFAF43A6DD3}" type="presParOf" srcId="{F2590A2E-914F-42F0-B0E2-B8E1E522C117}" destId="{7D182248-D391-4EEA-BCFF-9EFF4F0659C7}" srcOrd="1" destOrd="0" presId="urn:microsoft.com/office/officeart/2005/8/layout/orgChart1"/>
    <dgm:cxn modelId="{563887DB-81C3-4C46-8EA7-D4370B762CEF}" type="presParOf" srcId="{7D182248-D391-4EEA-BCFF-9EFF4F0659C7}" destId="{1D625D73-B697-4891-BA6E-54D81034BF41}" srcOrd="0" destOrd="0" presId="urn:microsoft.com/office/officeart/2005/8/layout/orgChart1"/>
    <dgm:cxn modelId="{074AB39A-3903-4BEB-B10F-CD1F3A94925D}" type="presParOf" srcId="{1D625D73-B697-4891-BA6E-54D81034BF41}" destId="{43782A98-1838-41BA-B5F4-3F6A5D3A4643}" srcOrd="0" destOrd="0" presId="urn:microsoft.com/office/officeart/2005/8/layout/orgChart1"/>
    <dgm:cxn modelId="{ADD68F58-F2DA-46D3-A2FF-AB4C31348E84}" type="presParOf" srcId="{1D625D73-B697-4891-BA6E-54D81034BF41}" destId="{8AF5AB59-B06C-46A8-910F-A9FC22C138D6}" srcOrd="1" destOrd="0" presId="urn:microsoft.com/office/officeart/2005/8/layout/orgChart1"/>
    <dgm:cxn modelId="{872C5284-5F11-454B-9229-59F30FE43F57}" type="presParOf" srcId="{7D182248-D391-4EEA-BCFF-9EFF4F0659C7}" destId="{C01AD7B7-51E8-4A3B-8D3B-5E509C0EBD14}" srcOrd="1" destOrd="0" presId="urn:microsoft.com/office/officeart/2005/8/layout/orgChart1"/>
    <dgm:cxn modelId="{DF43DE49-FFFD-4F8F-B61F-F3336FEA8956}" type="presParOf" srcId="{7D182248-D391-4EEA-BCFF-9EFF4F0659C7}" destId="{3AB739AB-CB04-4871-88F4-1806691FA6FB}" srcOrd="2" destOrd="0" presId="urn:microsoft.com/office/officeart/2005/8/layout/orgChart1"/>
    <dgm:cxn modelId="{B28F931A-8340-4FB5-A4B8-773B7E3FAFAB}" type="presParOf" srcId="{0EEB9817-48D2-459A-BF87-6EE7F6749BC8}" destId="{A440448E-AD3F-4042-8AC2-096A091EB180}" srcOrd="2" destOrd="0" presId="urn:microsoft.com/office/officeart/2005/8/layout/orgChart1"/>
    <dgm:cxn modelId="{A3D9362C-213A-4F92-B9B1-4CFE604FD488}" type="presParOf" srcId="{ADE0A641-D530-4348-A4C3-AE6295B7BFB2}" destId="{F4372CDA-AFB5-4451-92EF-ECBD1813E030}" srcOrd="2" destOrd="0" presId="urn:microsoft.com/office/officeart/2005/8/layout/orgChart1"/>
    <dgm:cxn modelId="{0D54A1F0-19ED-40EB-A6F0-53FB8CBCDFBB}" type="presParOf" srcId="{ADE0A641-D530-4348-A4C3-AE6295B7BFB2}" destId="{AA08A403-89D7-4468-860F-4C8D9083D262}" srcOrd="3" destOrd="0" presId="urn:microsoft.com/office/officeart/2005/8/layout/orgChart1"/>
    <dgm:cxn modelId="{6728FA9B-DC06-4A94-9DA4-ADE0D9220083}" type="presParOf" srcId="{AA08A403-89D7-4468-860F-4C8D9083D262}" destId="{7ECA534C-9B68-4623-86C0-B1B2B8E47C27}" srcOrd="0" destOrd="0" presId="urn:microsoft.com/office/officeart/2005/8/layout/orgChart1"/>
    <dgm:cxn modelId="{1B8FB36C-CCAB-480E-9C2D-4DE8BFAFEE44}" type="presParOf" srcId="{7ECA534C-9B68-4623-86C0-B1B2B8E47C27}" destId="{BF4BB1AA-4DBE-4507-B279-84DB611DE3D9}" srcOrd="0" destOrd="0" presId="urn:microsoft.com/office/officeart/2005/8/layout/orgChart1"/>
    <dgm:cxn modelId="{F1EDFE60-DDAE-4427-BF89-985CEF33A5CF}" type="presParOf" srcId="{7ECA534C-9B68-4623-86C0-B1B2B8E47C27}" destId="{B662C18C-FD65-4B35-81DA-0AA07988768D}" srcOrd="1" destOrd="0" presId="urn:microsoft.com/office/officeart/2005/8/layout/orgChart1"/>
    <dgm:cxn modelId="{CA12B3EA-F8DD-4BE5-9EDC-AD87C4CB26E0}" type="presParOf" srcId="{AA08A403-89D7-4468-860F-4C8D9083D262}" destId="{9459F0E1-5508-4192-A472-B8C4A37233FB}" srcOrd="1" destOrd="0" presId="urn:microsoft.com/office/officeart/2005/8/layout/orgChart1"/>
    <dgm:cxn modelId="{7CC3B617-4E72-4394-AB49-B2335D9E1B3B}" type="presParOf" srcId="{9459F0E1-5508-4192-A472-B8C4A37233FB}" destId="{B8429EAD-8128-43ED-AC95-1F16B0237B6E}" srcOrd="0" destOrd="0" presId="urn:microsoft.com/office/officeart/2005/8/layout/orgChart1"/>
    <dgm:cxn modelId="{3A4A9147-BF7E-4373-A0C1-606DB5A4495F}" type="presParOf" srcId="{9459F0E1-5508-4192-A472-B8C4A37233FB}" destId="{B78DF617-0C60-4DFF-9A4A-3499B36D3A05}" srcOrd="1" destOrd="0" presId="urn:microsoft.com/office/officeart/2005/8/layout/orgChart1"/>
    <dgm:cxn modelId="{9ABA4384-D7A2-4FD8-9216-D833BD6FE218}" type="presParOf" srcId="{B78DF617-0C60-4DFF-9A4A-3499B36D3A05}" destId="{6E5C4F98-26EB-440B-BEE0-9C5BD6BCEA32}" srcOrd="0" destOrd="0" presId="urn:microsoft.com/office/officeart/2005/8/layout/orgChart1"/>
    <dgm:cxn modelId="{E7575C78-8A2A-4C62-A125-405C25C8582E}" type="presParOf" srcId="{6E5C4F98-26EB-440B-BEE0-9C5BD6BCEA32}" destId="{89C82BCD-3E8F-4B3E-ADEB-9F0B68EEFC29}" srcOrd="0" destOrd="0" presId="urn:microsoft.com/office/officeart/2005/8/layout/orgChart1"/>
    <dgm:cxn modelId="{7840A7AB-A388-4432-BA93-8C9B149B85B0}" type="presParOf" srcId="{6E5C4F98-26EB-440B-BEE0-9C5BD6BCEA32}" destId="{A616E4E2-6302-4B13-9A4D-0A15F519358E}" srcOrd="1" destOrd="0" presId="urn:microsoft.com/office/officeart/2005/8/layout/orgChart1"/>
    <dgm:cxn modelId="{B8269E03-6AE8-4D7D-9B57-5666424DB125}" type="presParOf" srcId="{B78DF617-0C60-4DFF-9A4A-3499B36D3A05}" destId="{72703296-1B66-4433-9D88-4E9CC73449CD}" srcOrd="1" destOrd="0" presId="urn:microsoft.com/office/officeart/2005/8/layout/orgChart1"/>
    <dgm:cxn modelId="{F96C6A53-FC3B-4399-9B08-8FE975220CD9}" type="presParOf" srcId="{B78DF617-0C60-4DFF-9A4A-3499B36D3A05}" destId="{C8674BAC-EC0F-48E6-BE54-13CC6AF2546C}" srcOrd="2" destOrd="0" presId="urn:microsoft.com/office/officeart/2005/8/layout/orgChart1"/>
    <dgm:cxn modelId="{87D3E95A-92DD-46AA-AABE-DA09C900509B}" type="presParOf" srcId="{AA08A403-89D7-4468-860F-4C8D9083D262}" destId="{D7C749B0-249E-4EFF-B39B-600769655A0E}" srcOrd="2" destOrd="0" presId="urn:microsoft.com/office/officeart/2005/8/layout/orgChart1"/>
    <dgm:cxn modelId="{0FDD7475-B451-488B-B7F3-F260EB391AAF}" type="presParOf" srcId="{ADE0A641-D530-4348-A4C3-AE6295B7BFB2}" destId="{52FD661B-2D3B-49BB-9A28-EEFCCA35AD9B}" srcOrd="4" destOrd="0" presId="urn:microsoft.com/office/officeart/2005/8/layout/orgChart1"/>
    <dgm:cxn modelId="{A5EED9A6-3B1E-4825-9D3B-84AB9CAD70B0}" type="presParOf" srcId="{ADE0A641-D530-4348-A4C3-AE6295B7BFB2}" destId="{C7EB2C27-4BE2-4C9E-9FBD-516A7416693A}" srcOrd="5" destOrd="0" presId="urn:microsoft.com/office/officeart/2005/8/layout/orgChart1"/>
    <dgm:cxn modelId="{37510912-E84F-4BF8-A120-97484A32422D}" type="presParOf" srcId="{C7EB2C27-4BE2-4C9E-9FBD-516A7416693A}" destId="{2D67EAD2-9E10-49BF-9895-79AFB5089F5D}" srcOrd="0" destOrd="0" presId="urn:microsoft.com/office/officeart/2005/8/layout/orgChart1"/>
    <dgm:cxn modelId="{209A224B-C4D4-471C-87A9-1D10E1D82033}" type="presParOf" srcId="{2D67EAD2-9E10-49BF-9895-79AFB5089F5D}" destId="{2475995F-D1F8-4107-A258-730E90BCD88D}" srcOrd="0" destOrd="0" presId="urn:microsoft.com/office/officeart/2005/8/layout/orgChart1"/>
    <dgm:cxn modelId="{AEC11A64-15F7-4107-807E-FE8B4FF8B697}" type="presParOf" srcId="{2D67EAD2-9E10-49BF-9895-79AFB5089F5D}" destId="{F0C0DE88-8657-4FB8-84E9-EE1A7E96A7BA}" srcOrd="1" destOrd="0" presId="urn:microsoft.com/office/officeart/2005/8/layout/orgChart1"/>
    <dgm:cxn modelId="{B1EA1E34-349F-41E0-AA87-C13070E860AC}" type="presParOf" srcId="{C7EB2C27-4BE2-4C9E-9FBD-516A7416693A}" destId="{965FFA83-479B-47EC-8AF1-1C0CFFC610CE}" srcOrd="1" destOrd="0" presId="urn:microsoft.com/office/officeart/2005/8/layout/orgChart1"/>
    <dgm:cxn modelId="{1ECE711C-C822-4C51-9E58-F8C99CC4E8B6}" type="presParOf" srcId="{965FFA83-479B-47EC-8AF1-1C0CFFC610CE}" destId="{91D23516-BC80-4A96-83F0-C5CFAB70308E}" srcOrd="0" destOrd="0" presId="urn:microsoft.com/office/officeart/2005/8/layout/orgChart1"/>
    <dgm:cxn modelId="{F0BABF52-B56C-49C2-9FC3-4EF53614FA47}" type="presParOf" srcId="{965FFA83-479B-47EC-8AF1-1C0CFFC610CE}" destId="{B8824ECB-13C7-4A8B-9913-B10FF9421312}" srcOrd="1" destOrd="0" presId="urn:microsoft.com/office/officeart/2005/8/layout/orgChart1"/>
    <dgm:cxn modelId="{02E056F7-5043-4F2B-97DE-BAFFCA5FEB50}" type="presParOf" srcId="{B8824ECB-13C7-4A8B-9913-B10FF9421312}" destId="{C58BDCA1-9B4F-40F3-8ABB-174C68C01412}" srcOrd="0" destOrd="0" presId="urn:microsoft.com/office/officeart/2005/8/layout/orgChart1"/>
    <dgm:cxn modelId="{48F11373-B60A-4B83-95A4-AC567F31CBEF}" type="presParOf" srcId="{C58BDCA1-9B4F-40F3-8ABB-174C68C01412}" destId="{96EAEC2D-51A0-4D58-8D8D-ED695F4677BC}" srcOrd="0" destOrd="0" presId="urn:microsoft.com/office/officeart/2005/8/layout/orgChart1"/>
    <dgm:cxn modelId="{12BF9FAE-551F-4CEB-B503-17810753FD9D}" type="presParOf" srcId="{C58BDCA1-9B4F-40F3-8ABB-174C68C01412}" destId="{6028E1F5-EAEC-42CF-AD1E-785122FD505B}" srcOrd="1" destOrd="0" presId="urn:microsoft.com/office/officeart/2005/8/layout/orgChart1"/>
    <dgm:cxn modelId="{36154B80-8FF0-461D-91DE-8300BAAF598C}" type="presParOf" srcId="{B8824ECB-13C7-4A8B-9913-B10FF9421312}" destId="{DB86481F-E835-4255-93DD-00A8591AFD2A}" srcOrd="1" destOrd="0" presId="urn:microsoft.com/office/officeart/2005/8/layout/orgChart1"/>
    <dgm:cxn modelId="{3923CE5E-3626-4016-9E09-1532B2B39704}" type="presParOf" srcId="{B8824ECB-13C7-4A8B-9913-B10FF9421312}" destId="{1F21D95E-A82F-4FEC-8679-201D0F68FF87}" srcOrd="2" destOrd="0" presId="urn:microsoft.com/office/officeart/2005/8/layout/orgChart1"/>
    <dgm:cxn modelId="{3CC423B7-27E6-4986-950B-678A9082D8E4}" type="presParOf" srcId="{C7EB2C27-4BE2-4C9E-9FBD-516A7416693A}" destId="{A69BEC85-7D63-48D6-B881-C892AE65D5D6}" srcOrd="2" destOrd="0" presId="urn:microsoft.com/office/officeart/2005/8/layout/orgChart1"/>
    <dgm:cxn modelId="{35481D53-ADC6-4BE2-823F-8BA0F784D0A7}" type="presParOf" srcId="{ADE0A641-D530-4348-A4C3-AE6295B7BFB2}" destId="{17103C69-0302-483E-83B6-DDD01D942D32}" srcOrd="6" destOrd="0" presId="urn:microsoft.com/office/officeart/2005/8/layout/orgChart1"/>
    <dgm:cxn modelId="{D1E8DA88-0255-4294-A59B-23098C8250CB}" type="presParOf" srcId="{ADE0A641-D530-4348-A4C3-AE6295B7BFB2}" destId="{6D7C1801-74A8-4D14-BCD0-996644C52870}" srcOrd="7" destOrd="0" presId="urn:microsoft.com/office/officeart/2005/8/layout/orgChart1"/>
    <dgm:cxn modelId="{5074B6D7-A9B4-4E41-A49D-18020FF4E2B2}" type="presParOf" srcId="{6D7C1801-74A8-4D14-BCD0-996644C52870}" destId="{BE7D34A5-5527-4060-B06D-654E69E5502B}" srcOrd="0" destOrd="0" presId="urn:microsoft.com/office/officeart/2005/8/layout/orgChart1"/>
    <dgm:cxn modelId="{757674AE-B818-4D50-9865-E7D66B906A87}" type="presParOf" srcId="{BE7D34A5-5527-4060-B06D-654E69E5502B}" destId="{8626661B-01F0-4DF6-819E-869027AAF714}" srcOrd="0" destOrd="0" presId="urn:microsoft.com/office/officeart/2005/8/layout/orgChart1"/>
    <dgm:cxn modelId="{28E89D52-A6F3-49EB-9618-D538AF10B009}" type="presParOf" srcId="{BE7D34A5-5527-4060-B06D-654E69E5502B}" destId="{0857AC9D-95D4-4A52-9D1C-207F7D093922}" srcOrd="1" destOrd="0" presId="urn:microsoft.com/office/officeart/2005/8/layout/orgChart1"/>
    <dgm:cxn modelId="{79940FDC-3DE6-4462-946E-672C6D4EC584}" type="presParOf" srcId="{6D7C1801-74A8-4D14-BCD0-996644C52870}" destId="{5DB5BE4C-CAFC-4A01-86F3-DA9FA36C0D79}" srcOrd="1" destOrd="0" presId="urn:microsoft.com/office/officeart/2005/8/layout/orgChart1"/>
    <dgm:cxn modelId="{F91BCC9A-C031-4904-9752-D39C3C1BD6FD}" type="presParOf" srcId="{5DB5BE4C-CAFC-4A01-86F3-DA9FA36C0D79}" destId="{1CFCAC33-F28B-4BE4-B86C-6C7DF7DFC108}" srcOrd="0" destOrd="0" presId="urn:microsoft.com/office/officeart/2005/8/layout/orgChart1"/>
    <dgm:cxn modelId="{B1AC1B5C-1033-4E6D-951C-80C22602EE38}" type="presParOf" srcId="{5DB5BE4C-CAFC-4A01-86F3-DA9FA36C0D79}" destId="{25D1CF56-B460-4FDF-A999-1CD2DD601421}" srcOrd="1" destOrd="0" presId="urn:microsoft.com/office/officeart/2005/8/layout/orgChart1"/>
    <dgm:cxn modelId="{109B3C9A-7918-40B2-8AFC-3B36BE3AFBCF}" type="presParOf" srcId="{25D1CF56-B460-4FDF-A999-1CD2DD601421}" destId="{CA0862ED-6417-4702-8D20-F6CCD60B7935}" srcOrd="0" destOrd="0" presId="urn:microsoft.com/office/officeart/2005/8/layout/orgChart1"/>
    <dgm:cxn modelId="{CE6876C3-0B2C-4FC1-8BDA-23B4CCC152D4}" type="presParOf" srcId="{CA0862ED-6417-4702-8D20-F6CCD60B7935}" destId="{859E0FBF-A04C-41A7-A7EC-948BE89D5DDD}" srcOrd="0" destOrd="0" presId="urn:microsoft.com/office/officeart/2005/8/layout/orgChart1"/>
    <dgm:cxn modelId="{2EFD6D63-D388-48BB-82B9-82D20866732F}" type="presParOf" srcId="{CA0862ED-6417-4702-8D20-F6CCD60B7935}" destId="{FF7622DF-90D1-4E9A-B146-852AC3119D49}" srcOrd="1" destOrd="0" presId="urn:microsoft.com/office/officeart/2005/8/layout/orgChart1"/>
    <dgm:cxn modelId="{BCAE802C-BD34-4C42-B255-FD7278634BFE}" type="presParOf" srcId="{25D1CF56-B460-4FDF-A999-1CD2DD601421}" destId="{C57ED237-440C-419F-8E71-F88C904A4F40}" srcOrd="1" destOrd="0" presId="urn:microsoft.com/office/officeart/2005/8/layout/orgChart1"/>
    <dgm:cxn modelId="{57E646B1-8C90-4E60-AC3D-67E4F76CBD82}" type="presParOf" srcId="{25D1CF56-B460-4FDF-A999-1CD2DD601421}" destId="{03317CF8-3CFE-4E8E-B8C3-E026194D5DD8}" srcOrd="2" destOrd="0" presId="urn:microsoft.com/office/officeart/2005/8/layout/orgChart1"/>
    <dgm:cxn modelId="{2DCC9C7F-446A-48DD-9FCF-8542060401CE}" type="presParOf" srcId="{6D7C1801-74A8-4D14-BCD0-996644C52870}" destId="{1C6CC99E-B773-4ACD-9060-AC6310D71328}" srcOrd="2" destOrd="0" presId="urn:microsoft.com/office/officeart/2005/8/layout/orgChart1"/>
    <dgm:cxn modelId="{1844CA0B-E4CB-4CF6-9200-55A6CBE8D4C3}" type="presParOf" srcId="{3B530F0C-F368-430D-9728-F0951AF79F67}" destId="{289BC3D3-6900-4405-AF4F-92EACE1CB878}" srcOrd="2" destOrd="0" presId="urn:microsoft.com/office/officeart/2005/8/layout/orgChart1"/>
    <dgm:cxn modelId="{3A573F02-F062-4248-981D-D4E43FF1B874}" type="presParOf" srcId="{E9344533-571F-48FF-B221-7CE27D1FAD8F}" destId="{A6339135-5765-4A4B-AE66-1F85B67972B6}" srcOrd="2" destOrd="0" presId="urn:microsoft.com/office/officeart/2005/8/layout/orgChart1"/>
    <dgm:cxn modelId="{49E560B3-A6CB-4C36-AB97-5C7BACF26862}" type="presParOf" srcId="{E9344533-571F-48FF-B221-7CE27D1FAD8F}" destId="{229BEA70-9311-4A25-9595-781F96417EA2}" srcOrd="3" destOrd="0" presId="urn:microsoft.com/office/officeart/2005/8/layout/orgChart1"/>
    <dgm:cxn modelId="{83CD7684-A369-4AFC-B7DF-D779361430E4}" type="presParOf" srcId="{229BEA70-9311-4A25-9595-781F96417EA2}" destId="{D5E3CC9F-3F6B-4D10-A6ED-A2946E623EF2}" srcOrd="0" destOrd="0" presId="urn:microsoft.com/office/officeart/2005/8/layout/orgChart1"/>
    <dgm:cxn modelId="{0592084F-9F30-4C11-BD64-30F537792D9C}" type="presParOf" srcId="{D5E3CC9F-3F6B-4D10-A6ED-A2946E623EF2}" destId="{0865E7C1-C8C5-4628-BF91-DFD448E2F845}" srcOrd="0" destOrd="0" presId="urn:microsoft.com/office/officeart/2005/8/layout/orgChart1"/>
    <dgm:cxn modelId="{384F09BA-0B67-4559-951B-512F83D96AC1}" type="presParOf" srcId="{D5E3CC9F-3F6B-4D10-A6ED-A2946E623EF2}" destId="{653B3261-3336-439D-8CA1-E643C0521771}" srcOrd="1" destOrd="0" presId="urn:microsoft.com/office/officeart/2005/8/layout/orgChart1"/>
    <dgm:cxn modelId="{6DB965B5-353C-41D5-9B78-35890B2C26AD}" type="presParOf" srcId="{229BEA70-9311-4A25-9595-781F96417EA2}" destId="{9BA7BDF4-D218-48E7-A497-B9F6038DBB89}" srcOrd="1" destOrd="0" presId="urn:microsoft.com/office/officeart/2005/8/layout/orgChart1"/>
    <dgm:cxn modelId="{7E3824C1-1C85-4895-9310-6790E944B4FE}" type="presParOf" srcId="{229BEA70-9311-4A25-9595-781F96417EA2}" destId="{ECBC1C88-C064-4FCB-8BE5-9A9B55AE6E6A}" srcOrd="2" destOrd="0" presId="urn:microsoft.com/office/officeart/2005/8/layout/orgChart1"/>
    <dgm:cxn modelId="{D2379655-8E59-4DBE-96A6-525B2AD09AF5}" type="presParOf" srcId="{E9344533-571F-48FF-B221-7CE27D1FAD8F}" destId="{9212C7B4-A036-482B-A3D9-AA773E264725}" srcOrd="4" destOrd="0" presId="urn:microsoft.com/office/officeart/2005/8/layout/orgChart1"/>
    <dgm:cxn modelId="{8C898392-12E0-4758-A51B-44472F11662A}" type="presParOf" srcId="{E9344533-571F-48FF-B221-7CE27D1FAD8F}" destId="{AD74046B-5360-4517-A12C-9F42201B4D9B}" srcOrd="5" destOrd="0" presId="urn:microsoft.com/office/officeart/2005/8/layout/orgChart1"/>
    <dgm:cxn modelId="{69B37D67-446C-4775-8EE2-6AD3D36A7E86}" type="presParOf" srcId="{AD74046B-5360-4517-A12C-9F42201B4D9B}" destId="{3BB6078C-1922-4E8B-B257-10DF6457F419}" srcOrd="0" destOrd="0" presId="urn:microsoft.com/office/officeart/2005/8/layout/orgChart1"/>
    <dgm:cxn modelId="{681E872E-3659-46C7-971D-F7955000AD3E}" type="presParOf" srcId="{3BB6078C-1922-4E8B-B257-10DF6457F419}" destId="{7AA36B74-A52B-45E3-A0CB-60087D0C2443}" srcOrd="0" destOrd="0" presId="urn:microsoft.com/office/officeart/2005/8/layout/orgChart1"/>
    <dgm:cxn modelId="{DDFEAF40-12F9-45D4-8774-BA26B2C036EE}" type="presParOf" srcId="{3BB6078C-1922-4E8B-B257-10DF6457F419}" destId="{A9BC85F3-FCB6-4CF0-8CCC-4C4CB663CFB9}" srcOrd="1" destOrd="0" presId="urn:microsoft.com/office/officeart/2005/8/layout/orgChart1"/>
    <dgm:cxn modelId="{488F8914-564C-4F6B-AD44-2C8141CFE51F}" type="presParOf" srcId="{AD74046B-5360-4517-A12C-9F42201B4D9B}" destId="{2F13A907-A147-4CF6-A78E-ACFBD33DEF94}" srcOrd="1" destOrd="0" presId="urn:microsoft.com/office/officeart/2005/8/layout/orgChart1"/>
    <dgm:cxn modelId="{7148A3C9-DEFD-418E-82AC-83C7343A0472}" type="presParOf" srcId="{AD74046B-5360-4517-A12C-9F42201B4D9B}" destId="{4B3C8E36-C582-44A1-BD1F-A44F180DCADF}" srcOrd="2" destOrd="0" presId="urn:microsoft.com/office/officeart/2005/8/layout/orgChart1"/>
    <dgm:cxn modelId="{63E726C7-C876-4D1C-BCCF-5A512A35A2F2}" type="presParOf" srcId="{E9344533-571F-48FF-B221-7CE27D1FAD8F}" destId="{83E92D29-5D87-4FBD-92AC-2EEFA23E617A}" srcOrd="6" destOrd="0" presId="urn:microsoft.com/office/officeart/2005/8/layout/orgChart1"/>
    <dgm:cxn modelId="{8C3DD004-C501-4F0C-AC0F-B3D1FA7E08D8}" type="presParOf" srcId="{E9344533-571F-48FF-B221-7CE27D1FAD8F}" destId="{8473ACC8-048A-42E7-AFE9-979DD9A621A4}" srcOrd="7" destOrd="0" presId="urn:microsoft.com/office/officeart/2005/8/layout/orgChart1"/>
    <dgm:cxn modelId="{86AC0A6F-4320-48B1-B7BA-659EFAA0A777}" type="presParOf" srcId="{8473ACC8-048A-42E7-AFE9-979DD9A621A4}" destId="{420094F4-BAA9-40AE-B319-FA30DFAA258F}" srcOrd="0" destOrd="0" presId="urn:microsoft.com/office/officeart/2005/8/layout/orgChart1"/>
    <dgm:cxn modelId="{AE04DF69-E12E-4351-B427-34918E8099F2}" type="presParOf" srcId="{420094F4-BAA9-40AE-B319-FA30DFAA258F}" destId="{8164BF52-63BB-40C9-A999-DB74F871BBE3}" srcOrd="0" destOrd="0" presId="urn:microsoft.com/office/officeart/2005/8/layout/orgChart1"/>
    <dgm:cxn modelId="{8E1DBEBD-4133-406B-9B13-51E19335B3E8}" type="presParOf" srcId="{420094F4-BAA9-40AE-B319-FA30DFAA258F}" destId="{3AABA5AD-67FB-4A5E-84CC-23B186557FB6}" srcOrd="1" destOrd="0" presId="urn:microsoft.com/office/officeart/2005/8/layout/orgChart1"/>
    <dgm:cxn modelId="{AE57BCAB-3238-4E4F-902D-42222135258A}" type="presParOf" srcId="{8473ACC8-048A-42E7-AFE9-979DD9A621A4}" destId="{3D9DE625-E69C-4266-8428-D1316D2ED9B0}" srcOrd="1" destOrd="0" presId="urn:microsoft.com/office/officeart/2005/8/layout/orgChart1"/>
    <dgm:cxn modelId="{125FA1A0-62AC-4672-A8D7-96FA5D48D7AA}" type="presParOf" srcId="{8473ACC8-048A-42E7-AFE9-979DD9A621A4}" destId="{D6127A26-2E68-4B06-B9AD-3C2A370A55C7}" srcOrd="2" destOrd="0" presId="urn:microsoft.com/office/officeart/2005/8/layout/orgChart1"/>
    <dgm:cxn modelId="{DF463765-1E88-45D3-A541-CCDBB8F49BE9}" type="presParOf" srcId="{E9344533-571F-48FF-B221-7CE27D1FAD8F}" destId="{00268D7A-8C38-48B0-961F-1FD70B54E78D}" srcOrd="8" destOrd="0" presId="urn:microsoft.com/office/officeart/2005/8/layout/orgChart1"/>
    <dgm:cxn modelId="{5D7622FD-0885-450D-AEFE-31C9F25DBB00}" type="presParOf" srcId="{E9344533-571F-48FF-B221-7CE27D1FAD8F}" destId="{29B2F634-9C26-476A-86AF-8EC37649FEFD}" srcOrd="9" destOrd="0" presId="urn:microsoft.com/office/officeart/2005/8/layout/orgChart1"/>
    <dgm:cxn modelId="{5FD959B5-9BD1-4031-A985-5168FFAFAA04}" type="presParOf" srcId="{29B2F634-9C26-476A-86AF-8EC37649FEFD}" destId="{3193FDBC-03F9-4399-A776-07F180B82236}" srcOrd="0" destOrd="0" presId="urn:microsoft.com/office/officeart/2005/8/layout/orgChart1"/>
    <dgm:cxn modelId="{29C33B0B-DC0D-4756-B02D-28695A56C409}" type="presParOf" srcId="{3193FDBC-03F9-4399-A776-07F180B82236}" destId="{2A9C3C54-5B58-49BD-BB0F-7BD286DF6C57}" srcOrd="0" destOrd="0" presId="urn:microsoft.com/office/officeart/2005/8/layout/orgChart1"/>
    <dgm:cxn modelId="{F0568FAC-114D-4CD9-BA03-4BCA513188A3}" type="presParOf" srcId="{3193FDBC-03F9-4399-A776-07F180B82236}" destId="{75F1D8B1-431B-40B6-B7D0-99CA4BAD291D}" srcOrd="1" destOrd="0" presId="urn:microsoft.com/office/officeart/2005/8/layout/orgChart1"/>
    <dgm:cxn modelId="{92EC6712-5C5B-4FC5-9551-BC3F35B80200}" type="presParOf" srcId="{29B2F634-9C26-476A-86AF-8EC37649FEFD}" destId="{AAD0481A-6EA6-4AC8-8F38-35667754CC35}" srcOrd="1" destOrd="0" presId="urn:microsoft.com/office/officeart/2005/8/layout/orgChart1"/>
    <dgm:cxn modelId="{F6D3FC0E-D7FE-4B18-9CBD-C222389E62D3}" type="presParOf" srcId="{29B2F634-9C26-476A-86AF-8EC37649FEFD}" destId="{C89F1E55-C151-4630-AECB-8DE73B34F6E0}" srcOrd="2" destOrd="0" presId="urn:microsoft.com/office/officeart/2005/8/layout/orgChart1"/>
    <dgm:cxn modelId="{7C9127EE-286D-447C-8E84-B299C6D8CECC}" type="presParOf" srcId="{713AD229-56A2-4412-94A8-192ED355CA95}" destId="{7750E4D9-DB4C-4E8F-8CE6-4C4B89A1ECFF}" srcOrd="2" destOrd="0" presId="urn:microsoft.com/office/officeart/2005/8/layout/orgChart1"/>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00268D7A-8C38-48B0-961F-1FD70B54E78D}">
      <dsp:nvSpPr>
        <dsp:cNvPr id="0" name=""/>
        <dsp:cNvSpPr/>
      </dsp:nvSpPr>
      <dsp:spPr>
        <a:xfrm>
          <a:off x="6703383" y="1562912"/>
          <a:ext cx="3425627" cy="297265"/>
        </a:xfrm>
        <a:custGeom>
          <a:avLst/>
          <a:gdLst/>
          <a:ahLst/>
          <a:cxnLst/>
          <a:rect l="0" t="0" r="0" b="0"/>
          <a:pathLst>
            <a:path>
              <a:moveTo>
                <a:pt x="0" y="0"/>
              </a:moveTo>
              <a:lnTo>
                <a:pt x="0" y="148632"/>
              </a:lnTo>
              <a:lnTo>
                <a:pt x="3425627" y="148632"/>
              </a:lnTo>
              <a:lnTo>
                <a:pt x="3425627" y="297265"/>
              </a:lnTo>
            </a:path>
          </a:pathLst>
        </a:custGeom>
        <a:noFill/>
        <a:ln w="38100" cap="flat" cmpd="sng" algn="ctr">
          <a:solidFill>
            <a:schemeClr val="accent1"/>
          </a:solidFill>
          <a:prstDash val="solid"/>
          <a:miter lim="800000"/>
        </a:ln>
        <a:effectLst/>
      </dsp:spPr>
      <dsp:style>
        <a:lnRef idx="2">
          <a:scrgbClr r="0" g="0" b="0"/>
        </a:lnRef>
        <a:fillRef idx="0">
          <a:scrgbClr r="0" g="0" b="0"/>
        </a:fillRef>
        <a:effectRef idx="0">
          <a:scrgbClr r="0" g="0" b="0"/>
        </a:effectRef>
        <a:fontRef idx="minor"/>
      </dsp:style>
    </dsp:sp>
    <dsp:sp modelId="{83E92D29-5D87-4FBD-92AC-2EEFA23E617A}">
      <dsp:nvSpPr>
        <dsp:cNvPr id="0" name=""/>
        <dsp:cNvSpPr/>
      </dsp:nvSpPr>
      <dsp:spPr>
        <a:xfrm>
          <a:off x="6703383" y="1562912"/>
          <a:ext cx="1712813" cy="297265"/>
        </a:xfrm>
        <a:custGeom>
          <a:avLst/>
          <a:gdLst/>
          <a:ahLst/>
          <a:cxnLst/>
          <a:rect l="0" t="0" r="0" b="0"/>
          <a:pathLst>
            <a:path>
              <a:moveTo>
                <a:pt x="0" y="0"/>
              </a:moveTo>
              <a:lnTo>
                <a:pt x="0" y="148632"/>
              </a:lnTo>
              <a:lnTo>
                <a:pt x="1712813" y="148632"/>
              </a:lnTo>
              <a:lnTo>
                <a:pt x="1712813" y="297265"/>
              </a:lnTo>
            </a:path>
          </a:pathLst>
        </a:custGeom>
        <a:noFill/>
        <a:ln w="38100" cap="flat" cmpd="sng" algn="ctr">
          <a:solidFill>
            <a:schemeClr val="accent1"/>
          </a:solidFill>
          <a:prstDash val="solid"/>
          <a:miter lim="800000"/>
        </a:ln>
        <a:effectLst/>
      </dsp:spPr>
      <dsp:style>
        <a:lnRef idx="2">
          <a:scrgbClr r="0" g="0" b="0"/>
        </a:lnRef>
        <a:fillRef idx="0">
          <a:scrgbClr r="0" g="0" b="0"/>
        </a:fillRef>
        <a:effectRef idx="0">
          <a:scrgbClr r="0" g="0" b="0"/>
        </a:effectRef>
        <a:fontRef idx="minor"/>
      </dsp:style>
    </dsp:sp>
    <dsp:sp modelId="{9212C7B4-A036-482B-A3D9-AA773E264725}">
      <dsp:nvSpPr>
        <dsp:cNvPr id="0" name=""/>
        <dsp:cNvSpPr/>
      </dsp:nvSpPr>
      <dsp:spPr>
        <a:xfrm>
          <a:off x="6657663" y="1562912"/>
          <a:ext cx="91440" cy="297265"/>
        </a:xfrm>
        <a:custGeom>
          <a:avLst/>
          <a:gdLst/>
          <a:ahLst/>
          <a:cxnLst/>
          <a:rect l="0" t="0" r="0" b="0"/>
          <a:pathLst>
            <a:path>
              <a:moveTo>
                <a:pt x="45720" y="0"/>
              </a:moveTo>
              <a:lnTo>
                <a:pt x="45720" y="297265"/>
              </a:lnTo>
            </a:path>
          </a:pathLst>
        </a:custGeom>
        <a:noFill/>
        <a:ln w="38100" cap="flat" cmpd="sng" algn="ctr">
          <a:solidFill>
            <a:schemeClr val="accent1"/>
          </a:solidFill>
          <a:prstDash val="solid"/>
          <a:miter lim="800000"/>
        </a:ln>
        <a:effectLst/>
      </dsp:spPr>
      <dsp:style>
        <a:lnRef idx="2">
          <a:scrgbClr r="0" g="0" b="0"/>
        </a:lnRef>
        <a:fillRef idx="0">
          <a:scrgbClr r="0" g="0" b="0"/>
        </a:fillRef>
        <a:effectRef idx="0">
          <a:scrgbClr r="0" g="0" b="0"/>
        </a:effectRef>
        <a:fontRef idx="minor"/>
      </dsp:style>
    </dsp:sp>
    <dsp:sp modelId="{A6339135-5765-4A4B-AE66-1F85B67972B6}">
      <dsp:nvSpPr>
        <dsp:cNvPr id="0" name=""/>
        <dsp:cNvSpPr/>
      </dsp:nvSpPr>
      <dsp:spPr>
        <a:xfrm>
          <a:off x="4990570" y="1562912"/>
          <a:ext cx="1712813" cy="297265"/>
        </a:xfrm>
        <a:custGeom>
          <a:avLst/>
          <a:gdLst/>
          <a:ahLst/>
          <a:cxnLst/>
          <a:rect l="0" t="0" r="0" b="0"/>
          <a:pathLst>
            <a:path>
              <a:moveTo>
                <a:pt x="1712813" y="0"/>
              </a:moveTo>
              <a:lnTo>
                <a:pt x="1712813" y="148632"/>
              </a:lnTo>
              <a:lnTo>
                <a:pt x="0" y="148632"/>
              </a:lnTo>
              <a:lnTo>
                <a:pt x="0" y="297265"/>
              </a:lnTo>
            </a:path>
          </a:pathLst>
        </a:custGeom>
        <a:noFill/>
        <a:ln w="38100" cap="flat" cmpd="sng" algn="ctr">
          <a:solidFill>
            <a:schemeClr val="accent1"/>
          </a:solidFill>
          <a:prstDash val="solid"/>
          <a:miter lim="800000"/>
        </a:ln>
        <a:effectLst/>
      </dsp:spPr>
      <dsp:style>
        <a:lnRef idx="2">
          <a:scrgbClr r="0" g="0" b="0"/>
        </a:lnRef>
        <a:fillRef idx="0">
          <a:scrgbClr r="0" g="0" b="0"/>
        </a:fillRef>
        <a:effectRef idx="0">
          <a:scrgbClr r="0" g="0" b="0"/>
        </a:effectRef>
        <a:fontRef idx="minor"/>
      </dsp:style>
    </dsp:sp>
    <dsp:sp modelId="{1CFCAC33-F28B-4BE4-B86C-6C7DF7DFC108}">
      <dsp:nvSpPr>
        <dsp:cNvPr id="0" name=""/>
        <dsp:cNvSpPr/>
      </dsp:nvSpPr>
      <dsp:spPr>
        <a:xfrm>
          <a:off x="5280757" y="3572991"/>
          <a:ext cx="295991" cy="1506290"/>
        </a:xfrm>
        <a:custGeom>
          <a:avLst/>
          <a:gdLst/>
          <a:ahLst/>
          <a:cxnLst/>
          <a:rect l="0" t="0" r="0" b="0"/>
          <a:pathLst>
            <a:path>
              <a:moveTo>
                <a:pt x="0" y="0"/>
              </a:moveTo>
              <a:lnTo>
                <a:pt x="0" y="1506290"/>
              </a:lnTo>
              <a:lnTo>
                <a:pt x="295991" y="1506290"/>
              </a:lnTo>
            </a:path>
          </a:pathLst>
        </a:custGeom>
        <a:noFill/>
        <a:ln w="38100" cap="flat" cmpd="sng" algn="ctr">
          <a:solidFill>
            <a:schemeClr val="accent4"/>
          </a:solidFill>
          <a:prstDash val="solid"/>
          <a:miter lim="800000"/>
        </a:ln>
        <a:effectLst/>
      </dsp:spPr>
      <dsp:style>
        <a:lnRef idx="2">
          <a:scrgbClr r="0" g="0" b="0"/>
        </a:lnRef>
        <a:fillRef idx="0">
          <a:scrgbClr r="0" g="0" b="0"/>
        </a:fillRef>
        <a:effectRef idx="0">
          <a:scrgbClr r="0" g="0" b="0"/>
        </a:effectRef>
        <a:fontRef idx="minor"/>
      </dsp:style>
    </dsp:sp>
    <dsp:sp modelId="{17103C69-0302-483E-83B6-DDD01D942D32}">
      <dsp:nvSpPr>
        <dsp:cNvPr id="0" name=""/>
        <dsp:cNvSpPr/>
      </dsp:nvSpPr>
      <dsp:spPr>
        <a:xfrm>
          <a:off x="3277756" y="2567951"/>
          <a:ext cx="2569220" cy="297265"/>
        </a:xfrm>
        <a:custGeom>
          <a:avLst/>
          <a:gdLst/>
          <a:ahLst/>
          <a:cxnLst/>
          <a:rect l="0" t="0" r="0" b="0"/>
          <a:pathLst>
            <a:path>
              <a:moveTo>
                <a:pt x="0" y="0"/>
              </a:moveTo>
              <a:lnTo>
                <a:pt x="0" y="148632"/>
              </a:lnTo>
              <a:lnTo>
                <a:pt x="2569220" y="148632"/>
              </a:lnTo>
              <a:lnTo>
                <a:pt x="2569220" y="297265"/>
              </a:lnTo>
            </a:path>
          </a:pathLst>
        </a:custGeom>
        <a:noFill/>
        <a:ln w="38100" cap="flat" cmpd="sng" algn="ctr">
          <a:solidFill>
            <a:schemeClr val="accent2"/>
          </a:solidFill>
          <a:prstDash val="solid"/>
          <a:miter lim="800000"/>
        </a:ln>
        <a:effectLst/>
      </dsp:spPr>
      <dsp:style>
        <a:lnRef idx="2">
          <a:scrgbClr r="0" g="0" b="0"/>
        </a:lnRef>
        <a:fillRef idx="0">
          <a:scrgbClr r="0" g="0" b="0"/>
        </a:fillRef>
        <a:effectRef idx="0">
          <a:scrgbClr r="0" g="0" b="0"/>
        </a:effectRef>
        <a:fontRef idx="minor"/>
      </dsp:style>
    </dsp:sp>
    <dsp:sp modelId="{91D23516-BC80-4A96-83F0-C5CFAB70308E}">
      <dsp:nvSpPr>
        <dsp:cNvPr id="0" name=""/>
        <dsp:cNvSpPr/>
      </dsp:nvSpPr>
      <dsp:spPr>
        <a:xfrm>
          <a:off x="3567943" y="3572991"/>
          <a:ext cx="295991" cy="1506290"/>
        </a:xfrm>
        <a:custGeom>
          <a:avLst/>
          <a:gdLst/>
          <a:ahLst/>
          <a:cxnLst/>
          <a:rect l="0" t="0" r="0" b="0"/>
          <a:pathLst>
            <a:path>
              <a:moveTo>
                <a:pt x="0" y="0"/>
              </a:moveTo>
              <a:lnTo>
                <a:pt x="0" y="1506290"/>
              </a:lnTo>
              <a:lnTo>
                <a:pt x="295991" y="1506290"/>
              </a:lnTo>
            </a:path>
          </a:pathLst>
        </a:custGeom>
        <a:noFill/>
        <a:ln w="38100" cap="flat" cmpd="sng" algn="ctr">
          <a:solidFill>
            <a:schemeClr val="accent4"/>
          </a:solidFill>
          <a:prstDash val="solid"/>
          <a:miter lim="800000"/>
        </a:ln>
        <a:effectLst/>
      </dsp:spPr>
      <dsp:style>
        <a:lnRef idx="2">
          <a:scrgbClr r="0" g="0" b="0"/>
        </a:lnRef>
        <a:fillRef idx="0">
          <a:scrgbClr r="0" g="0" b="0"/>
        </a:fillRef>
        <a:effectRef idx="0">
          <a:scrgbClr r="0" g="0" b="0"/>
        </a:effectRef>
        <a:fontRef idx="minor"/>
      </dsp:style>
    </dsp:sp>
    <dsp:sp modelId="{52FD661B-2D3B-49BB-9A28-EEFCCA35AD9B}">
      <dsp:nvSpPr>
        <dsp:cNvPr id="0" name=""/>
        <dsp:cNvSpPr/>
      </dsp:nvSpPr>
      <dsp:spPr>
        <a:xfrm>
          <a:off x="3277756" y="2567951"/>
          <a:ext cx="856406" cy="297265"/>
        </a:xfrm>
        <a:custGeom>
          <a:avLst/>
          <a:gdLst/>
          <a:ahLst/>
          <a:cxnLst/>
          <a:rect l="0" t="0" r="0" b="0"/>
          <a:pathLst>
            <a:path>
              <a:moveTo>
                <a:pt x="0" y="0"/>
              </a:moveTo>
              <a:lnTo>
                <a:pt x="0" y="148632"/>
              </a:lnTo>
              <a:lnTo>
                <a:pt x="856406" y="148632"/>
              </a:lnTo>
              <a:lnTo>
                <a:pt x="856406" y="297265"/>
              </a:lnTo>
            </a:path>
          </a:pathLst>
        </a:custGeom>
        <a:noFill/>
        <a:ln w="38100" cap="flat" cmpd="sng" algn="ctr">
          <a:solidFill>
            <a:schemeClr val="accent2"/>
          </a:solidFill>
          <a:prstDash val="solid"/>
          <a:miter lim="800000"/>
        </a:ln>
        <a:effectLst/>
      </dsp:spPr>
      <dsp:style>
        <a:lnRef idx="2">
          <a:scrgbClr r="0" g="0" b="0"/>
        </a:lnRef>
        <a:fillRef idx="0">
          <a:scrgbClr r="0" g="0" b="0"/>
        </a:fillRef>
        <a:effectRef idx="0">
          <a:scrgbClr r="0" g="0" b="0"/>
        </a:effectRef>
        <a:fontRef idx="minor"/>
      </dsp:style>
    </dsp:sp>
    <dsp:sp modelId="{B8429EAD-8128-43ED-AC95-1F16B0237B6E}">
      <dsp:nvSpPr>
        <dsp:cNvPr id="0" name=""/>
        <dsp:cNvSpPr/>
      </dsp:nvSpPr>
      <dsp:spPr>
        <a:xfrm>
          <a:off x="1855129" y="3572991"/>
          <a:ext cx="295991" cy="1506290"/>
        </a:xfrm>
        <a:custGeom>
          <a:avLst/>
          <a:gdLst/>
          <a:ahLst/>
          <a:cxnLst/>
          <a:rect l="0" t="0" r="0" b="0"/>
          <a:pathLst>
            <a:path>
              <a:moveTo>
                <a:pt x="0" y="0"/>
              </a:moveTo>
              <a:lnTo>
                <a:pt x="0" y="1506290"/>
              </a:lnTo>
              <a:lnTo>
                <a:pt x="295991" y="1506290"/>
              </a:lnTo>
            </a:path>
          </a:pathLst>
        </a:custGeom>
        <a:noFill/>
        <a:ln w="38100" cap="flat" cmpd="sng" algn="ctr">
          <a:solidFill>
            <a:schemeClr val="accent4"/>
          </a:solidFill>
          <a:prstDash val="solid"/>
          <a:miter lim="800000"/>
        </a:ln>
        <a:effectLst/>
      </dsp:spPr>
      <dsp:style>
        <a:lnRef idx="2">
          <a:scrgbClr r="0" g="0" b="0"/>
        </a:lnRef>
        <a:fillRef idx="0">
          <a:scrgbClr r="0" g="0" b="0"/>
        </a:fillRef>
        <a:effectRef idx="0">
          <a:scrgbClr r="0" g="0" b="0"/>
        </a:effectRef>
        <a:fontRef idx="minor"/>
      </dsp:style>
    </dsp:sp>
    <dsp:sp modelId="{F4372CDA-AFB5-4451-92EF-ECBD1813E030}">
      <dsp:nvSpPr>
        <dsp:cNvPr id="0" name=""/>
        <dsp:cNvSpPr/>
      </dsp:nvSpPr>
      <dsp:spPr>
        <a:xfrm>
          <a:off x="2421349" y="2567951"/>
          <a:ext cx="856406" cy="297265"/>
        </a:xfrm>
        <a:custGeom>
          <a:avLst/>
          <a:gdLst/>
          <a:ahLst/>
          <a:cxnLst/>
          <a:rect l="0" t="0" r="0" b="0"/>
          <a:pathLst>
            <a:path>
              <a:moveTo>
                <a:pt x="856406" y="0"/>
              </a:moveTo>
              <a:lnTo>
                <a:pt x="856406" y="148632"/>
              </a:lnTo>
              <a:lnTo>
                <a:pt x="0" y="148632"/>
              </a:lnTo>
              <a:lnTo>
                <a:pt x="0" y="297265"/>
              </a:lnTo>
            </a:path>
          </a:pathLst>
        </a:custGeom>
        <a:noFill/>
        <a:ln w="38100" cap="flat" cmpd="sng" algn="ctr">
          <a:solidFill>
            <a:schemeClr val="accent2"/>
          </a:solidFill>
          <a:prstDash val="solid"/>
          <a:miter lim="800000"/>
        </a:ln>
        <a:effectLst/>
      </dsp:spPr>
      <dsp:style>
        <a:lnRef idx="2">
          <a:scrgbClr r="0" g="0" b="0"/>
        </a:lnRef>
        <a:fillRef idx="0">
          <a:scrgbClr r="0" g="0" b="0"/>
        </a:fillRef>
        <a:effectRef idx="0">
          <a:scrgbClr r="0" g="0" b="0"/>
        </a:effectRef>
        <a:fontRef idx="minor"/>
      </dsp:style>
    </dsp:sp>
    <dsp:sp modelId="{3A5A8D36-8B03-42BF-B627-CE87AF11EC22}">
      <dsp:nvSpPr>
        <dsp:cNvPr id="0" name=""/>
        <dsp:cNvSpPr/>
      </dsp:nvSpPr>
      <dsp:spPr>
        <a:xfrm>
          <a:off x="142315" y="3572991"/>
          <a:ext cx="295991" cy="1506290"/>
        </a:xfrm>
        <a:custGeom>
          <a:avLst/>
          <a:gdLst/>
          <a:ahLst/>
          <a:cxnLst/>
          <a:rect l="0" t="0" r="0" b="0"/>
          <a:pathLst>
            <a:path>
              <a:moveTo>
                <a:pt x="0" y="0"/>
              </a:moveTo>
              <a:lnTo>
                <a:pt x="0" y="1506290"/>
              </a:lnTo>
              <a:lnTo>
                <a:pt x="295991" y="1506290"/>
              </a:lnTo>
            </a:path>
          </a:pathLst>
        </a:custGeom>
        <a:noFill/>
        <a:ln w="38100" cap="flat" cmpd="sng" algn="ctr">
          <a:solidFill>
            <a:schemeClr val="accent4"/>
          </a:solidFill>
          <a:prstDash val="solid"/>
          <a:miter lim="800000"/>
        </a:ln>
        <a:effectLst/>
      </dsp:spPr>
      <dsp:style>
        <a:lnRef idx="2">
          <a:scrgbClr r="0" g="0" b="0"/>
        </a:lnRef>
        <a:fillRef idx="0">
          <a:scrgbClr r="0" g="0" b="0"/>
        </a:fillRef>
        <a:effectRef idx="0">
          <a:scrgbClr r="0" g="0" b="0"/>
        </a:effectRef>
        <a:fontRef idx="minor"/>
      </dsp:style>
    </dsp:sp>
    <dsp:sp modelId="{3D65BB9A-E472-4012-9432-AF20FB359CF9}">
      <dsp:nvSpPr>
        <dsp:cNvPr id="0" name=""/>
        <dsp:cNvSpPr/>
      </dsp:nvSpPr>
      <dsp:spPr>
        <a:xfrm>
          <a:off x="708535" y="2567951"/>
          <a:ext cx="2569220" cy="297265"/>
        </a:xfrm>
        <a:custGeom>
          <a:avLst/>
          <a:gdLst/>
          <a:ahLst/>
          <a:cxnLst/>
          <a:rect l="0" t="0" r="0" b="0"/>
          <a:pathLst>
            <a:path>
              <a:moveTo>
                <a:pt x="2569220" y="0"/>
              </a:moveTo>
              <a:lnTo>
                <a:pt x="2569220" y="148632"/>
              </a:lnTo>
              <a:lnTo>
                <a:pt x="0" y="148632"/>
              </a:lnTo>
              <a:lnTo>
                <a:pt x="0" y="297265"/>
              </a:lnTo>
            </a:path>
          </a:pathLst>
        </a:custGeom>
        <a:noFill/>
        <a:ln w="38100" cap="flat" cmpd="sng" algn="ctr">
          <a:solidFill>
            <a:schemeClr val="accent2"/>
          </a:solidFill>
          <a:prstDash val="solid"/>
          <a:miter lim="800000"/>
        </a:ln>
        <a:effectLst/>
      </dsp:spPr>
      <dsp:style>
        <a:lnRef idx="2">
          <a:scrgbClr r="0" g="0" b="0"/>
        </a:lnRef>
        <a:fillRef idx="0">
          <a:scrgbClr r="0" g="0" b="0"/>
        </a:fillRef>
        <a:effectRef idx="0">
          <a:scrgbClr r="0" g="0" b="0"/>
        </a:effectRef>
        <a:fontRef idx="minor"/>
      </dsp:style>
    </dsp:sp>
    <dsp:sp modelId="{340F67C4-F267-4C22-B5DF-B7550B5CA0DF}">
      <dsp:nvSpPr>
        <dsp:cNvPr id="0" name=""/>
        <dsp:cNvSpPr/>
      </dsp:nvSpPr>
      <dsp:spPr>
        <a:xfrm>
          <a:off x="3277756" y="1562912"/>
          <a:ext cx="3425627" cy="297265"/>
        </a:xfrm>
        <a:custGeom>
          <a:avLst/>
          <a:gdLst/>
          <a:ahLst/>
          <a:cxnLst/>
          <a:rect l="0" t="0" r="0" b="0"/>
          <a:pathLst>
            <a:path>
              <a:moveTo>
                <a:pt x="3425627" y="0"/>
              </a:moveTo>
              <a:lnTo>
                <a:pt x="3425627" y="148632"/>
              </a:lnTo>
              <a:lnTo>
                <a:pt x="0" y="148632"/>
              </a:lnTo>
              <a:lnTo>
                <a:pt x="0" y="297265"/>
              </a:lnTo>
            </a:path>
          </a:pathLst>
        </a:custGeom>
        <a:noFill/>
        <a:ln w="38100" cap="flat" cmpd="sng" algn="ctr">
          <a:solidFill>
            <a:schemeClr val="accent1"/>
          </a:solidFill>
          <a:prstDash val="solid"/>
          <a:miter lim="800000"/>
        </a:ln>
        <a:effectLst/>
      </dsp:spPr>
      <dsp:style>
        <a:lnRef idx="2">
          <a:scrgbClr r="0" g="0" b="0"/>
        </a:lnRef>
        <a:fillRef idx="0">
          <a:scrgbClr r="0" g="0" b="0"/>
        </a:fillRef>
        <a:effectRef idx="0">
          <a:scrgbClr r="0" g="0" b="0"/>
        </a:effectRef>
        <a:fontRef idx="minor"/>
      </dsp:style>
    </dsp:sp>
    <dsp:sp modelId="{B5EF23FE-E97C-4F8C-B341-37F1FEA0D4DD}">
      <dsp:nvSpPr>
        <dsp:cNvPr id="0" name=""/>
        <dsp:cNvSpPr/>
      </dsp:nvSpPr>
      <dsp:spPr>
        <a:xfrm>
          <a:off x="5995609" y="855137"/>
          <a:ext cx="1415548" cy="707774"/>
        </a:xfrm>
        <a:prstGeom prst="rect">
          <a:avLst/>
        </a:prstGeom>
        <a:solidFill>
          <a:schemeClr val="tx2"/>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en-GB" sz="1300" kern="1200"/>
            <a:t>Fresatrice L=1500</a:t>
          </a:r>
        </a:p>
      </dsp:txBody>
      <dsp:txXfrm>
        <a:off x="5995609" y="855137"/>
        <a:ext cx="1415548" cy="707774"/>
      </dsp:txXfrm>
    </dsp:sp>
    <dsp:sp modelId="{7A0B9906-977A-4B42-942C-11DDBAD50226}">
      <dsp:nvSpPr>
        <dsp:cNvPr id="0" name=""/>
        <dsp:cNvSpPr/>
      </dsp:nvSpPr>
      <dsp:spPr>
        <a:xfrm>
          <a:off x="2569981" y="1860177"/>
          <a:ext cx="1415548" cy="707774"/>
        </a:xfrm>
        <a:prstGeom prst="rect">
          <a:avLst/>
        </a:prstGeom>
        <a:solidFill>
          <a:schemeClr val="tx2"/>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en-GB" sz="1300" kern="1200"/>
            <a:t>Telaio Completo per Fresatrice L=1500 (1)</a:t>
          </a:r>
        </a:p>
      </dsp:txBody>
      <dsp:txXfrm>
        <a:off x="2569981" y="1860177"/>
        <a:ext cx="1415548" cy="707774"/>
      </dsp:txXfrm>
    </dsp:sp>
    <dsp:sp modelId="{1FB34EFA-170E-4CEC-8A83-94E6D3D1104A}">
      <dsp:nvSpPr>
        <dsp:cNvPr id="0" name=""/>
        <dsp:cNvSpPr/>
      </dsp:nvSpPr>
      <dsp:spPr>
        <a:xfrm>
          <a:off x="760" y="2865217"/>
          <a:ext cx="1415548" cy="707774"/>
        </a:xfrm>
        <a:prstGeom prst="rect">
          <a:avLst/>
        </a:prstGeom>
        <a:solidFill>
          <a:schemeClr val="tx2"/>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en-GB" sz="1300" kern="1200"/>
            <a:t>Carter L=1500 (1)</a:t>
          </a:r>
        </a:p>
      </dsp:txBody>
      <dsp:txXfrm>
        <a:off x="760" y="2865217"/>
        <a:ext cx="1415548" cy="707774"/>
      </dsp:txXfrm>
    </dsp:sp>
    <dsp:sp modelId="{43782A98-1838-41BA-B5F4-3F6A5D3A4643}">
      <dsp:nvSpPr>
        <dsp:cNvPr id="0" name=""/>
        <dsp:cNvSpPr/>
      </dsp:nvSpPr>
      <dsp:spPr>
        <a:xfrm>
          <a:off x="438306" y="4725394"/>
          <a:ext cx="1415548" cy="707774"/>
        </a:xfrm>
        <a:prstGeom prst="rect">
          <a:avLst/>
        </a:prstGeom>
        <a:solidFill>
          <a:schemeClr val="accent6"/>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en-GB" sz="1300" kern="1200"/>
            <a:t>Foglio Lamiera 1500x2000x3 (0.17)</a:t>
          </a:r>
        </a:p>
      </dsp:txBody>
      <dsp:txXfrm>
        <a:off x="438306" y="4725394"/>
        <a:ext cx="1415548" cy="707774"/>
      </dsp:txXfrm>
    </dsp:sp>
    <dsp:sp modelId="{BF4BB1AA-4DBE-4507-B279-84DB611DE3D9}">
      <dsp:nvSpPr>
        <dsp:cNvPr id="0" name=""/>
        <dsp:cNvSpPr/>
      </dsp:nvSpPr>
      <dsp:spPr>
        <a:xfrm>
          <a:off x="1713574" y="2865217"/>
          <a:ext cx="1415548" cy="707774"/>
        </a:xfrm>
        <a:prstGeom prst="rect">
          <a:avLst/>
        </a:prstGeom>
        <a:solidFill>
          <a:schemeClr val="tx2"/>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en-GB" sz="1300" kern="1200"/>
            <a:t>Staffe Rinforzo (3)</a:t>
          </a:r>
        </a:p>
      </dsp:txBody>
      <dsp:txXfrm>
        <a:off x="1713574" y="2865217"/>
        <a:ext cx="1415548" cy="707774"/>
      </dsp:txXfrm>
    </dsp:sp>
    <dsp:sp modelId="{89C82BCD-3E8F-4B3E-ADEB-9F0B68EEFC29}">
      <dsp:nvSpPr>
        <dsp:cNvPr id="0" name=""/>
        <dsp:cNvSpPr/>
      </dsp:nvSpPr>
      <dsp:spPr>
        <a:xfrm>
          <a:off x="2151120" y="4725394"/>
          <a:ext cx="1415548" cy="707774"/>
        </a:xfrm>
        <a:prstGeom prst="rect">
          <a:avLst/>
        </a:prstGeom>
        <a:solidFill>
          <a:schemeClr val="accent6"/>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en-GB" sz="1300" kern="1200"/>
            <a:t>Foglio Lamiera 1000x1500x3 (0.05)</a:t>
          </a:r>
        </a:p>
      </dsp:txBody>
      <dsp:txXfrm>
        <a:off x="2151120" y="4725394"/>
        <a:ext cx="1415548" cy="707774"/>
      </dsp:txXfrm>
    </dsp:sp>
    <dsp:sp modelId="{2475995F-D1F8-4107-A258-730E90BCD88D}">
      <dsp:nvSpPr>
        <dsp:cNvPr id="0" name=""/>
        <dsp:cNvSpPr/>
      </dsp:nvSpPr>
      <dsp:spPr>
        <a:xfrm>
          <a:off x="3426388" y="2865217"/>
          <a:ext cx="1415548" cy="707774"/>
        </a:xfrm>
        <a:prstGeom prst="rect">
          <a:avLst/>
        </a:prstGeom>
        <a:solidFill>
          <a:schemeClr val="tx2"/>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en-GB" sz="1300" kern="1200"/>
            <a:t>Piastre Attacco Trattore (2)</a:t>
          </a:r>
        </a:p>
      </dsp:txBody>
      <dsp:txXfrm>
        <a:off x="3426388" y="2865217"/>
        <a:ext cx="1415548" cy="707774"/>
      </dsp:txXfrm>
    </dsp:sp>
    <dsp:sp modelId="{96EAEC2D-51A0-4D58-8D8D-ED695F4677BC}">
      <dsp:nvSpPr>
        <dsp:cNvPr id="0" name=""/>
        <dsp:cNvSpPr/>
      </dsp:nvSpPr>
      <dsp:spPr>
        <a:xfrm>
          <a:off x="3863934" y="4725394"/>
          <a:ext cx="1415548" cy="707774"/>
        </a:xfrm>
        <a:prstGeom prst="rect">
          <a:avLst/>
        </a:prstGeom>
        <a:solidFill>
          <a:schemeClr val="accent6"/>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en-GB" sz="1300" kern="1200"/>
            <a:t>Foglio Lamiera 1000x2000x3 (0.22)</a:t>
          </a:r>
        </a:p>
      </dsp:txBody>
      <dsp:txXfrm>
        <a:off x="3863934" y="4725394"/>
        <a:ext cx="1415548" cy="707774"/>
      </dsp:txXfrm>
    </dsp:sp>
    <dsp:sp modelId="{8626661B-01F0-4DF6-819E-869027AAF714}">
      <dsp:nvSpPr>
        <dsp:cNvPr id="0" name=""/>
        <dsp:cNvSpPr/>
      </dsp:nvSpPr>
      <dsp:spPr>
        <a:xfrm>
          <a:off x="5139202" y="2865217"/>
          <a:ext cx="1415548" cy="707774"/>
        </a:xfrm>
        <a:prstGeom prst="rect">
          <a:avLst/>
        </a:prstGeom>
        <a:solidFill>
          <a:schemeClr val="tx2"/>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en-GB" sz="1300" kern="1200"/>
            <a:t>Piastre Laterali (2)</a:t>
          </a:r>
        </a:p>
      </dsp:txBody>
      <dsp:txXfrm>
        <a:off x="5139202" y="2865217"/>
        <a:ext cx="1415548" cy="707774"/>
      </dsp:txXfrm>
    </dsp:sp>
    <dsp:sp modelId="{859E0FBF-A04C-41A7-A7EC-948BE89D5DDD}">
      <dsp:nvSpPr>
        <dsp:cNvPr id="0" name=""/>
        <dsp:cNvSpPr/>
      </dsp:nvSpPr>
      <dsp:spPr>
        <a:xfrm>
          <a:off x="5576748" y="4725394"/>
          <a:ext cx="1415548" cy="707774"/>
        </a:xfrm>
        <a:prstGeom prst="rect">
          <a:avLst/>
        </a:prstGeom>
        <a:solidFill>
          <a:schemeClr val="accent6"/>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en-GB" sz="1300" kern="1200"/>
            <a:t>Foglio Lamiera 1000x2000x3 (0.22)</a:t>
          </a:r>
        </a:p>
      </dsp:txBody>
      <dsp:txXfrm>
        <a:off x="5576748" y="4725394"/>
        <a:ext cx="1415548" cy="707774"/>
      </dsp:txXfrm>
    </dsp:sp>
    <dsp:sp modelId="{0865E7C1-C8C5-4628-BF91-DFD448E2F845}">
      <dsp:nvSpPr>
        <dsp:cNvPr id="0" name=""/>
        <dsp:cNvSpPr/>
      </dsp:nvSpPr>
      <dsp:spPr>
        <a:xfrm>
          <a:off x="4282795" y="1860177"/>
          <a:ext cx="1415548" cy="707774"/>
        </a:xfrm>
        <a:prstGeom prst="rect">
          <a:avLst/>
        </a:prstGeom>
        <a:solidFill>
          <a:schemeClr val="accent6"/>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en-GB" sz="1300" kern="1200"/>
            <a:t>Albero di trasmissione per macchine L=1500 (1)</a:t>
          </a:r>
        </a:p>
      </dsp:txBody>
      <dsp:txXfrm>
        <a:off x="4282795" y="1860177"/>
        <a:ext cx="1415548" cy="707774"/>
      </dsp:txXfrm>
    </dsp:sp>
    <dsp:sp modelId="{7AA36B74-A52B-45E3-A0CB-60087D0C2443}">
      <dsp:nvSpPr>
        <dsp:cNvPr id="0" name=""/>
        <dsp:cNvSpPr/>
      </dsp:nvSpPr>
      <dsp:spPr>
        <a:xfrm>
          <a:off x="5995609" y="1860177"/>
          <a:ext cx="1415548" cy="707774"/>
        </a:xfrm>
        <a:prstGeom prst="rect">
          <a:avLst/>
        </a:prstGeom>
        <a:solidFill>
          <a:schemeClr val="accent6"/>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en-GB" sz="1300" kern="1200"/>
            <a:t>Ruota dentata conica (2)</a:t>
          </a:r>
        </a:p>
      </dsp:txBody>
      <dsp:txXfrm>
        <a:off x="5995609" y="1860177"/>
        <a:ext cx="1415548" cy="707774"/>
      </dsp:txXfrm>
    </dsp:sp>
    <dsp:sp modelId="{8164BF52-63BB-40C9-A999-DB74F871BBE3}">
      <dsp:nvSpPr>
        <dsp:cNvPr id="0" name=""/>
        <dsp:cNvSpPr/>
      </dsp:nvSpPr>
      <dsp:spPr>
        <a:xfrm>
          <a:off x="7708423" y="1860177"/>
          <a:ext cx="1415548" cy="707774"/>
        </a:xfrm>
        <a:prstGeom prst="rect">
          <a:avLst/>
        </a:prstGeom>
        <a:solidFill>
          <a:schemeClr val="accent6"/>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en-GB" sz="1300" kern="1200"/>
            <a:t>Ruota dentata cilindrica (3)</a:t>
          </a:r>
        </a:p>
      </dsp:txBody>
      <dsp:txXfrm>
        <a:off x="7708423" y="1860177"/>
        <a:ext cx="1415548" cy="707774"/>
      </dsp:txXfrm>
    </dsp:sp>
    <dsp:sp modelId="{2A9C3C54-5B58-49BD-BB0F-7BD286DF6C57}">
      <dsp:nvSpPr>
        <dsp:cNvPr id="0" name=""/>
        <dsp:cNvSpPr/>
      </dsp:nvSpPr>
      <dsp:spPr>
        <a:xfrm>
          <a:off x="9421237" y="1860177"/>
          <a:ext cx="1415548" cy="707774"/>
        </a:xfrm>
        <a:prstGeom prst="rect">
          <a:avLst/>
        </a:prstGeom>
        <a:solidFill>
          <a:schemeClr val="accent6"/>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en-GB" sz="1300" kern="1200"/>
            <a:t>Albero completo frese per fresatrice L=1500 (1)</a:t>
          </a:r>
        </a:p>
      </dsp:txBody>
      <dsp:txXfrm>
        <a:off x="9421237" y="1860177"/>
        <a:ext cx="1415548" cy="707774"/>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00268D7A-8C38-48B0-961F-1FD70B54E78D}">
      <dsp:nvSpPr>
        <dsp:cNvPr id="0" name=""/>
        <dsp:cNvSpPr/>
      </dsp:nvSpPr>
      <dsp:spPr>
        <a:xfrm>
          <a:off x="6703384" y="2301215"/>
          <a:ext cx="3425628" cy="297265"/>
        </a:xfrm>
        <a:custGeom>
          <a:avLst/>
          <a:gdLst/>
          <a:ahLst/>
          <a:cxnLst/>
          <a:rect l="0" t="0" r="0" b="0"/>
          <a:pathLst>
            <a:path>
              <a:moveTo>
                <a:pt x="0" y="0"/>
              </a:moveTo>
              <a:lnTo>
                <a:pt x="0" y="148632"/>
              </a:lnTo>
              <a:lnTo>
                <a:pt x="3425628" y="148632"/>
              </a:lnTo>
              <a:lnTo>
                <a:pt x="3425628" y="297265"/>
              </a:lnTo>
            </a:path>
          </a:pathLst>
        </a:custGeom>
        <a:noFill/>
        <a:ln w="38100" cap="flat" cmpd="sng" algn="ctr">
          <a:solidFill>
            <a:schemeClr val="accent1"/>
          </a:solidFill>
          <a:prstDash val="solid"/>
          <a:miter lim="800000"/>
        </a:ln>
        <a:effectLst/>
      </dsp:spPr>
      <dsp:style>
        <a:lnRef idx="2">
          <a:scrgbClr r="0" g="0" b="0"/>
        </a:lnRef>
        <a:fillRef idx="0">
          <a:scrgbClr r="0" g="0" b="0"/>
        </a:fillRef>
        <a:effectRef idx="0">
          <a:scrgbClr r="0" g="0" b="0"/>
        </a:effectRef>
        <a:fontRef idx="minor"/>
      </dsp:style>
    </dsp:sp>
    <dsp:sp modelId="{83E92D29-5D87-4FBD-92AC-2EEFA23E617A}">
      <dsp:nvSpPr>
        <dsp:cNvPr id="0" name=""/>
        <dsp:cNvSpPr/>
      </dsp:nvSpPr>
      <dsp:spPr>
        <a:xfrm>
          <a:off x="6703384" y="2301215"/>
          <a:ext cx="1712814" cy="297265"/>
        </a:xfrm>
        <a:custGeom>
          <a:avLst/>
          <a:gdLst/>
          <a:ahLst/>
          <a:cxnLst/>
          <a:rect l="0" t="0" r="0" b="0"/>
          <a:pathLst>
            <a:path>
              <a:moveTo>
                <a:pt x="0" y="0"/>
              </a:moveTo>
              <a:lnTo>
                <a:pt x="0" y="148632"/>
              </a:lnTo>
              <a:lnTo>
                <a:pt x="1712814" y="148632"/>
              </a:lnTo>
              <a:lnTo>
                <a:pt x="1712814" y="297265"/>
              </a:lnTo>
            </a:path>
          </a:pathLst>
        </a:custGeom>
        <a:noFill/>
        <a:ln w="38100" cap="flat" cmpd="sng" algn="ctr">
          <a:solidFill>
            <a:schemeClr val="accent1"/>
          </a:solidFill>
          <a:prstDash val="solid"/>
          <a:miter lim="800000"/>
        </a:ln>
        <a:effectLst/>
      </dsp:spPr>
      <dsp:style>
        <a:lnRef idx="2">
          <a:scrgbClr r="0" g="0" b="0"/>
        </a:lnRef>
        <a:fillRef idx="0">
          <a:scrgbClr r="0" g="0" b="0"/>
        </a:fillRef>
        <a:effectRef idx="0">
          <a:scrgbClr r="0" g="0" b="0"/>
        </a:effectRef>
        <a:fontRef idx="minor"/>
      </dsp:style>
    </dsp:sp>
    <dsp:sp modelId="{9212C7B4-A036-482B-A3D9-AA773E264725}">
      <dsp:nvSpPr>
        <dsp:cNvPr id="0" name=""/>
        <dsp:cNvSpPr/>
      </dsp:nvSpPr>
      <dsp:spPr>
        <a:xfrm>
          <a:off x="6657664" y="2301215"/>
          <a:ext cx="91440" cy="297265"/>
        </a:xfrm>
        <a:custGeom>
          <a:avLst/>
          <a:gdLst/>
          <a:ahLst/>
          <a:cxnLst/>
          <a:rect l="0" t="0" r="0" b="0"/>
          <a:pathLst>
            <a:path>
              <a:moveTo>
                <a:pt x="45720" y="0"/>
              </a:moveTo>
              <a:lnTo>
                <a:pt x="45720" y="297265"/>
              </a:lnTo>
            </a:path>
          </a:pathLst>
        </a:custGeom>
        <a:noFill/>
        <a:ln w="38100" cap="flat" cmpd="sng" algn="ctr">
          <a:solidFill>
            <a:schemeClr val="accent1"/>
          </a:solidFill>
          <a:prstDash val="solid"/>
          <a:miter lim="800000"/>
        </a:ln>
        <a:effectLst/>
      </dsp:spPr>
      <dsp:style>
        <a:lnRef idx="2">
          <a:scrgbClr r="0" g="0" b="0"/>
        </a:lnRef>
        <a:fillRef idx="0">
          <a:scrgbClr r="0" g="0" b="0"/>
        </a:fillRef>
        <a:effectRef idx="0">
          <a:scrgbClr r="0" g="0" b="0"/>
        </a:effectRef>
        <a:fontRef idx="minor"/>
      </dsp:style>
    </dsp:sp>
    <dsp:sp modelId="{A6339135-5765-4A4B-AE66-1F85B67972B6}">
      <dsp:nvSpPr>
        <dsp:cNvPr id="0" name=""/>
        <dsp:cNvSpPr/>
      </dsp:nvSpPr>
      <dsp:spPr>
        <a:xfrm>
          <a:off x="5053024" y="2301215"/>
          <a:ext cx="1650360" cy="297265"/>
        </a:xfrm>
        <a:custGeom>
          <a:avLst/>
          <a:gdLst/>
          <a:ahLst/>
          <a:cxnLst/>
          <a:rect l="0" t="0" r="0" b="0"/>
          <a:pathLst>
            <a:path>
              <a:moveTo>
                <a:pt x="1650360" y="0"/>
              </a:moveTo>
              <a:lnTo>
                <a:pt x="1650360" y="148632"/>
              </a:lnTo>
              <a:lnTo>
                <a:pt x="0" y="148632"/>
              </a:lnTo>
              <a:lnTo>
                <a:pt x="0" y="297265"/>
              </a:lnTo>
            </a:path>
          </a:pathLst>
        </a:custGeom>
        <a:noFill/>
        <a:ln w="38100" cap="flat" cmpd="sng" algn="ctr">
          <a:solidFill>
            <a:schemeClr val="accent1"/>
          </a:solidFill>
          <a:prstDash val="solid"/>
          <a:miter lim="800000"/>
        </a:ln>
        <a:effectLst/>
      </dsp:spPr>
      <dsp:style>
        <a:lnRef idx="2">
          <a:scrgbClr r="0" g="0" b="0"/>
        </a:lnRef>
        <a:fillRef idx="0">
          <a:scrgbClr r="0" g="0" b="0"/>
        </a:fillRef>
        <a:effectRef idx="0">
          <a:scrgbClr r="0" g="0" b="0"/>
        </a:effectRef>
        <a:fontRef idx="minor"/>
      </dsp:style>
    </dsp:sp>
    <dsp:sp modelId="{1CFCAC33-F28B-4BE4-B86C-6C7DF7DFC108}">
      <dsp:nvSpPr>
        <dsp:cNvPr id="0" name=""/>
        <dsp:cNvSpPr/>
      </dsp:nvSpPr>
      <dsp:spPr>
        <a:xfrm>
          <a:off x="5280757" y="4311295"/>
          <a:ext cx="193279" cy="1572115"/>
        </a:xfrm>
        <a:custGeom>
          <a:avLst/>
          <a:gdLst/>
          <a:ahLst/>
          <a:cxnLst/>
          <a:rect l="0" t="0" r="0" b="0"/>
          <a:pathLst>
            <a:path>
              <a:moveTo>
                <a:pt x="0" y="0"/>
              </a:moveTo>
              <a:lnTo>
                <a:pt x="0" y="1572115"/>
              </a:lnTo>
              <a:lnTo>
                <a:pt x="193279" y="1572115"/>
              </a:lnTo>
            </a:path>
          </a:pathLst>
        </a:custGeom>
        <a:noFill/>
        <a:ln w="38100" cap="flat" cmpd="sng" algn="ctr">
          <a:solidFill>
            <a:schemeClr val="accent4"/>
          </a:solidFill>
          <a:prstDash val="solid"/>
          <a:miter lim="800000"/>
        </a:ln>
        <a:effectLst/>
      </dsp:spPr>
      <dsp:style>
        <a:lnRef idx="2">
          <a:scrgbClr r="0" g="0" b="0"/>
        </a:lnRef>
        <a:fillRef idx="0">
          <a:scrgbClr r="0" g="0" b="0"/>
        </a:fillRef>
        <a:effectRef idx="0">
          <a:scrgbClr r="0" g="0" b="0"/>
        </a:effectRef>
        <a:fontRef idx="minor"/>
      </dsp:style>
    </dsp:sp>
    <dsp:sp modelId="{17103C69-0302-483E-83B6-DDD01D942D32}">
      <dsp:nvSpPr>
        <dsp:cNvPr id="0" name=""/>
        <dsp:cNvSpPr/>
      </dsp:nvSpPr>
      <dsp:spPr>
        <a:xfrm>
          <a:off x="3277756" y="3306255"/>
          <a:ext cx="2569221" cy="297265"/>
        </a:xfrm>
        <a:custGeom>
          <a:avLst/>
          <a:gdLst/>
          <a:ahLst/>
          <a:cxnLst/>
          <a:rect l="0" t="0" r="0" b="0"/>
          <a:pathLst>
            <a:path>
              <a:moveTo>
                <a:pt x="0" y="0"/>
              </a:moveTo>
              <a:lnTo>
                <a:pt x="0" y="148632"/>
              </a:lnTo>
              <a:lnTo>
                <a:pt x="2569221" y="148632"/>
              </a:lnTo>
              <a:lnTo>
                <a:pt x="2569221" y="297265"/>
              </a:lnTo>
            </a:path>
          </a:pathLst>
        </a:custGeom>
        <a:noFill/>
        <a:ln w="38100" cap="flat" cmpd="sng" algn="ctr">
          <a:solidFill>
            <a:schemeClr val="accent2"/>
          </a:solidFill>
          <a:prstDash val="solid"/>
          <a:miter lim="800000"/>
        </a:ln>
        <a:effectLst/>
      </dsp:spPr>
      <dsp:style>
        <a:lnRef idx="2">
          <a:scrgbClr r="0" g="0" b="0"/>
        </a:lnRef>
        <a:fillRef idx="0">
          <a:scrgbClr r="0" g="0" b="0"/>
        </a:fillRef>
        <a:effectRef idx="0">
          <a:scrgbClr r="0" g="0" b="0"/>
        </a:effectRef>
        <a:fontRef idx="minor"/>
      </dsp:style>
    </dsp:sp>
    <dsp:sp modelId="{91D23516-BC80-4A96-83F0-C5CFAB70308E}">
      <dsp:nvSpPr>
        <dsp:cNvPr id="0" name=""/>
        <dsp:cNvSpPr/>
      </dsp:nvSpPr>
      <dsp:spPr>
        <a:xfrm>
          <a:off x="3567943" y="4311295"/>
          <a:ext cx="193279" cy="1572115"/>
        </a:xfrm>
        <a:custGeom>
          <a:avLst/>
          <a:gdLst/>
          <a:ahLst/>
          <a:cxnLst/>
          <a:rect l="0" t="0" r="0" b="0"/>
          <a:pathLst>
            <a:path>
              <a:moveTo>
                <a:pt x="0" y="0"/>
              </a:moveTo>
              <a:lnTo>
                <a:pt x="0" y="1572115"/>
              </a:lnTo>
              <a:lnTo>
                <a:pt x="193279" y="1572115"/>
              </a:lnTo>
            </a:path>
          </a:pathLst>
        </a:custGeom>
        <a:noFill/>
        <a:ln w="38100" cap="flat" cmpd="sng" algn="ctr">
          <a:solidFill>
            <a:schemeClr val="accent4"/>
          </a:solidFill>
          <a:prstDash val="solid"/>
          <a:miter lim="800000"/>
        </a:ln>
        <a:effectLst/>
      </dsp:spPr>
      <dsp:style>
        <a:lnRef idx="2">
          <a:scrgbClr r="0" g="0" b="0"/>
        </a:lnRef>
        <a:fillRef idx="0">
          <a:scrgbClr r="0" g="0" b="0"/>
        </a:fillRef>
        <a:effectRef idx="0">
          <a:scrgbClr r="0" g="0" b="0"/>
        </a:effectRef>
        <a:fontRef idx="minor"/>
      </dsp:style>
    </dsp:sp>
    <dsp:sp modelId="{52FD661B-2D3B-49BB-9A28-EEFCCA35AD9B}">
      <dsp:nvSpPr>
        <dsp:cNvPr id="0" name=""/>
        <dsp:cNvSpPr/>
      </dsp:nvSpPr>
      <dsp:spPr>
        <a:xfrm>
          <a:off x="3277756" y="3306255"/>
          <a:ext cx="856407" cy="297265"/>
        </a:xfrm>
        <a:custGeom>
          <a:avLst/>
          <a:gdLst/>
          <a:ahLst/>
          <a:cxnLst/>
          <a:rect l="0" t="0" r="0" b="0"/>
          <a:pathLst>
            <a:path>
              <a:moveTo>
                <a:pt x="0" y="0"/>
              </a:moveTo>
              <a:lnTo>
                <a:pt x="0" y="148632"/>
              </a:lnTo>
              <a:lnTo>
                <a:pt x="856407" y="148632"/>
              </a:lnTo>
              <a:lnTo>
                <a:pt x="856407" y="297265"/>
              </a:lnTo>
            </a:path>
          </a:pathLst>
        </a:custGeom>
        <a:noFill/>
        <a:ln w="38100" cap="flat" cmpd="sng" algn="ctr">
          <a:solidFill>
            <a:schemeClr val="accent2"/>
          </a:solidFill>
          <a:prstDash val="solid"/>
          <a:miter lim="800000"/>
        </a:ln>
        <a:effectLst/>
      </dsp:spPr>
      <dsp:style>
        <a:lnRef idx="2">
          <a:scrgbClr r="0" g="0" b="0"/>
        </a:lnRef>
        <a:fillRef idx="0">
          <a:scrgbClr r="0" g="0" b="0"/>
        </a:fillRef>
        <a:effectRef idx="0">
          <a:scrgbClr r="0" g="0" b="0"/>
        </a:effectRef>
        <a:fontRef idx="minor"/>
      </dsp:style>
    </dsp:sp>
    <dsp:sp modelId="{B8429EAD-8128-43ED-AC95-1F16B0237B6E}">
      <dsp:nvSpPr>
        <dsp:cNvPr id="0" name=""/>
        <dsp:cNvSpPr/>
      </dsp:nvSpPr>
      <dsp:spPr>
        <a:xfrm>
          <a:off x="1855129" y="4311295"/>
          <a:ext cx="193279" cy="1572115"/>
        </a:xfrm>
        <a:custGeom>
          <a:avLst/>
          <a:gdLst/>
          <a:ahLst/>
          <a:cxnLst/>
          <a:rect l="0" t="0" r="0" b="0"/>
          <a:pathLst>
            <a:path>
              <a:moveTo>
                <a:pt x="0" y="0"/>
              </a:moveTo>
              <a:lnTo>
                <a:pt x="0" y="1572115"/>
              </a:lnTo>
              <a:lnTo>
                <a:pt x="193279" y="1572115"/>
              </a:lnTo>
            </a:path>
          </a:pathLst>
        </a:custGeom>
        <a:noFill/>
        <a:ln w="38100" cap="flat" cmpd="sng" algn="ctr">
          <a:solidFill>
            <a:schemeClr val="accent4"/>
          </a:solidFill>
          <a:prstDash val="solid"/>
          <a:miter lim="800000"/>
        </a:ln>
        <a:effectLst/>
      </dsp:spPr>
      <dsp:style>
        <a:lnRef idx="2">
          <a:scrgbClr r="0" g="0" b="0"/>
        </a:lnRef>
        <a:fillRef idx="0">
          <a:scrgbClr r="0" g="0" b="0"/>
        </a:fillRef>
        <a:effectRef idx="0">
          <a:scrgbClr r="0" g="0" b="0"/>
        </a:effectRef>
        <a:fontRef idx="minor"/>
      </dsp:style>
    </dsp:sp>
    <dsp:sp modelId="{F4372CDA-AFB5-4451-92EF-ECBD1813E030}">
      <dsp:nvSpPr>
        <dsp:cNvPr id="0" name=""/>
        <dsp:cNvSpPr/>
      </dsp:nvSpPr>
      <dsp:spPr>
        <a:xfrm>
          <a:off x="2421349" y="3306255"/>
          <a:ext cx="856407" cy="297265"/>
        </a:xfrm>
        <a:custGeom>
          <a:avLst/>
          <a:gdLst/>
          <a:ahLst/>
          <a:cxnLst/>
          <a:rect l="0" t="0" r="0" b="0"/>
          <a:pathLst>
            <a:path>
              <a:moveTo>
                <a:pt x="856407" y="0"/>
              </a:moveTo>
              <a:lnTo>
                <a:pt x="856407" y="148632"/>
              </a:lnTo>
              <a:lnTo>
                <a:pt x="0" y="148632"/>
              </a:lnTo>
              <a:lnTo>
                <a:pt x="0" y="297265"/>
              </a:lnTo>
            </a:path>
          </a:pathLst>
        </a:custGeom>
        <a:noFill/>
        <a:ln w="38100" cap="flat" cmpd="sng" algn="ctr">
          <a:solidFill>
            <a:schemeClr val="accent2"/>
          </a:solidFill>
          <a:prstDash val="solid"/>
          <a:miter lim="800000"/>
        </a:ln>
        <a:effectLst/>
      </dsp:spPr>
      <dsp:style>
        <a:lnRef idx="2">
          <a:scrgbClr r="0" g="0" b="0"/>
        </a:lnRef>
        <a:fillRef idx="0">
          <a:scrgbClr r="0" g="0" b="0"/>
        </a:fillRef>
        <a:effectRef idx="0">
          <a:scrgbClr r="0" g="0" b="0"/>
        </a:effectRef>
        <a:fontRef idx="minor"/>
      </dsp:style>
    </dsp:sp>
    <dsp:sp modelId="{3A5A8D36-8B03-42BF-B627-CE87AF11EC22}">
      <dsp:nvSpPr>
        <dsp:cNvPr id="0" name=""/>
        <dsp:cNvSpPr/>
      </dsp:nvSpPr>
      <dsp:spPr>
        <a:xfrm>
          <a:off x="142315" y="4311295"/>
          <a:ext cx="193279" cy="1572115"/>
        </a:xfrm>
        <a:custGeom>
          <a:avLst/>
          <a:gdLst/>
          <a:ahLst/>
          <a:cxnLst/>
          <a:rect l="0" t="0" r="0" b="0"/>
          <a:pathLst>
            <a:path>
              <a:moveTo>
                <a:pt x="0" y="0"/>
              </a:moveTo>
              <a:lnTo>
                <a:pt x="0" y="1572115"/>
              </a:lnTo>
              <a:lnTo>
                <a:pt x="193279" y="1572115"/>
              </a:lnTo>
            </a:path>
          </a:pathLst>
        </a:custGeom>
        <a:noFill/>
        <a:ln w="38100" cap="flat" cmpd="sng" algn="ctr">
          <a:solidFill>
            <a:schemeClr val="accent4"/>
          </a:solidFill>
          <a:prstDash val="solid"/>
          <a:miter lim="800000"/>
        </a:ln>
        <a:effectLst/>
      </dsp:spPr>
      <dsp:style>
        <a:lnRef idx="2">
          <a:scrgbClr r="0" g="0" b="0"/>
        </a:lnRef>
        <a:fillRef idx="0">
          <a:scrgbClr r="0" g="0" b="0"/>
        </a:fillRef>
        <a:effectRef idx="0">
          <a:scrgbClr r="0" g="0" b="0"/>
        </a:effectRef>
        <a:fontRef idx="minor"/>
      </dsp:style>
    </dsp:sp>
    <dsp:sp modelId="{3D65BB9A-E472-4012-9432-AF20FB359CF9}">
      <dsp:nvSpPr>
        <dsp:cNvPr id="0" name=""/>
        <dsp:cNvSpPr/>
      </dsp:nvSpPr>
      <dsp:spPr>
        <a:xfrm>
          <a:off x="708535" y="3306255"/>
          <a:ext cx="2569221" cy="297265"/>
        </a:xfrm>
        <a:custGeom>
          <a:avLst/>
          <a:gdLst/>
          <a:ahLst/>
          <a:cxnLst/>
          <a:rect l="0" t="0" r="0" b="0"/>
          <a:pathLst>
            <a:path>
              <a:moveTo>
                <a:pt x="2569221" y="0"/>
              </a:moveTo>
              <a:lnTo>
                <a:pt x="2569221" y="148632"/>
              </a:lnTo>
              <a:lnTo>
                <a:pt x="0" y="148632"/>
              </a:lnTo>
              <a:lnTo>
                <a:pt x="0" y="297265"/>
              </a:lnTo>
            </a:path>
          </a:pathLst>
        </a:custGeom>
        <a:noFill/>
        <a:ln w="38100" cap="flat" cmpd="sng" algn="ctr">
          <a:solidFill>
            <a:schemeClr val="accent2"/>
          </a:solidFill>
          <a:prstDash val="solid"/>
          <a:miter lim="800000"/>
        </a:ln>
        <a:effectLst/>
      </dsp:spPr>
      <dsp:style>
        <a:lnRef idx="2">
          <a:scrgbClr r="0" g="0" b="0"/>
        </a:lnRef>
        <a:fillRef idx="0">
          <a:scrgbClr r="0" g="0" b="0"/>
        </a:fillRef>
        <a:effectRef idx="0">
          <a:scrgbClr r="0" g="0" b="0"/>
        </a:effectRef>
        <a:fontRef idx="minor"/>
      </dsp:style>
    </dsp:sp>
    <dsp:sp modelId="{340F67C4-F267-4C22-B5DF-B7550B5CA0DF}">
      <dsp:nvSpPr>
        <dsp:cNvPr id="0" name=""/>
        <dsp:cNvSpPr/>
      </dsp:nvSpPr>
      <dsp:spPr>
        <a:xfrm>
          <a:off x="3277756" y="2301215"/>
          <a:ext cx="3425628" cy="297265"/>
        </a:xfrm>
        <a:custGeom>
          <a:avLst/>
          <a:gdLst/>
          <a:ahLst/>
          <a:cxnLst/>
          <a:rect l="0" t="0" r="0" b="0"/>
          <a:pathLst>
            <a:path>
              <a:moveTo>
                <a:pt x="3425628" y="0"/>
              </a:moveTo>
              <a:lnTo>
                <a:pt x="3425628" y="148632"/>
              </a:lnTo>
              <a:lnTo>
                <a:pt x="0" y="148632"/>
              </a:lnTo>
              <a:lnTo>
                <a:pt x="0" y="297265"/>
              </a:lnTo>
            </a:path>
          </a:pathLst>
        </a:custGeom>
        <a:noFill/>
        <a:ln w="38100" cap="flat" cmpd="sng" algn="ctr">
          <a:solidFill>
            <a:schemeClr val="accent1"/>
          </a:solidFill>
          <a:prstDash val="solid"/>
          <a:miter lim="800000"/>
        </a:ln>
        <a:effectLst/>
      </dsp:spPr>
      <dsp:style>
        <a:lnRef idx="2">
          <a:scrgbClr r="0" g="0" b="0"/>
        </a:lnRef>
        <a:fillRef idx="0">
          <a:scrgbClr r="0" g="0" b="0"/>
        </a:fillRef>
        <a:effectRef idx="0">
          <a:scrgbClr r="0" g="0" b="0"/>
        </a:effectRef>
        <a:fontRef idx="minor"/>
      </dsp:style>
    </dsp:sp>
    <dsp:sp modelId="{B5EF23FE-E97C-4F8C-B341-37F1FEA0D4DD}">
      <dsp:nvSpPr>
        <dsp:cNvPr id="0" name=""/>
        <dsp:cNvSpPr/>
      </dsp:nvSpPr>
      <dsp:spPr>
        <a:xfrm>
          <a:off x="5995610" y="1593441"/>
          <a:ext cx="1415548" cy="707774"/>
        </a:xfrm>
        <a:prstGeom prst="rect">
          <a:avLst/>
        </a:prstGeom>
        <a:solidFill>
          <a:schemeClr val="tx2"/>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en-GB" sz="1300" kern="1200"/>
            <a:t>Fresatrice L=1750</a:t>
          </a:r>
        </a:p>
      </dsp:txBody>
      <dsp:txXfrm>
        <a:off x="5995610" y="1593441"/>
        <a:ext cx="1415548" cy="707774"/>
      </dsp:txXfrm>
    </dsp:sp>
    <dsp:sp modelId="{7A0B9906-977A-4B42-942C-11DDBAD50226}">
      <dsp:nvSpPr>
        <dsp:cNvPr id="0" name=""/>
        <dsp:cNvSpPr/>
      </dsp:nvSpPr>
      <dsp:spPr>
        <a:xfrm>
          <a:off x="2569981" y="2598480"/>
          <a:ext cx="1415548" cy="707774"/>
        </a:xfrm>
        <a:prstGeom prst="rect">
          <a:avLst/>
        </a:prstGeom>
        <a:solidFill>
          <a:schemeClr val="tx2"/>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en-GB" sz="1300" kern="1200"/>
            <a:t>Telaio Completo per Fresatrice L=1750 (1)</a:t>
          </a:r>
        </a:p>
      </dsp:txBody>
      <dsp:txXfrm>
        <a:off x="2569981" y="2598480"/>
        <a:ext cx="1415548" cy="707774"/>
      </dsp:txXfrm>
    </dsp:sp>
    <dsp:sp modelId="{1FB34EFA-170E-4CEC-8A83-94E6D3D1104A}">
      <dsp:nvSpPr>
        <dsp:cNvPr id="0" name=""/>
        <dsp:cNvSpPr/>
      </dsp:nvSpPr>
      <dsp:spPr>
        <a:xfrm>
          <a:off x="760" y="3603520"/>
          <a:ext cx="1415548" cy="707774"/>
        </a:xfrm>
        <a:prstGeom prst="rect">
          <a:avLst/>
        </a:prstGeom>
        <a:solidFill>
          <a:schemeClr val="tx2"/>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en-GB" sz="1300" kern="1200"/>
            <a:t>Carter L=1750 (1)</a:t>
          </a:r>
        </a:p>
      </dsp:txBody>
      <dsp:txXfrm>
        <a:off x="760" y="3603520"/>
        <a:ext cx="1415548" cy="707774"/>
      </dsp:txXfrm>
    </dsp:sp>
    <dsp:sp modelId="{43782A98-1838-41BA-B5F4-3F6A5D3A4643}">
      <dsp:nvSpPr>
        <dsp:cNvPr id="0" name=""/>
        <dsp:cNvSpPr/>
      </dsp:nvSpPr>
      <dsp:spPr>
        <a:xfrm>
          <a:off x="335594" y="5529523"/>
          <a:ext cx="1415548" cy="707774"/>
        </a:xfrm>
        <a:prstGeom prst="rect">
          <a:avLst/>
        </a:prstGeom>
        <a:solidFill>
          <a:schemeClr val="accent6"/>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en-GB" sz="1300" kern="1200"/>
            <a:t>Foglio Lamiera 1500x2000x3 (0.17)</a:t>
          </a:r>
        </a:p>
      </dsp:txBody>
      <dsp:txXfrm>
        <a:off x="335594" y="5529523"/>
        <a:ext cx="1415548" cy="707774"/>
      </dsp:txXfrm>
    </dsp:sp>
    <dsp:sp modelId="{BF4BB1AA-4DBE-4507-B279-84DB611DE3D9}">
      <dsp:nvSpPr>
        <dsp:cNvPr id="0" name=""/>
        <dsp:cNvSpPr/>
      </dsp:nvSpPr>
      <dsp:spPr>
        <a:xfrm>
          <a:off x="1713574" y="3603520"/>
          <a:ext cx="1415548" cy="707774"/>
        </a:xfrm>
        <a:prstGeom prst="rect">
          <a:avLst/>
        </a:prstGeom>
        <a:solidFill>
          <a:schemeClr val="tx2"/>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en-GB" sz="1300" kern="1200"/>
            <a:t>Staffe Rinforzo (3)</a:t>
          </a:r>
        </a:p>
      </dsp:txBody>
      <dsp:txXfrm>
        <a:off x="1713574" y="3603520"/>
        <a:ext cx="1415548" cy="707774"/>
      </dsp:txXfrm>
    </dsp:sp>
    <dsp:sp modelId="{89C82BCD-3E8F-4B3E-ADEB-9F0B68EEFC29}">
      <dsp:nvSpPr>
        <dsp:cNvPr id="0" name=""/>
        <dsp:cNvSpPr/>
      </dsp:nvSpPr>
      <dsp:spPr>
        <a:xfrm>
          <a:off x="2048408" y="5529523"/>
          <a:ext cx="1415548" cy="707774"/>
        </a:xfrm>
        <a:prstGeom prst="rect">
          <a:avLst/>
        </a:prstGeom>
        <a:solidFill>
          <a:schemeClr val="accent6"/>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en-GB" sz="1300" kern="1200"/>
            <a:t>Foglio Lamiera 1000x1500x3 (0.05)</a:t>
          </a:r>
        </a:p>
      </dsp:txBody>
      <dsp:txXfrm>
        <a:off x="2048408" y="5529523"/>
        <a:ext cx="1415548" cy="707774"/>
      </dsp:txXfrm>
    </dsp:sp>
    <dsp:sp modelId="{2475995F-D1F8-4107-A258-730E90BCD88D}">
      <dsp:nvSpPr>
        <dsp:cNvPr id="0" name=""/>
        <dsp:cNvSpPr/>
      </dsp:nvSpPr>
      <dsp:spPr>
        <a:xfrm>
          <a:off x="3426388" y="3603520"/>
          <a:ext cx="1415548" cy="707774"/>
        </a:xfrm>
        <a:prstGeom prst="rect">
          <a:avLst/>
        </a:prstGeom>
        <a:solidFill>
          <a:schemeClr val="tx2"/>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en-GB" sz="1300" kern="1200"/>
            <a:t>Piastre Attacco Trattore (2)</a:t>
          </a:r>
        </a:p>
      </dsp:txBody>
      <dsp:txXfrm>
        <a:off x="3426388" y="3603520"/>
        <a:ext cx="1415548" cy="707774"/>
      </dsp:txXfrm>
    </dsp:sp>
    <dsp:sp modelId="{96EAEC2D-51A0-4D58-8D8D-ED695F4677BC}">
      <dsp:nvSpPr>
        <dsp:cNvPr id="0" name=""/>
        <dsp:cNvSpPr/>
      </dsp:nvSpPr>
      <dsp:spPr>
        <a:xfrm>
          <a:off x="3761222" y="5529523"/>
          <a:ext cx="1415548" cy="707774"/>
        </a:xfrm>
        <a:prstGeom prst="rect">
          <a:avLst/>
        </a:prstGeom>
        <a:solidFill>
          <a:schemeClr val="accent6"/>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en-GB" sz="1300" kern="1200"/>
            <a:t>Foglio Lamiera 1000x2000x3 (0.22)</a:t>
          </a:r>
        </a:p>
      </dsp:txBody>
      <dsp:txXfrm>
        <a:off x="3761222" y="5529523"/>
        <a:ext cx="1415548" cy="707774"/>
      </dsp:txXfrm>
    </dsp:sp>
    <dsp:sp modelId="{8626661B-01F0-4DF6-819E-869027AAF714}">
      <dsp:nvSpPr>
        <dsp:cNvPr id="0" name=""/>
        <dsp:cNvSpPr/>
      </dsp:nvSpPr>
      <dsp:spPr>
        <a:xfrm>
          <a:off x="5139203" y="3603520"/>
          <a:ext cx="1415548" cy="707774"/>
        </a:xfrm>
        <a:prstGeom prst="rect">
          <a:avLst/>
        </a:prstGeom>
        <a:solidFill>
          <a:schemeClr val="tx2"/>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en-GB" sz="1300" kern="1200"/>
            <a:t>Piastre Laterali (2)</a:t>
          </a:r>
        </a:p>
      </dsp:txBody>
      <dsp:txXfrm>
        <a:off x="5139203" y="3603520"/>
        <a:ext cx="1415548" cy="707774"/>
      </dsp:txXfrm>
    </dsp:sp>
    <dsp:sp modelId="{859E0FBF-A04C-41A7-A7EC-948BE89D5DDD}">
      <dsp:nvSpPr>
        <dsp:cNvPr id="0" name=""/>
        <dsp:cNvSpPr/>
      </dsp:nvSpPr>
      <dsp:spPr>
        <a:xfrm>
          <a:off x="5474037" y="5529523"/>
          <a:ext cx="1415548" cy="707774"/>
        </a:xfrm>
        <a:prstGeom prst="rect">
          <a:avLst/>
        </a:prstGeom>
        <a:solidFill>
          <a:schemeClr val="accent6"/>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en-GB" sz="1300" kern="1200"/>
            <a:t>Foglio Lamiera 1000x2000x3 (0.22)</a:t>
          </a:r>
        </a:p>
      </dsp:txBody>
      <dsp:txXfrm>
        <a:off x="5474037" y="5529523"/>
        <a:ext cx="1415548" cy="707774"/>
      </dsp:txXfrm>
    </dsp:sp>
    <dsp:sp modelId="{0865E7C1-C8C5-4628-BF91-DFD448E2F845}">
      <dsp:nvSpPr>
        <dsp:cNvPr id="0" name=""/>
        <dsp:cNvSpPr/>
      </dsp:nvSpPr>
      <dsp:spPr>
        <a:xfrm>
          <a:off x="4345250" y="2598480"/>
          <a:ext cx="1415548" cy="707774"/>
        </a:xfrm>
        <a:prstGeom prst="rect">
          <a:avLst/>
        </a:prstGeom>
        <a:solidFill>
          <a:schemeClr val="accent6"/>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en-GB" sz="1300" kern="1200"/>
            <a:t>Albero di trasmissione per macchine L=1750 (1)</a:t>
          </a:r>
        </a:p>
      </dsp:txBody>
      <dsp:txXfrm>
        <a:off x="4345250" y="2598480"/>
        <a:ext cx="1415548" cy="707774"/>
      </dsp:txXfrm>
    </dsp:sp>
    <dsp:sp modelId="{7AA36B74-A52B-45E3-A0CB-60087D0C2443}">
      <dsp:nvSpPr>
        <dsp:cNvPr id="0" name=""/>
        <dsp:cNvSpPr/>
      </dsp:nvSpPr>
      <dsp:spPr>
        <a:xfrm>
          <a:off x="5995610" y="2598480"/>
          <a:ext cx="1415548" cy="707774"/>
        </a:xfrm>
        <a:prstGeom prst="rect">
          <a:avLst/>
        </a:prstGeom>
        <a:solidFill>
          <a:schemeClr val="accent6"/>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en-GB" sz="1300" kern="1200"/>
            <a:t>Ruota dentata conica (2)</a:t>
          </a:r>
        </a:p>
      </dsp:txBody>
      <dsp:txXfrm>
        <a:off x="5995610" y="2598480"/>
        <a:ext cx="1415548" cy="707774"/>
      </dsp:txXfrm>
    </dsp:sp>
    <dsp:sp modelId="{8164BF52-63BB-40C9-A999-DB74F871BBE3}">
      <dsp:nvSpPr>
        <dsp:cNvPr id="0" name=""/>
        <dsp:cNvSpPr/>
      </dsp:nvSpPr>
      <dsp:spPr>
        <a:xfrm>
          <a:off x="7708424" y="2598480"/>
          <a:ext cx="1415548" cy="707774"/>
        </a:xfrm>
        <a:prstGeom prst="rect">
          <a:avLst/>
        </a:prstGeom>
        <a:solidFill>
          <a:schemeClr val="accent6"/>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en-GB" sz="1300" kern="1200"/>
            <a:t>Ruota dentata cilindrica (3)</a:t>
          </a:r>
        </a:p>
      </dsp:txBody>
      <dsp:txXfrm>
        <a:off x="7708424" y="2598480"/>
        <a:ext cx="1415548" cy="707774"/>
      </dsp:txXfrm>
    </dsp:sp>
    <dsp:sp modelId="{2A9C3C54-5B58-49BD-BB0F-7BD286DF6C57}">
      <dsp:nvSpPr>
        <dsp:cNvPr id="0" name=""/>
        <dsp:cNvSpPr/>
      </dsp:nvSpPr>
      <dsp:spPr>
        <a:xfrm>
          <a:off x="9421238" y="2598480"/>
          <a:ext cx="1415548" cy="707774"/>
        </a:xfrm>
        <a:prstGeom prst="rect">
          <a:avLst/>
        </a:prstGeom>
        <a:solidFill>
          <a:schemeClr val="accent6"/>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en-GB" sz="1300" kern="1200"/>
            <a:t>Albero completo frese per fresatrici L=1750 (1)</a:t>
          </a:r>
        </a:p>
      </dsp:txBody>
      <dsp:txXfrm>
        <a:off x="9421238" y="2598480"/>
        <a:ext cx="1415548" cy="707774"/>
      </dsp:txXfrm>
    </dsp:sp>
  </dsp:spTree>
</dsp:drawing>
</file>

<file path=xl/diagrams/layout1.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8" Type="http://schemas.openxmlformats.org/officeDocument/2006/relationships/diagramQuickStyle" Target="../diagrams/quickStyle2.xml"/><Relationship Id="rId3" Type="http://schemas.openxmlformats.org/officeDocument/2006/relationships/diagramQuickStyle" Target="../diagrams/quickStyle1.xml"/><Relationship Id="rId7" Type="http://schemas.openxmlformats.org/officeDocument/2006/relationships/diagramLayout" Target="../diagrams/layout2.xml"/><Relationship Id="rId2" Type="http://schemas.openxmlformats.org/officeDocument/2006/relationships/diagramLayout" Target="../diagrams/layout1.xml"/><Relationship Id="rId1" Type="http://schemas.openxmlformats.org/officeDocument/2006/relationships/diagramData" Target="../diagrams/data1.xml"/><Relationship Id="rId6" Type="http://schemas.openxmlformats.org/officeDocument/2006/relationships/diagramData" Target="../diagrams/data2.xml"/><Relationship Id="rId5" Type="http://schemas.microsoft.com/office/2007/relationships/diagramDrawing" Target="../diagrams/drawing1.xml"/><Relationship Id="rId10" Type="http://schemas.microsoft.com/office/2007/relationships/diagramDrawing" Target="../diagrams/drawing2.xml"/><Relationship Id="rId4" Type="http://schemas.openxmlformats.org/officeDocument/2006/relationships/diagramColors" Target="../diagrams/colors1.xml"/><Relationship Id="rId9" Type="http://schemas.openxmlformats.org/officeDocument/2006/relationships/diagramColors" Target="../diagrams/colors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22</xdr:col>
      <xdr:colOff>566531</xdr:colOff>
      <xdr:row>7</xdr:row>
      <xdr:rowOff>46197</xdr:rowOff>
    </xdr:from>
    <xdr:to>
      <xdr:col>40</xdr:col>
      <xdr:colOff>431278</xdr:colOff>
      <xdr:row>37</xdr:row>
      <xdr:rowOff>175846</xdr:rowOff>
    </xdr:to>
    <xdr:graphicFrame macro="">
      <xdr:nvGraphicFramePr>
        <xdr:cNvPr id="2" name="Diagram 1">
          <a:extLst>
            <a:ext uri="{FF2B5EF4-FFF2-40B4-BE49-F238E27FC236}">
              <a16:creationId xmlns:a16="http://schemas.microsoft.com/office/drawing/2014/main" id="{85176FD2-7552-4676-BD37-154BCB250BC3}"/>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22</xdr:col>
      <xdr:colOff>363519</xdr:colOff>
      <xdr:row>51</xdr:row>
      <xdr:rowOff>374316</xdr:rowOff>
    </xdr:from>
    <xdr:to>
      <xdr:col>40</xdr:col>
      <xdr:colOff>228267</xdr:colOff>
      <xdr:row>80</xdr:row>
      <xdr:rowOff>14612</xdr:rowOff>
    </xdr:to>
    <xdr:graphicFrame macro="">
      <xdr:nvGraphicFramePr>
        <xdr:cNvPr id="3" name="Diagram 2">
          <a:extLst>
            <a:ext uri="{FF2B5EF4-FFF2-40B4-BE49-F238E27FC236}">
              <a16:creationId xmlns:a16="http://schemas.microsoft.com/office/drawing/2014/main" id="{2D27B236-5B08-4FDE-8412-8885C76489A6}"/>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5</xdr:col>
      <xdr:colOff>3380</xdr:colOff>
      <xdr:row>54</xdr:row>
      <xdr:rowOff>287066</xdr:rowOff>
    </xdr:from>
    <xdr:to>
      <xdr:col>17</xdr:col>
      <xdr:colOff>115388</xdr:colOff>
      <xdr:row>63</xdr:row>
      <xdr:rowOff>71438</xdr:rowOff>
    </xdr:to>
    <xdr:sp macro="" textlink="">
      <xdr:nvSpPr>
        <xdr:cNvPr id="36" name="TextBox 31">
          <a:extLst>
            <a:ext uri="{FF2B5EF4-FFF2-40B4-BE49-F238E27FC236}">
              <a16:creationId xmlns:a16="http://schemas.microsoft.com/office/drawing/2014/main" id="{2055A32D-0691-B846-1F2D-F1C9740B4314}"/>
            </a:ext>
          </a:extLst>
        </xdr:cNvPr>
        <xdr:cNvSpPr txBox="1"/>
      </xdr:nvSpPr>
      <xdr:spPr>
        <a:xfrm>
          <a:off x="1551193" y="11336066"/>
          <a:ext cx="9541758" cy="25942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t>SPIEGAZIONE</a:t>
          </a:r>
          <a:br>
            <a:rPr lang="en-GB" sz="1400"/>
          </a:br>
          <a:br>
            <a:rPr lang="en-GB" sz="1400"/>
          </a:br>
          <a:r>
            <a:rPr lang="en-GB" sz="1400"/>
            <a:t>1. Nella colonna "DESCRIZIONE" i componenti o materiali evidenziati sono quelli comuni tra le due varianti di prodotto 1500 e 1750.</a:t>
          </a:r>
          <a:br>
            <a:rPr lang="en-GB" sz="1400"/>
          </a:br>
          <a:r>
            <a:rPr lang="en-GB" sz="1400"/>
            <a:t>2. Nella colonna "COEFF" i valori evidenziati verde chiaro sono i coefficenti (forniti in $_DATI_BASE) trasformati in numero che indica la quantità di semi-lavorati, arrotondato per difetto, che quel materiale produce.</a:t>
          </a:r>
          <a:br>
            <a:rPr lang="en-GB" sz="1400"/>
          </a:br>
          <a:r>
            <a:rPr lang="en-GB" sz="1400"/>
            <a:t>3. Nella colonna "Q.TA NETTA", partendo dalla produzione richiesta delle varianti di prodotto, si moltiplica la stessa per i coefficenti di ogni componente. Contrariamente, per quelli arrotondati (vd punto sopra), si divide poichè quei valori derivano dalla divisione tra 1 e il coefficente di partenza.</a:t>
          </a:r>
          <a:br>
            <a:rPr lang="en-GB" sz="1400"/>
          </a:br>
          <a:r>
            <a:rPr lang="en-GB" sz="1400"/>
            <a:t>4. Nella colonna "Q.TA LORDA" si uitlizza lo stesso procedimento della Q.TA NETTA (vd punto sopra), ma teniamo in considerazione anche le precentuali di successo di ogni singola operazione.</a:t>
          </a:r>
        </a:p>
      </xdr:txBody>
    </xdr:sp>
    <xdr:clientData/>
  </xdr:twoCellAnchor>
  <xdr:twoCellAnchor>
    <xdr:from>
      <xdr:col>6</xdr:col>
      <xdr:colOff>9407</xdr:colOff>
      <xdr:row>63</xdr:row>
      <xdr:rowOff>169331</xdr:rowOff>
    </xdr:from>
    <xdr:to>
      <xdr:col>16</xdr:col>
      <xdr:colOff>865481</xdr:colOff>
      <xdr:row>66</xdr:row>
      <xdr:rowOff>23812</xdr:rowOff>
    </xdr:to>
    <xdr:sp macro="" textlink="">
      <xdr:nvSpPr>
        <xdr:cNvPr id="40" name="TextBox 33">
          <a:extLst>
            <a:ext uri="{FF2B5EF4-FFF2-40B4-BE49-F238E27FC236}">
              <a16:creationId xmlns:a16="http://schemas.microsoft.com/office/drawing/2014/main" id="{B7C5F0B1-2E37-C1A2-54CB-A691BE053B3D}"/>
            </a:ext>
          </a:extLst>
        </xdr:cNvPr>
        <xdr:cNvSpPr txBox="1"/>
      </xdr:nvSpPr>
      <xdr:spPr>
        <a:xfrm>
          <a:off x="2628782" y="14028206"/>
          <a:ext cx="8011730" cy="5212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Le celle evidenziate di verde scuro si riferiscono alle q.ta' lorda di materiale trinciato o pressopieagato </a:t>
          </a:r>
          <a:r>
            <a:rPr lang="en-GB" sz="1100" b="1"/>
            <a:t>che ci serve per far fronte agli scarti.</a:t>
          </a:r>
        </a:p>
      </xdr:txBody>
    </xdr:sp>
    <xdr:clientData/>
  </xdr:twoCellAnchor>
  <xdr:twoCellAnchor>
    <xdr:from>
      <xdr:col>5</xdr:col>
      <xdr:colOff>1069061</xdr:colOff>
      <xdr:row>65</xdr:row>
      <xdr:rowOff>197408</xdr:rowOff>
    </xdr:from>
    <xdr:to>
      <xdr:col>16</xdr:col>
      <xdr:colOff>1200033</xdr:colOff>
      <xdr:row>68</xdr:row>
      <xdr:rowOff>138612</xdr:rowOff>
    </xdr:to>
    <xdr:sp macro="" textlink="">
      <xdr:nvSpPr>
        <xdr:cNvPr id="39" name="TextBox 34">
          <a:extLst>
            <a:ext uri="{FF2B5EF4-FFF2-40B4-BE49-F238E27FC236}">
              <a16:creationId xmlns:a16="http://schemas.microsoft.com/office/drawing/2014/main" id="{130D5207-5575-D4FF-FAEB-7721B1AF7C24}"/>
            </a:ext>
          </a:extLst>
        </xdr:cNvPr>
        <xdr:cNvSpPr txBox="1"/>
      </xdr:nvSpPr>
      <xdr:spPr>
        <a:xfrm>
          <a:off x="2616874" y="14484908"/>
          <a:ext cx="8358190" cy="6079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Le celle evidenziate di rosso invece si riferiscono alle q.ta' lorda effettiva </a:t>
          </a:r>
          <a:r>
            <a:rPr lang="en-GB" sz="1100" b="1"/>
            <a:t>che produciamo</a:t>
          </a:r>
          <a:r>
            <a:rPr lang="en-GB" sz="1100"/>
            <a:t>. </a:t>
          </a:r>
          <a:br>
            <a:rPr lang="en-GB" sz="1100"/>
          </a:br>
          <a:r>
            <a:rPr lang="en-GB" sz="1100"/>
            <a:t>Questa potrebbe essere maggiore per via del fatto che arrotondiamo per eccesso la q.ta' di materiali di livello 4 che ci servono per far fronte agli scarti.</a:t>
          </a:r>
        </a:p>
      </xdr:txBody>
    </xdr:sp>
    <xdr:clientData/>
  </xdr:twoCellAnchor>
  <xdr:twoCellAnchor>
    <xdr:from>
      <xdr:col>43</xdr:col>
      <xdr:colOff>328232</xdr:colOff>
      <xdr:row>53</xdr:row>
      <xdr:rowOff>82061</xdr:rowOff>
    </xdr:from>
    <xdr:to>
      <xdr:col>51</xdr:col>
      <xdr:colOff>495421</xdr:colOff>
      <xdr:row>83</xdr:row>
      <xdr:rowOff>117231</xdr:rowOff>
    </xdr:to>
    <xdr:grpSp>
      <xdr:nvGrpSpPr>
        <xdr:cNvPr id="135" name="Group 134">
          <a:extLst>
            <a:ext uri="{FF2B5EF4-FFF2-40B4-BE49-F238E27FC236}">
              <a16:creationId xmlns:a16="http://schemas.microsoft.com/office/drawing/2014/main" id="{CEC15633-909C-159D-CF41-172A15365F14}"/>
            </a:ext>
          </a:extLst>
        </xdr:cNvPr>
        <xdr:cNvGrpSpPr/>
      </xdr:nvGrpSpPr>
      <xdr:grpSpPr>
        <a:xfrm>
          <a:off x="28072847" y="10183446"/>
          <a:ext cx="5286266" cy="7069016"/>
          <a:chOff x="28205709" y="10691446"/>
          <a:chExt cx="5313620" cy="7315200"/>
        </a:xfrm>
      </xdr:grpSpPr>
      <xdr:grpSp>
        <xdr:nvGrpSpPr>
          <xdr:cNvPr id="116" name="Group 115">
            <a:extLst>
              <a:ext uri="{FF2B5EF4-FFF2-40B4-BE49-F238E27FC236}">
                <a16:creationId xmlns:a16="http://schemas.microsoft.com/office/drawing/2014/main" id="{36037F26-944D-46D1-8F97-EE628E4E579C}"/>
              </a:ext>
            </a:extLst>
          </xdr:cNvPr>
          <xdr:cNvGrpSpPr/>
        </xdr:nvGrpSpPr>
        <xdr:grpSpPr>
          <a:xfrm>
            <a:off x="28205709" y="10691446"/>
            <a:ext cx="5313620" cy="7315200"/>
            <a:chOff x="33499263" y="1598003"/>
            <a:chExt cx="5420824" cy="7241882"/>
          </a:xfrm>
        </xdr:grpSpPr>
        <xdr:grpSp>
          <xdr:nvGrpSpPr>
            <xdr:cNvPr id="117" name="Group 116">
              <a:extLst>
                <a:ext uri="{FF2B5EF4-FFF2-40B4-BE49-F238E27FC236}">
                  <a16:creationId xmlns:a16="http://schemas.microsoft.com/office/drawing/2014/main" id="{D4BEA771-3F3C-86D7-7417-D6178ED0FE19}"/>
                </a:ext>
              </a:extLst>
            </xdr:cNvPr>
            <xdr:cNvGrpSpPr/>
          </xdr:nvGrpSpPr>
          <xdr:grpSpPr>
            <a:xfrm>
              <a:off x="33499263" y="1598003"/>
              <a:ext cx="3834313" cy="7209064"/>
              <a:chOff x="38065976" y="162638"/>
              <a:chExt cx="3639516" cy="8194438"/>
            </a:xfrm>
          </xdr:grpSpPr>
          <xdr:sp macro="" textlink="">
            <xdr:nvSpPr>
              <xdr:cNvPr id="127" name="Isosceles Triangle 126">
                <a:extLst>
                  <a:ext uri="{FF2B5EF4-FFF2-40B4-BE49-F238E27FC236}">
                    <a16:creationId xmlns:a16="http://schemas.microsoft.com/office/drawing/2014/main" id="{81E0BC4E-81C0-E230-A625-49DFF5B7D359}"/>
                  </a:ext>
                </a:extLst>
              </xdr:cNvPr>
              <xdr:cNvSpPr/>
            </xdr:nvSpPr>
            <xdr:spPr>
              <a:xfrm>
                <a:off x="38065976" y="6862100"/>
                <a:ext cx="2058088" cy="1494976"/>
              </a:xfrm>
              <a:prstGeom prst="triangle">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100"/>
                  <a:t>Magazzino Materie</a:t>
                </a:r>
                <a:r>
                  <a:rPr lang="en-GB" sz="1100" baseline="0"/>
                  <a:t> Prime</a:t>
                </a:r>
                <a:r>
                  <a:rPr lang="en-GB" sz="1100"/>
                  <a:t> </a:t>
                </a:r>
              </a:p>
            </xdr:txBody>
          </xdr:sp>
          <xdr:grpSp>
            <xdr:nvGrpSpPr>
              <xdr:cNvPr id="128" name="Group 127">
                <a:extLst>
                  <a:ext uri="{FF2B5EF4-FFF2-40B4-BE49-F238E27FC236}">
                    <a16:creationId xmlns:a16="http://schemas.microsoft.com/office/drawing/2014/main" id="{9A49388D-C1F3-3568-CFE6-91DD0C86362A}"/>
                  </a:ext>
                </a:extLst>
              </xdr:cNvPr>
              <xdr:cNvGrpSpPr/>
            </xdr:nvGrpSpPr>
            <xdr:grpSpPr>
              <a:xfrm>
                <a:off x="38315528" y="162638"/>
                <a:ext cx="3389964" cy="6254618"/>
                <a:chOff x="38315528" y="162638"/>
                <a:chExt cx="3389964" cy="6254618"/>
              </a:xfrm>
            </xdr:grpSpPr>
            <xdr:sp macro="" textlink="">
              <xdr:nvSpPr>
                <xdr:cNvPr id="129" name="Rectangle 128">
                  <a:extLst>
                    <a:ext uri="{FF2B5EF4-FFF2-40B4-BE49-F238E27FC236}">
                      <a16:creationId xmlns:a16="http://schemas.microsoft.com/office/drawing/2014/main" id="{EFED7CDE-CDD6-8BA0-95B7-CFA789CAB052}"/>
                    </a:ext>
                  </a:extLst>
                </xdr:cNvPr>
                <xdr:cNvSpPr/>
              </xdr:nvSpPr>
              <xdr:spPr>
                <a:xfrm>
                  <a:off x="39988351" y="2147109"/>
                  <a:ext cx="1543566" cy="64070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t>Assemblaggio 100%</a:t>
                  </a:r>
                  <a:r>
                    <a:rPr lang="en-GB" sz="1100" baseline="0"/>
                    <a:t> (Q)</a:t>
                  </a:r>
                  <a:endParaRPr lang="en-GB" sz="1100"/>
                </a:p>
              </xdr:txBody>
            </xdr:sp>
            <xdr:sp macro="" textlink="">
              <xdr:nvSpPr>
                <xdr:cNvPr id="130" name="Rectangle 129">
                  <a:extLst>
                    <a:ext uri="{FF2B5EF4-FFF2-40B4-BE49-F238E27FC236}">
                      <a16:creationId xmlns:a16="http://schemas.microsoft.com/office/drawing/2014/main" id="{658D0B7F-B291-17A0-73C5-B2CC2EEDE96A}"/>
                    </a:ext>
                  </a:extLst>
                </xdr:cNvPr>
                <xdr:cNvSpPr/>
              </xdr:nvSpPr>
              <xdr:spPr>
                <a:xfrm>
                  <a:off x="38315528" y="4712357"/>
                  <a:ext cx="1543566" cy="64070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t>Pressopiegatura 98% (Q) </a:t>
                  </a:r>
                </a:p>
              </xdr:txBody>
            </xdr:sp>
            <xdr:sp macro="" textlink="">
              <xdr:nvSpPr>
                <xdr:cNvPr id="131" name="Rectangle 130">
                  <a:extLst>
                    <a:ext uri="{FF2B5EF4-FFF2-40B4-BE49-F238E27FC236}">
                      <a16:creationId xmlns:a16="http://schemas.microsoft.com/office/drawing/2014/main" id="{E97DFF78-A650-0036-9B96-33C2232C76C1}"/>
                    </a:ext>
                  </a:extLst>
                </xdr:cNvPr>
                <xdr:cNvSpPr/>
              </xdr:nvSpPr>
              <xdr:spPr>
                <a:xfrm>
                  <a:off x="38316376" y="5776552"/>
                  <a:ext cx="1543566" cy="64070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t>Trinciatura 99</a:t>
                  </a:r>
                  <a:r>
                    <a:rPr lang="en-GB" sz="1100" baseline="0"/>
                    <a:t>% (Q)</a:t>
                  </a:r>
                  <a:endParaRPr lang="en-GB" sz="1100"/>
                </a:p>
              </xdr:txBody>
            </xdr:sp>
            <xdr:sp macro="" textlink="">
              <xdr:nvSpPr>
                <xdr:cNvPr id="132" name="Isosceles Triangle 131">
                  <a:extLst>
                    <a:ext uri="{FF2B5EF4-FFF2-40B4-BE49-F238E27FC236}">
                      <a16:creationId xmlns:a16="http://schemas.microsoft.com/office/drawing/2014/main" id="{A226CE25-439F-0715-7E01-185EF864C283}"/>
                    </a:ext>
                  </a:extLst>
                </xdr:cNvPr>
                <xdr:cNvSpPr/>
              </xdr:nvSpPr>
              <xdr:spPr>
                <a:xfrm>
                  <a:off x="39788167" y="162638"/>
                  <a:ext cx="1917325" cy="1286308"/>
                </a:xfrm>
                <a:prstGeom prst="triangle">
                  <a:avLst>
                    <a:gd name="adj" fmla="val 50704"/>
                  </a:avLst>
                </a:prstGeom>
                <a:solidFill>
                  <a:schemeClr val="tx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100"/>
                    <a:t>Magazzino Prodotti Finiti</a:t>
                  </a:r>
                </a:p>
              </xdr:txBody>
            </xdr:sp>
            <xdr:sp macro="" textlink="">
              <xdr:nvSpPr>
                <xdr:cNvPr id="133" name="Rectangle 132">
                  <a:extLst>
                    <a:ext uri="{FF2B5EF4-FFF2-40B4-BE49-F238E27FC236}">
                      <a16:creationId xmlns:a16="http://schemas.microsoft.com/office/drawing/2014/main" id="{BB80D339-16D6-A5FC-E5EB-08D72E1AE2FD}"/>
                    </a:ext>
                  </a:extLst>
                </xdr:cNvPr>
                <xdr:cNvSpPr/>
              </xdr:nvSpPr>
              <xdr:spPr>
                <a:xfrm>
                  <a:off x="39988082" y="3392314"/>
                  <a:ext cx="1543566" cy="640704"/>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t>Saldatura 97% (Q)</a:t>
                  </a:r>
                </a:p>
              </xdr:txBody>
            </xdr:sp>
          </xdr:grpSp>
        </xdr:grpSp>
        <xdr:sp macro="" textlink="">
          <xdr:nvSpPr>
            <xdr:cNvPr id="118" name="Isosceles Triangle 117">
              <a:extLst>
                <a:ext uri="{FF2B5EF4-FFF2-40B4-BE49-F238E27FC236}">
                  <a16:creationId xmlns:a16="http://schemas.microsoft.com/office/drawing/2014/main" id="{297C62ED-DC7F-D2B2-9227-C090C57FD625}"/>
                </a:ext>
              </a:extLst>
            </xdr:cNvPr>
            <xdr:cNvSpPr/>
          </xdr:nvSpPr>
          <xdr:spPr>
            <a:xfrm>
              <a:off x="36752943" y="7529329"/>
              <a:ext cx="2167144" cy="1310556"/>
            </a:xfrm>
            <a:prstGeom prst="triangle">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100"/>
                <a:t>Magazzino Semilavorati</a:t>
              </a:r>
            </a:p>
          </xdr:txBody>
        </xdr:sp>
        <xdr:cxnSp macro="">
          <xdr:nvCxnSpPr>
            <xdr:cNvPr id="120" name="Connector: Elbow 119">
              <a:extLst>
                <a:ext uri="{FF2B5EF4-FFF2-40B4-BE49-F238E27FC236}">
                  <a16:creationId xmlns:a16="http://schemas.microsoft.com/office/drawing/2014/main" id="{7686E862-2748-9EA5-1B78-1D5437CFA0EF}"/>
                </a:ext>
              </a:extLst>
            </xdr:cNvPr>
            <xdr:cNvCxnSpPr>
              <a:stCxn id="118" idx="0"/>
              <a:endCxn id="129" idx="3"/>
            </xdr:cNvCxnSpPr>
          </xdr:nvCxnSpPr>
          <xdr:spPr>
            <a:xfrm rot="16200000" flipV="1">
              <a:off x="35535115" y="5229118"/>
              <a:ext cx="3916232" cy="684189"/>
            </a:xfrm>
            <a:prstGeom prst="bentConnector2">
              <a:avLst/>
            </a:prstGeom>
            <a:ln w="381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21" name="Straight Arrow Connector 120">
              <a:extLst>
                <a:ext uri="{FF2B5EF4-FFF2-40B4-BE49-F238E27FC236}">
                  <a16:creationId xmlns:a16="http://schemas.microsoft.com/office/drawing/2014/main" id="{E14B2780-6EEB-06F8-ABCB-BF71353406EA}"/>
                </a:ext>
              </a:extLst>
            </xdr:cNvPr>
            <xdr:cNvCxnSpPr>
              <a:cxnSpLocks/>
              <a:stCxn id="127" idx="0"/>
              <a:endCxn id="131" idx="2"/>
            </xdr:cNvCxnSpPr>
          </xdr:nvCxnSpPr>
          <xdr:spPr>
            <a:xfrm flipH="1" flipV="1">
              <a:off x="34576844" y="7103635"/>
              <a:ext cx="7201" cy="392876"/>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22" name="Straight Arrow Connector 121">
              <a:extLst>
                <a:ext uri="{FF2B5EF4-FFF2-40B4-BE49-F238E27FC236}">
                  <a16:creationId xmlns:a16="http://schemas.microsoft.com/office/drawing/2014/main" id="{FEC4CA49-0F2D-0928-FE93-9D0502333D32}"/>
                </a:ext>
              </a:extLst>
            </xdr:cNvPr>
            <xdr:cNvCxnSpPr>
              <a:cxnSpLocks/>
              <a:stCxn id="131" idx="0"/>
              <a:endCxn id="130" idx="2"/>
            </xdr:cNvCxnSpPr>
          </xdr:nvCxnSpPr>
          <xdr:spPr>
            <a:xfrm flipH="1" flipV="1">
              <a:off x="34575954" y="6161829"/>
              <a:ext cx="890" cy="374880"/>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23" name="Connector: Elbow 122">
              <a:extLst>
                <a:ext uri="{FF2B5EF4-FFF2-40B4-BE49-F238E27FC236}">
                  <a16:creationId xmlns:a16="http://schemas.microsoft.com/office/drawing/2014/main" id="{33C50347-2B5C-01D0-201B-329DDD76B6CB}"/>
                </a:ext>
              </a:extLst>
            </xdr:cNvPr>
            <xdr:cNvCxnSpPr>
              <a:stCxn id="130" idx="0"/>
              <a:endCxn id="133" idx="1"/>
            </xdr:cNvCxnSpPr>
          </xdr:nvCxnSpPr>
          <xdr:spPr>
            <a:xfrm rot="5400000" flipH="1" flipV="1">
              <a:off x="34611790" y="4680603"/>
              <a:ext cx="878465" cy="950138"/>
            </a:xfrm>
            <a:prstGeom prst="bentConnector2">
              <a:avLst/>
            </a:prstGeom>
            <a:ln w="381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24" name="Straight Arrow Connector 123">
              <a:extLst>
                <a:ext uri="{FF2B5EF4-FFF2-40B4-BE49-F238E27FC236}">
                  <a16:creationId xmlns:a16="http://schemas.microsoft.com/office/drawing/2014/main" id="{2974EDEC-BD78-3F59-A444-3D16A68B334D}"/>
                </a:ext>
              </a:extLst>
            </xdr:cNvPr>
            <xdr:cNvCxnSpPr>
              <a:stCxn id="133" idx="0"/>
              <a:endCxn id="129" idx="2"/>
            </xdr:cNvCxnSpPr>
          </xdr:nvCxnSpPr>
          <xdr:spPr>
            <a:xfrm flipV="1">
              <a:off x="36338473" y="3892073"/>
              <a:ext cx="282" cy="536414"/>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25" name="Straight Arrow Connector 124">
              <a:extLst>
                <a:ext uri="{FF2B5EF4-FFF2-40B4-BE49-F238E27FC236}">
                  <a16:creationId xmlns:a16="http://schemas.microsoft.com/office/drawing/2014/main" id="{83D3A23D-0795-883E-8D09-F00F02FB4224}"/>
                </a:ext>
              </a:extLst>
            </xdr:cNvPr>
            <xdr:cNvCxnSpPr>
              <a:stCxn id="129" idx="0"/>
              <a:endCxn id="132" idx="3"/>
            </xdr:cNvCxnSpPr>
          </xdr:nvCxnSpPr>
          <xdr:spPr>
            <a:xfrm flipV="1">
              <a:off x="36337619" y="2729633"/>
              <a:ext cx="204" cy="614210"/>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26" name="Connector: Elbow 125">
              <a:extLst>
                <a:ext uri="{FF2B5EF4-FFF2-40B4-BE49-F238E27FC236}">
                  <a16:creationId xmlns:a16="http://schemas.microsoft.com/office/drawing/2014/main" id="{FE2E6C6E-E6FC-1B39-16A8-31033A152FC3}"/>
                </a:ext>
              </a:extLst>
            </xdr:cNvPr>
            <xdr:cNvCxnSpPr>
              <a:stCxn id="131" idx="3"/>
              <a:endCxn id="133" idx="2"/>
            </xdr:cNvCxnSpPr>
          </xdr:nvCxnSpPr>
          <xdr:spPr>
            <a:xfrm flipV="1">
              <a:off x="35389226" y="4995414"/>
              <a:ext cx="949247" cy="1829245"/>
            </a:xfrm>
            <a:prstGeom prst="bentConnector2">
              <a:avLst/>
            </a:prstGeom>
            <a:ln w="38100">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134" name="TextBox 133">
            <a:extLst>
              <a:ext uri="{FF2B5EF4-FFF2-40B4-BE49-F238E27FC236}">
                <a16:creationId xmlns:a16="http://schemas.microsoft.com/office/drawing/2014/main" id="{FC509085-06CB-4949-8B08-A9A69D1E60F0}"/>
              </a:ext>
            </a:extLst>
          </xdr:cNvPr>
          <xdr:cNvSpPr txBox="1"/>
        </xdr:nvSpPr>
        <xdr:spPr>
          <a:xfrm>
            <a:off x="28604309" y="11007969"/>
            <a:ext cx="1418491" cy="485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u="sng"/>
              <a:t>FRESATRICE</a:t>
            </a:r>
          </a:p>
        </xdr:txBody>
      </xdr:sp>
    </xdr:grpSp>
    <xdr:clientData/>
  </xdr:twoCellAnchor>
  <xdr:twoCellAnchor>
    <xdr:from>
      <xdr:col>43</xdr:col>
      <xdr:colOff>363415</xdr:colOff>
      <xdr:row>5</xdr:row>
      <xdr:rowOff>152400</xdr:rowOff>
    </xdr:from>
    <xdr:to>
      <xdr:col>51</xdr:col>
      <xdr:colOff>530604</xdr:colOff>
      <xdr:row>43</xdr:row>
      <xdr:rowOff>164123</xdr:rowOff>
    </xdr:to>
    <xdr:grpSp>
      <xdr:nvGrpSpPr>
        <xdr:cNvPr id="4" name="Group 3">
          <a:extLst>
            <a:ext uri="{FF2B5EF4-FFF2-40B4-BE49-F238E27FC236}">
              <a16:creationId xmlns:a16="http://schemas.microsoft.com/office/drawing/2014/main" id="{914208E5-5824-4575-844D-FAE48252F7A8}"/>
            </a:ext>
          </a:extLst>
        </xdr:cNvPr>
        <xdr:cNvGrpSpPr/>
      </xdr:nvGrpSpPr>
      <xdr:grpSpPr>
        <a:xfrm>
          <a:off x="28108030" y="1500554"/>
          <a:ext cx="5286266" cy="6908800"/>
          <a:chOff x="28205709" y="10691446"/>
          <a:chExt cx="5313620" cy="7315200"/>
        </a:xfrm>
      </xdr:grpSpPr>
      <xdr:grpSp>
        <xdr:nvGrpSpPr>
          <xdr:cNvPr id="5" name="Group 4">
            <a:extLst>
              <a:ext uri="{FF2B5EF4-FFF2-40B4-BE49-F238E27FC236}">
                <a16:creationId xmlns:a16="http://schemas.microsoft.com/office/drawing/2014/main" id="{64C819A2-3EB6-9109-A920-7F556E63B200}"/>
              </a:ext>
            </a:extLst>
          </xdr:cNvPr>
          <xdr:cNvGrpSpPr/>
        </xdr:nvGrpSpPr>
        <xdr:grpSpPr>
          <a:xfrm>
            <a:off x="28205709" y="10691446"/>
            <a:ext cx="5313620" cy="7315200"/>
            <a:chOff x="33499263" y="1598003"/>
            <a:chExt cx="5420824" cy="7241882"/>
          </a:xfrm>
        </xdr:grpSpPr>
        <xdr:grpSp>
          <xdr:nvGrpSpPr>
            <xdr:cNvPr id="7" name="Group 6">
              <a:extLst>
                <a:ext uri="{FF2B5EF4-FFF2-40B4-BE49-F238E27FC236}">
                  <a16:creationId xmlns:a16="http://schemas.microsoft.com/office/drawing/2014/main" id="{D7CC6E45-08DA-1DD7-7DCF-075CEE23794C}"/>
                </a:ext>
              </a:extLst>
            </xdr:cNvPr>
            <xdr:cNvGrpSpPr/>
          </xdr:nvGrpSpPr>
          <xdr:grpSpPr>
            <a:xfrm>
              <a:off x="33499263" y="1598003"/>
              <a:ext cx="3834313" cy="7209064"/>
              <a:chOff x="38065976" y="162638"/>
              <a:chExt cx="3639516" cy="8194438"/>
            </a:xfrm>
          </xdr:grpSpPr>
          <xdr:sp macro="" textlink="">
            <xdr:nvSpPr>
              <xdr:cNvPr id="16" name="Isosceles Triangle 15">
                <a:extLst>
                  <a:ext uri="{FF2B5EF4-FFF2-40B4-BE49-F238E27FC236}">
                    <a16:creationId xmlns:a16="http://schemas.microsoft.com/office/drawing/2014/main" id="{4EF333BE-C630-A6DA-DA72-3FE9CAC7B532}"/>
                  </a:ext>
                </a:extLst>
              </xdr:cNvPr>
              <xdr:cNvSpPr/>
            </xdr:nvSpPr>
            <xdr:spPr>
              <a:xfrm>
                <a:off x="38065976" y="6862100"/>
                <a:ext cx="2058088" cy="1494976"/>
              </a:xfrm>
              <a:prstGeom prst="triangle">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100"/>
                  <a:t>Magazzino Materie</a:t>
                </a:r>
                <a:r>
                  <a:rPr lang="en-GB" sz="1100" baseline="0"/>
                  <a:t> Prime</a:t>
                </a:r>
                <a:r>
                  <a:rPr lang="en-GB" sz="1100"/>
                  <a:t> </a:t>
                </a:r>
              </a:p>
            </xdr:txBody>
          </xdr:sp>
          <xdr:grpSp>
            <xdr:nvGrpSpPr>
              <xdr:cNvPr id="17" name="Group 16">
                <a:extLst>
                  <a:ext uri="{FF2B5EF4-FFF2-40B4-BE49-F238E27FC236}">
                    <a16:creationId xmlns:a16="http://schemas.microsoft.com/office/drawing/2014/main" id="{D01FB8CB-F42E-3336-6392-9BBE82B4B076}"/>
                  </a:ext>
                </a:extLst>
              </xdr:cNvPr>
              <xdr:cNvGrpSpPr/>
            </xdr:nvGrpSpPr>
            <xdr:grpSpPr>
              <a:xfrm>
                <a:off x="38315528" y="162638"/>
                <a:ext cx="3389964" cy="6254618"/>
                <a:chOff x="38315528" y="162638"/>
                <a:chExt cx="3389964" cy="6254618"/>
              </a:xfrm>
            </xdr:grpSpPr>
            <xdr:sp macro="" textlink="">
              <xdr:nvSpPr>
                <xdr:cNvPr id="18" name="Rectangle 17">
                  <a:extLst>
                    <a:ext uri="{FF2B5EF4-FFF2-40B4-BE49-F238E27FC236}">
                      <a16:creationId xmlns:a16="http://schemas.microsoft.com/office/drawing/2014/main" id="{4ABB0258-061B-6A9F-D8FB-3AA6AE8D5152}"/>
                    </a:ext>
                  </a:extLst>
                </xdr:cNvPr>
                <xdr:cNvSpPr/>
              </xdr:nvSpPr>
              <xdr:spPr>
                <a:xfrm>
                  <a:off x="39988351" y="2147109"/>
                  <a:ext cx="1543566" cy="64070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t>Assemblaggio 100%</a:t>
                  </a:r>
                  <a:r>
                    <a:rPr lang="en-GB" sz="1100" baseline="0"/>
                    <a:t> (Q)</a:t>
                  </a:r>
                  <a:endParaRPr lang="en-GB" sz="1100"/>
                </a:p>
              </xdr:txBody>
            </xdr:sp>
            <xdr:sp macro="" textlink="">
              <xdr:nvSpPr>
                <xdr:cNvPr id="19" name="Rectangle 18">
                  <a:extLst>
                    <a:ext uri="{FF2B5EF4-FFF2-40B4-BE49-F238E27FC236}">
                      <a16:creationId xmlns:a16="http://schemas.microsoft.com/office/drawing/2014/main" id="{034E48C0-0D17-01F3-279E-003FDCE21DDE}"/>
                    </a:ext>
                  </a:extLst>
                </xdr:cNvPr>
                <xdr:cNvSpPr/>
              </xdr:nvSpPr>
              <xdr:spPr>
                <a:xfrm>
                  <a:off x="38315528" y="4712357"/>
                  <a:ext cx="1543566" cy="64070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t>Pressopiegatura 98% (Q) </a:t>
                  </a:r>
                </a:p>
              </xdr:txBody>
            </xdr:sp>
            <xdr:sp macro="" textlink="">
              <xdr:nvSpPr>
                <xdr:cNvPr id="20" name="Rectangle 19">
                  <a:extLst>
                    <a:ext uri="{FF2B5EF4-FFF2-40B4-BE49-F238E27FC236}">
                      <a16:creationId xmlns:a16="http://schemas.microsoft.com/office/drawing/2014/main" id="{6CF36E0E-F5AD-AF7C-E72E-0C4ABB0CC965}"/>
                    </a:ext>
                  </a:extLst>
                </xdr:cNvPr>
                <xdr:cNvSpPr/>
              </xdr:nvSpPr>
              <xdr:spPr>
                <a:xfrm>
                  <a:off x="38316376" y="5776552"/>
                  <a:ext cx="1543566" cy="64070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t>Trinciatura 99</a:t>
                  </a:r>
                  <a:r>
                    <a:rPr lang="en-GB" sz="1100" baseline="0"/>
                    <a:t>% (Q)</a:t>
                  </a:r>
                  <a:endParaRPr lang="en-GB" sz="1100"/>
                </a:p>
              </xdr:txBody>
            </xdr:sp>
            <xdr:sp macro="" textlink="">
              <xdr:nvSpPr>
                <xdr:cNvPr id="21" name="Isosceles Triangle 20">
                  <a:extLst>
                    <a:ext uri="{FF2B5EF4-FFF2-40B4-BE49-F238E27FC236}">
                      <a16:creationId xmlns:a16="http://schemas.microsoft.com/office/drawing/2014/main" id="{50E80C59-F7A2-C859-220A-F829867DFF7D}"/>
                    </a:ext>
                  </a:extLst>
                </xdr:cNvPr>
                <xdr:cNvSpPr/>
              </xdr:nvSpPr>
              <xdr:spPr>
                <a:xfrm>
                  <a:off x="39788167" y="162638"/>
                  <a:ext cx="1917325" cy="1286308"/>
                </a:xfrm>
                <a:prstGeom prst="triangle">
                  <a:avLst>
                    <a:gd name="adj" fmla="val 50704"/>
                  </a:avLst>
                </a:prstGeom>
                <a:solidFill>
                  <a:schemeClr val="tx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100"/>
                    <a:t>Magazzino Prodotti Finiti</a:t>
                  </a:r>
                </a:p>
              </xdr:txBody>
            </xdr:sp>
            <xdr:sp macro="" textlink="">
              <xdr:nvSpPr>
                <xdr:cNvPr id="22" name="Rectangle 21">
                  <a:extLst>
                    <a:ext uri="{FF2B5EF4-FFF2-40B4-BE49-F238E27FC236}">
                      <a16:creationId xmlns:a16="http://schemas.microsoft.com/office/drawing/2014/main" id="{16C27323-6AAD-227D-7A64-B63C22D9A4BF}"/>
                    </a:ext>
                  </a:extLst>
                </xdr:cNvPr>
                <xdr:cNvSpPr/>
              </xdr:nvSpPr>
              <xdr:spPr>
                <a:xfrm>
                  <a:off x="39988082" y="3392314"/>
                  <a:ext cx="1543566" cy="640704"/>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t>Saldatura 97% (Q)</a:t>
                  </a:r>
                </a:p>
              </xdr:txBody>
            </xdr:sp>
          </xdr:grpSp>
        </xdr:grpSp>
        <xdr:sp macro="" textlink="">
          <xdr:nvSpPr>
            <xdr:cNvPr id="8" name="Isosceles Triangle 7">
              <a:extLst>
                <a:ext uri="{FF2B5EF4-FFF2-40B4-BE49-F238E27FC236}">
                  <a16:creationId xmlns:a16="http://schemas.microsoft.com/office/drawing/2014/main" id="{EAB84309-672E-5C67-00A2-37EE651EFBA9}"/>
                </a:ext>
              </a:extLst>
            </xdr:cNvPr>
            <xdr:cNvSpPr/>
          </xdr:nvSpPr>
          <xdr:spPr>
            <a:xfrm>
              <a:off x="36752943" y="7529329"/>
              <a:ext cx="2167144" cy="1310556"/>
            </a:xfrm>
            <a:prstGeom prst="triangle">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100"/>
                <a:t>Magazzino Semilavorati</a:t>
              </a:r>
            </a:p>
          </xdr:txBody>
        </xdr:sp>
        <xdr:cxnSp macro="">
          <xdr:nvCxnSpPr>
            <xdr:cNvPr id="9" name="Connector: Elbow 8">
              <a:extLst>
                <a:ext uri="{FF2B5EF4-FFF2-40B4-BE49-F238E27FC236}">
                  <a16:creationId xmlns:a16="http://schemas.microsoft.com/office/drawing/2014/main" id="{9BD00131-96EB-35F2-BB9F-952BFC059ADB}"/>
                </a:ext>
              </a:extLst>
            </xdr:cNvPr>
            <xdr:cNvCxnSpPr>
              <a:stCxn id="8" idx="0"/>
              <a:endCxn id="18" idx="3"/>
            </xdr:cNvCxnSpPr>
          </xdr:nvCxnSpPr>
          <xdr:spPr>
            <a:xfrm rot="16200000" flipV="1">
              <a:off x="35535115" y="5229118"/>
              <a:ext cx="3916232" cy="684189"/>
            </a:xfrm>
            <a:prstGeom prst="bentConnector2">
              <a:avLst/>
            </a:prstGeom>
            <a:ln w="381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 name="Straight Arrow Connector 9">
              <a:extLst>
                <a:ext uri="{FF2B5EF4-FFF2-40B4-BE49-F238E27FC236}">
                  <a16:creationId xmlns:a16="http://schemas.microsoft.com/office/drawing/2014/main" id="{5DBC511E-46D3-E8C4-D167-300E05B294BF}"/>
                </a:ext>
              </a:extLst>
            </xdr:cNvPr>
            <xdr:cNvCxnSpPr>
              <a:cxnSpLocks/>
              <a:stCxn id="16" idx="0"/>
              <a:endCxn id="20" idx="2"/>
            </xdr:cNvCxnSpPr>
          </xdr:nvCxnSpPr>
          <xdr:spPr>
            <a:xfrm flipH="1" flipV="1">
              <a:off x="34576844" y="7103635"/>
              <a:ext cx="7201" cy="392876"/>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1" name="Straight Arrow Connector 10">
              <a:extLst>
                <a:ext uri="{FF2B5EF4-FFF2-40B4-BE49-F238E27FC236}">
                  <a16:creationId xmlns:a16="http://schemas.microsoft.com/office/drawing/2014/main" id="{60F083F3-6445-1780-E469-29EA5F5B45F8}"/>
                </a:ext>
              </a:extLst>
            </xdr:cNvPr>
            <xdr:cNvCxnSpPr>
              <a:cxnSpLocks/>
              <a:stCxn id="20" idx="0"/>
              <a:endCxn id="19" idx="2"/>
            </xdr:cNvCxnSpPr>
          </xdr:nvCxnSpPr>
          <xdr:spPr>
            <a:xfrm flipH="1" flipV="1">
              <a:off x="34575954" y="6161829"/>
              <a:ext cx="890" cy="374880"/>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2" name="Connector: Elbow 11">
              <a:extLst>
                <a:ext uri="{FF2B5EF4-FFF2-40B4-BE49-F238E27FC236}">
                  <a16:creationId xmlns:a16="http://schemas.microsoft.com/office/drawing/2014/main" id="{A8E18B6F-012F-6721-A44C-30283BE8F0C8}"/>
                </a:ext>
              </a:extLst>
            </xdr:cNvPr>
            <xdr:cNvCxnSpPr>
              <a:stCxn id="19" idx="0"/>
              <a:endCxn id="22" idx="1"/>
            </xdr:cNvCxnSpPr>
          </xdr:nvCxnSpPr>
          <xdr:spPr>
            <a:xfrm rot="5400000" flipH="1" flipV="1">
              <a:off x="34611790" y="4680603"/>
              <a:ext cx="878465" cy="950138"/>
            </a:xfrm>
            <a:prstGeom prst="bentConnector2">
              <a:avLst/>
            </a:prstGeom>
            <a:ln w="381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3" name="Straight Arrow Connector 12">
              <a:extLst>
                <a:ext uri="{FF2B5EF4-FFF2-40B4-BE49-F238E27FC236}">
                  <a16:creationId xmlns:a16="http://schemas.microsoft.com/office/drawing/2014/main" id="{1FAA7433-BB86-D4CD-D711-68B8ACB947AB}"/>
                </a:ext>
              </a:extLst>
            </xdr:cNvPr>
            <xdr:cNvCxnSpPr>
              <a:stCxn id="22" idx="0"/>
              <a:endCxn id="18" idx="2"/>
            </xdr:cNvCxnSpPr>
          </xdr:nvCxnSpPr>
          <xdr:spPr>
            <a:xfrm flipV="1">
              <a:off x="36338473" y="3892073"/>
              <a:ext cx="282" cy="536414"/>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Straight Arrow Connector 13">
              <a:extLst>
                <a:ext uri="{FF2B5EF4-FFF2-40B4-BE49-F238E27FC236}">
                  <a16:creationId xmlns:a16="http://schemas.microsoft.com/office/drawing/2014/main" id="{4D01F536-EF2B-D831-B8A1-2FF37CCD3E98}"/>
                </a:ext>
              </a:extLst>
            </xdr:cNvPr>
            <xdr:cNvCxnSpPr>
              <a:stCxn id="18" idx="0"/>
              <a:endCxn id="21" idx="3"/>
            </xdr:cNvCxnSpPr>
          </xdr:nvCxnSpPr>
          <xdr:spPr>
            <a:xfrm flipV="1">
              <a:off x="36337619" y="2729633"/>
              <a:ext cx="204" cy="614210"/>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5" name="Connector: Elbow 14">
              <a:extLst>
                <a:ext uri="{FF2B5EF4-FFF2-40B4-BE49-F238E27FC236}">
                  <a16:creationId xmlns:a16="http://schemas.microsoft.com/office/drawing/2014/main" id="{443F552B-3575-1412-0517-CBB28E6957CC}"/>
                </a:ext>
              </a:extLst>
            </xdr:cNvPr>
            <xdr:cNvCxnSpPr>
              <a:stCxn id="20" idx="3"/>
              <a:endCxn id="22" idx="2"/>
            </xdr:cNvCxnSpPr>
          </xdr:nvCxnSpPr>
          <xdr:spPr>
            <a:xfrm flipV="1">
              <a:off x="35389226" y="4995414"/>
              <a:ext cx="949247" cy="1829245"/>
            </a:xfrm>
            <a:prstGeom prst="bentConnector2">
              <a:avLst/>
            </a:prstGeom>
            <a:ln w="38100">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6" name="TextBox 5">
            <a:extLst>
              <a:ext uri="{FF2B5EF4-FFF2-40B4-BE49-F238E27FC236}">
                <a16:creationId xmlns:a16="http://schemas.microsoft.com/office/drawing/2014/main" id="{0D9FE995-94EA-9BCB-B002-13C529AB54A2}"/>
              </a:ext>
            </a:extLst>
          </xdr:cNvPr>
          <xdr:cNvSpPr txBox="1"/>
        </xdr:nvSpPr>
        <xdr:spPr>
          <a:xfrm>
            <a:off x="28604309" y="11007969"/>
            <a:ext cx="1418491" cy="485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u="sng"/>
              <a:t>FRESATRICE</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13</xdr:col>
      <xdr:colOff>0</xdr:colOff>
      <xdr:row>23</xdr:row>
      <xdr:rowOff>0</xdr:rowOff>
    </xdr:from>
    <xdr:to>
      <xdr:col>23</xdr:col>
      <xdr:colOff>9525</xdr:colOff>
      <xdr:row>28</xdr:row>
      <xdr:rowOff>206375</xdr:rowOff>
    </xdr:to>
    <xdr:sp macro="" textlink="">
      <xdr:nvSpPr>
        <xdr:cNvPr id="7" name="TextBox 2">
          <a:extLst>
            <a:ext uri="{FF2B5EF4-FFF2-40B4-BE49-F238E27FC236}">
              <a16:creationId xmlns:a16="http://schemas.microsoft.com/office/drawing/2014/main" id="{F1ECC61A-33A5-4B85-AA11-E9B27908FBBE}"/>
            </a:ext>
            <a:ext uri="{147F2762-F138-4A5C-976F-8EAC2B608ADB}">
              <a16:predDERef xmlns:a16="http://schemas.microsoft.com/office/drawing/2014/main" pred="{550A3F1B-2D5D-4460-93C7-E9742ED9062C}"/>
            </a:ext>
          </a:extLst>
        </xdr:cNvPr>
        <xdr:cNvSpPr txBox="1"/>
      </xdr:nvSpPr>
      <xdr:spPr>
        <a:xfrm>
          <a:off x="15113000" y="4587875"/>
          <a:ext cx="9486900" cy="1174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000" b="1">
              <a:solidFill>
                <a:schemeClr val="dk1"/>
              </a:solidFill>
              <a:latin typeface="+mn-lt"/>
              <a:ea typeface="+mn-lt"/>
              <a:cs typeface="+mn-lt"/>
            </a:rPr>
            <a:t>FORMULE UTILI</a:t>
          </a:r>
          <a:endParaRPr lang="en-US" sz="1600" b="1">
            <a:solidFill>
              <a:schemeClr val="dk1"/>
            </a:solidFill>
            <a:latin typeface="+mn-lt"/>
            <a:ea typeface="+mn-lt"/>
            <a:cs typeface="+mn-lt"/>
          </a:endParaRPr>
        </a:p>
        <a:p>
          <a:pPr marL="0" indent="0"/>
          <a:r>
            <a:rPr lang="en-US" sz="1600" b="1">
              <a:solidFill>
                <a:schemeClr val="dk1"/>
              </a:solidFill>
              <a:latin typeface="+mn-lt"/>
              <a:ea typeface="+mn-lt"/>
              <a:cs typeface="+mn-lt"/>
            </a:rPr>
            <a:t>Takt Time </a:t>
          </a:r>
          <a:r>
            <a:rPr lang="en-US" sz="1600">
              <a:solidFill>
                <a:schemeClr val="dk1"/>
              </a:solidFill>
              <a:latin typeface="+mn-lt"/>
              <a:ea typeface="+mn-lt"/>
              <a:cs typeface="+mn-lt"/>
            </a:rPr>
            <a:t>= Tempo Produzione Effettiva (Mensili)/ Quantità produzione con scarti (Mensili)</a:t>
          </a:r>
        </a:p>
        <a:p>
          <a:pPr marL="0" indent="0"/>
          <a:r>
            <a:rPr lang="en-US" sz="1600">
              <a:solidFill>
                <a:schemeClr val="dk1"/>
              </a:solidFill>
              <a:latin typeface="+mn-lt"/>
              <a:ea typeface="+mn-lt"/>
              <a:cs typeface="+mn-lt"/>
            </a:rPr>
            <a:t>(Essere congruenti al denominatore e al numeratore per quanto riguarda il periodo preso in considerazione)</a:t>
          </a:r>
          <a:endParaRPr lang="en-US" sz="1600" b="1">
            <a:solidFill>
              <a:schemeClr val="dk1"/>
            </a:solidFill>
            <a:latin typeface="+mn-lt"/>
            <a:ea typeface="+mn-lt"/>
            <a:cs typeface="+mn-lt"/>
          </a:endParaRPr>
        </a:p>
        <a:p>
          <a:pPr marL="0" indent="0"/>
          <a:r>
            <a:rPr lang="en-US" sz="1600" b="1">
              <a:solidFill>
                <a:schemeClr val="dk1"/>
              </a:solidFill>
              <a:latin typeface="+mn-lt"/>
              <a:ea typeface="+mn-lt"/>
              <a:cs typeface="+mn-lt"/>
            </a:rPr>
            <a:t>Numero macchine </a:t>
          </a:r>
          <a:r>
            <a:rPr lang="en-US" sz="1600">
              <a:solidFill>
                <a:schemeClr val="dk1"/>
              </a:solidFill>
              <a:latin typeface="+mn-lt"/>
              <a:ea typeface="+mn-lt"/>
              <a:cs typeface="+mn-lt"/>
            </a:rPr>
            <a:t>= Tempo Ciclo / Takt-Time</a:t>
          </a:r>
        </a:p>
        <a:p>
          <a:pPr marL="0" indent="0"/>
          <a:endParaRPr lang="en-US" sz="1600">
            <a:solidFill>
              <a:schemeClr val="dk1"/>
            </a:solidFill>
            <a:latin typeface="+mn-lt"/>
            <a:ea typeface="+mn-lt"/>
            <a:cs typeface="+mn-l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13</xdr:col>
      <xdr:colOff>86948</xdr:colOff>
      <xdr:row>22</xdr:row>
      <xdr:rowOff>155160</xdr:rowOff>
    </xdr:from>
    <xdr:to>
      <xdr:col>23</xdr:col>
      <xdr:colOff>61276</xdr:colOff>
      <xdr:row>28</xdr:row>
      <xdr:rowOff>127001</xdr:rowOff>
    </xdr:to>
    <xdr:sp macro="" textlink="">
      <xdr:nvSpPr>
        <xdr:cNvPr id="3" name="TextBox 2">
          <a:extLst>
            <a:ext uri="{FF2B5EF4-FFF2-40B4-BE49-F238E27FC236}">
              <a16:creationId xmlns:a16="http://schemas.microsoft.com/office/drawing/2014/main" id="{0CF09831-D95C-0396-04F1-64E9EBD33842}"/>
            </a:ext>
          </a:extLst>
        </xdr:cNvPr>
        <xdr:cNvSpPr txBox="1"/>
      </xdr:nvSpPr>
      <xdr:spPr>
        <a:xfrm>
          <a:off x="12024948" y="4582017"/>
          <a:ext cx="9698899" cy="133255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a:solidFill>
                <a:schemeClr val="dk1"/>
              </a:solidFill>
              <a:effectLst/>
              <a:latin typeface="+mn-lt"/>
              <a:ea typeface="+mn-ea"/>
              <a:cs typeface="+mn-cs"/>
            </a:rPr>
            <a:t>FORMULE UTILI</a:t>
          </a:r>
          <a:endParaRPr lang="en-GB" sz="2000" b="1">
            <a:effectLst/>
          </a:endParaRPr>
        </a:p>
        <a:p>
          <a:r>
            <a:rPr lang="en-GB" sz="1600" b="1">
              <a:solidFill>
                <a:schemeClr val="dk1"/>
              </a:solidFill>
              <a:effectLst/>
              <a:latin typeface="+mn-lt"/>
              <a:ea typeface="+mn-ea"/>
              <a:cs typeface="+mn-cs"/>
            </a:rPr>
            <a:t>Takt Time </a:t>
          </a:r>
          <a:r>
            <a:rPr lang="en-GB" sz="1600">
              <a:solidFill>
                <a:schemeClr val="dk1"/>
              </a:solidFill>
              <a:effectLst/>
              <a:latin typeface="+mn-lt"/>
              <a:ea typeface="+mn-ea"/>
              <a:cs typeface="+mn-cs"/>
            </a:rPr>
            <a:t>= Tempo Produzione Effettiva (Mensili)/ Quantità produzione con scarti (Mensili)</a:t>
          </a:r>
          <a:endParaRPr lang="en-GB" sz="1600">
            <a:effectLst/>
          </a:endParaRPr>
        </a:p>
        <a:p>
          <a:r>
            <a:rPr lang="en-GB" sz="1600">
              <a:solidFill>
                <a:schemeClr val="dk1"/>
              </a:solidFill>
              <a:effectLst/>
              <a:latin typeface="+mn-lt"/>
              <a:ea typeface="+mn-ea"/>
              <a:cs typeface="+mn-cs"/>
            </a:rPr>
            <a:t>(Essere congruenti al denominatore e al numeratore per quanto riguarda il periodo preso in considerazione)</a:t>
          </a:r>
        </a:p>
        <a:p>
          <a:r>
            <a:rPr lang="en-GB" sz="1600" b="1">
              <a:solidFill>
                <a:schemeClr val="dk1"/>
              </a:solidFill>
              <a:effectLst/>
              <a:latin typeface="+mn-lt"/>
              <a:ea typeface="+mn-ea"/>
              <a:cs typeface="+mn-cs"/>
            </a:rPr>
            <a:t>Numero macchine </a:t>
          </a:r>
          <a:r>
            <a:rPr lang="en-GB" sz="1600">
              <a:solidFill>
                <a:schemeClr val="dk1"/>
              </a:solidFill>
              <a:effectLst/>
              <a:latin typeface="+mn-lt"/>
              <a:ea typeface="+mn-ea"/>
              <a:cs typeface="+mn-cs"/>
            </a:rPr>
            <a:t>= Tempo Ciclo / Takt-Time</a:t>
          </a:r>
          <a:endParaRPr lang="en-GB" sz="1600">
            <a:effectLst/>
          </a:endParaRPr>
        </a:p>
        <a:p>
          <a:endParaRPr lang="en-GB" sz="1600"/>
        </a:p>
      </xdr:txBody>
    </xdr:sp>
    <xdr:clientData/>
  </xdr:twoCellAnchor>
  <xdr:twoCellAnchor>
    <xdr:from>
      <xdr:col>32</xdr:col>
      <xdr:colOff>4673</xdr:colOff>
      <xdr:row>6</xdr:row>
      <xdr:rowOff>-1</xdr:rowOff>
    </xdr:from>
    <xdr:to>
      <xdr:col>38</xdr:col>
      <xdr:colOff>503209</xdr:colOff>
      <xdr:row>26</xdr:row>
      <xdr:rowOff>186905</xdr:rowOff>
    </xdr:to>
    <xdr:sp macro="" textlink="">
      <xdr:nvSpPr>
        <xdr:cNvPr id="6" name="TextBox 5">
          <a:extLst>
            <a:ext uri="{FF2B5EF4-FFF2-40B4-BE49-F238E27FC236}">
              <a16:creationId xmlns:a16="http://schemas.microsoft.com/office/drawing/2014/main" id="{2DB912CA-3C5D-478E-9C7D-943AEA8A3A1B}"/>
            </a:ext>
            <a:ext uri="{147F2762-F138-4A5C-976F-8EAC2B608ADB}">
              <a16:predDERef xmlns:a16="http://schemas.microsoft.com/office/drawing/2014/main" pred="{AECD59EC-4DAF-4F18-B219-527EED306A77}"/>
            </a:ext>
          </a:extLst>
        </xdr:cNvPr>
        <xdr:cNvSpPr txBox="1"/>
      </xdr:nvSpPr>
      <xdr:spPr>
        <a:xfrm>
          <a:off x="26990975" y="1351471"/>
          <a:ext cx="4121630" cy="4111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a:t>DOMANDE</a:t>
          </a:r>
        </a:p>
        <a:p>
          <a:pPr marL="0" marR="0" lvl="0" indent="0" defTabSz="914400" eaLnBrk="1" fontAlgn="auto" latinLnBrk="0" hangingPunct="1">
            <a:lnSpc>
              <a:spcPct val="100000"/>
            </a:lnSpc>
            <a:spcBef>
              <a:spcPts val="0"/>
            </a:spcBef>
            <a:spcAft>
              <a:spcPts val="0"/>
            </a:spcAft>
            <a:buClrTx/>
            <a:buSzTx/>
            <a:buFontTx/>
            <a:buNone/>
            <a:tabLst/>
            <a:defRPr/>
          </a:pPr>
          <a:r>
            <a:rPr lang="en-GB" sz="1400" baseline="0">
              <a:solidFill>
                <a:schemeClr val="dk1"/>
              </a:solidFill>
              <a:effectLst/>
              <a:latin typeface="+mn-lt"/>
              <a:ea typeface="+mn-ea"/>
              <a:cs typeface="+mn-cs"/>
            </a:rPr>
            <a:t>- La produzione totale con scarti non produce un numero intero di lotti per cui i pezzi rimanenti che non compongono un lotto intero come vengono gestiti ?</a:t>
          </a:r>
        </a:p>
        <a:p>
          <a:pPr marL="0" marR="0" lvl="0" indent="0" defTabSz="914400" eaLnBrk="1" fontAlgn="auto" latinLnBrk="0" hangingPunct="1">
            <a:lnSpc>
              <a:spcPct val="100000"/>
            </a:lnSpc>
            <a:spcBef>
              <a:spcPts val="0"/>
            </a:spcBef>
            <a:spcAft>
              <a:spcPts val="0"/>
            </a:spcAft>
            <a:buClrTx/>
            <a:buSzTx/>
            <a:buFontTx/>
            <a:buNone/>
            <a:tabLst/>
            <a:defRPr/>
          </a:pPr>
          <a:r>
            <a:rPr lang="en-GB" sz="1400" baseline="0">
              <a:solidFill>
                <a:schemeClr val="dk1"/>
              </a:solidFill>
              <a:effectLst/>
              <a:latin typeface="+mn-lt"/>
              <a:ea typeface="+mn-ea"/>
              <a:cs typeface="+mn-cs"/>
            </a:rPr>
            <a:t>- Se noi sommiamo dopo </a:t>
          </a:r>
        </a:p>
        <a:p>
          <a:pPr marL="0" marR="0" lvl="0" indent="0" defTabSz="914400" eaLnBrk="1" fontAlgn="auto" latinLnBrk="0" hangingPunct="1">
            <a:lnSpc>
              <a:spcPct val="100000"/>
            </a:lnSpc>
            <a:spcBef>
              <a:spcPts val="0"/>
            </a:spcBef>
            <a:spcAft>
              <a:spcPts val="0"/>
            </a:spcAft>
            <a:buClrTx/>
            <a:buSzTx/>
            <a:buFontTx/>
            <a:buNone/>
            <a:tabLst/>
            <a:defRPr/>
          </a:pPr>
          <a:r>
            <a:rPr lang="en-GB" sz="1400" baseline="0">
              <a:solidFill>
                <a:schemeClr val="dk1"/>
              </a:solidFill>
              <a:effectLst/>
              <a:latin typeface="+mn-lt"/>
              <a:ea typeface="+mn-ea"/>
              <a:cs typeface="+mn-cs"/>
            </a:rPr>
            <a:t>- Bisogna capire se i pezzi nel lotto delle prime fasi sono il numero di pezzi che servono per la produzione di un intero lotto delle fasi successive ? (Es. Staffe Attacco trattore trinciate 300pz per un lotto equivalgono al numero di Staffe Attacco Trattore Trinciate che servono per la realizzazione di 1 lotto di telaio di 500 pezzi)</a:t>
          </a:r>
        </a:p>
        <a:p>
          <a:pPr marL="0" marR="0" lvl="0" indent="0" defTabSz="914400" eaLnBrk="1" fontAlgn="auto" latinLnBrk="0" hangingPunct="1">
            <a:lnSpc>
              <a:spcPct val="100000"/>
            </a:lnSpc>
            <a:spcBef>
              <a:spcPts val="0"/>
            </a:spcBef>
            <a:spcAft>
              <a:spcPts val="0"/>
            </a:spcAft>
            <a:buClrTx/>
            <a:buSzTx/>
            <a:buFontTx/>
            <a:buNone/>
            <a:tabLst/>
            <a:defRPr/>
          </a:pPr>
          <a:r>
            <a:rPr lang="en-GB" sz="1400" baseline="0">
              <a:solidFill>
                <a:schemeClr val="dk1"/>
              </a:solidFill>
              <a:effectLst/>
              <a:latin typeface="+mn-lt"/>
              <a:ea typeface="+mn-ea"/>
              <a:cs typeface="+mn-cs"/>
            </a:rPr>
            <a:t>- Fare linee miste per fresatrici e trinciatutto </a:t>
          </a:r>
        </a:p>
      </xdr:txBody>
    </xdr:sp>
    <xdr:clientData/>
  </xdr:twoCellAnchor>
  <xdr:twoCellAnchor>
    <xdr:from>
      <xdr:col>24</xdr:col>
      <xdr:colOff>671285</xdr:colOff>
      <xdr:row>6</xdr:row>
      <xdr:rowOff>5476</xdr:rowOff>
    </xdr:from>
    <xdr:to>
      <xdr:col>30</xdr:col>
      <xdr:colOff>520665</xdr:colOff>
      <xdr:row>27</xdr:row>
      <xdr:rowOff>12322</xdr:rowOff>
    </xdr:to>
    <xdr:sp macro="" textlink="">
      <xdr:nvSpPr>
        <xdr:cNvPr id="12" name="TextBox 6">
          <a:extLst>
            <a:ext uri="{FF2B5EF4-FFF2-40B4-BE49-F238E27FC236}">
              <a16:creationId xmlns:a16="http://schemas.microsoft.com/office/drawing/2014/main" id="{E0D3D2D8-2BA7-442B-83E7-4405E95A646D}"/>
            </a:ext>
            <a:ext uri="{147F2762-F138-4A5C-976F-8EAC2B608ADB}">
              <a16:predDERef xmlns:a16="http://schemas.microsoft.com/office/drawing/2014/main" pred="{2DB912CA-3C5D-478E-9C7D-943AEA8A3A1B}"/>
            </a:ext>
          </a:extLst>
        </xdr:cNvPr>
        <xdr:cNvSpPr txBox="1"/>
      </xdr:nvSpPr>
      <xdr:spPr>
        <a:xfrm>
          <a:off x="23041428" y="1366190"/>
          <a:ext cx="3949666" cy="4252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000" b="1">
              <a:solidFill>
                <a:schemeClr val="dk1"/>
              </a:solidFill>
              <a:latin typeface="+mn-lt"/>
              <a:ea typeface="+mn-lt"/>
              <a:cs typeface="+mn-lt"/>
            </a:rPr>
            <a:t>SPIEGAZIONE DEI RAGIONAMENTI E DEI CALCOLI</a:t>
          </a:r>
          <a:endParaRPr lang="en-US" sz="1600" b="0">
            <a:solidFill>
              <a:schemeClr val="dk1"/>
            </a:solidFill>
            <a:latin typeface="+mn-lt"/>
            <a:ea typeface="+mn-lt"/>
            <a:cs typeface="+mn-lt"/>
          </a:endParaRPr>
        </a:p>
        <a:p>
          <a:pPr marL="0" indent="0"/>
          <a:r>
            <a:rPr lang="en-US" sz="1600" b="0">
              <a:solidFill>
                <a:schemeClr val="dk1"/>
              </a:solidFill>
              <a:latin typeface="+mn-lt"/>
              <a:ea typeface="+mn-lt"/>
              <a:cs typeface="+mn-lt"/>
            </a:rPr>
            <a:t>Nel caso in cui avessimo 3 linee miste all'interno dell'azienda i capi reparto, ricevono dall'ufficio acquisti degli ordini di lavor e avendo questi ordini di lavoro, loro sanno quali prodotti produrre e quali quantità.</a:t>
          </a:r>
        </a:p>
      </xdr:txBody>
    </xdr:sp>
    <xdr:clientData/>
  </xdr:twoCellAnchor>
  <xdr:twoCellAnchor editAs="oneCell">
    <xdr:from>
      <xdr:col>32</xdr:col>
      <xdr:colOff>424081</xdr:colOff>
      <xdr:row>104</xdr:row>
      <xdr:rowOff>170151</xdr:rowOff>
    </xdr:from>
    <xdr:to>
      <xdr:col>40</xdr:col>
      <xdr:colOff>595098</xdr:colOff>
      <xdr:row>116</xdr:row>
      <xdr:rowOff>115821</xdr:rowOff>
    </xdr:to>
    <xdr:pic>
      <xdr:nvPicPr>
        <xdr:cNvPr id="4" name="Picture 12">
          <a:extLst>
            <a:ext uri="{FF2B5EF4-FFF2-40B4-BE49-F238E27FC236}">
              <a16:creationId xmlns:a16="http://schemas.microsoft.com/office/drawing/2014/main" id="{CC58E46F-CB40-15D2-F38C-0372D9C4CC91}"/>
            </a:ext>
            <a:ext uri="{147F2762-F138-4A5C-976F-8EAC2B608ADB}">
              <a16:predDERef xmlns:a16="http://schemas.microsoft.com/office/drawing/2014/main" pred="{4EC21C70-5B05-2295-B5DE-6ADC96B16B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417931" y="20153601"/>
          <a:ext cx="5154497" cy="23262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31</xdr:col>
      <xdr:colOff>524656</xdr:colOff>
      <xdr:row>17</xdr:row>
      <xdr:rowOff>59492</xdr:rowOff>
    </xdr:from>
    <xdr:to>
      <xdr:col>41</xdr:col>
      <xdr:colOff>375223</xdr:colOff>
      <xdr:row>26</xdr:row>
      <xdr:rowOff>1405</xdr:rowOff>
    </xdr:to>
    <xdr:sp macro="" textlink="">
      <xdr:nvSpPr>
        <xdr:cNvPr id="11" name="TextBox 1">
          <a:extLst>
            <a:ext uri="{FF2B5EF4-FFF2-40B4-BE49-F238E27FC236}">
              <a16:creationId xmlns:a16="http://schemas.microsoft.com/office/drawing/2014/main" id="{2B31CFB7-72DF-2D0F-DFEA-3F57C83C04DE}"/>
            </a:ext>
          </a:extLst>
        </xdr:cNvPr>
        <xdr:cNvSpPr txBox="1"/>
      </xdr:nvSpPr>
      <xdr:spPr>
        <a:xfrm>
          <a:off x="21098656" y="6068049"/>
          <a:ext cx="6758534" cy="28649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000" b="1" i="0" u="none" strike="noStrike">
              <a:solidFill>
                <a:schemeClr val="dk1"/>
              </a:solidFill>
              <a:latin typeface="Calibri" panose="020F0502020204030204" pitchFamily="34" charset="0"/>
              <a:cs typeface="Calibri" panose="020F0502020204030204" pitchFamily="34" charset="0"/>
            </a:rPr>
            <a:t>SPIEGAZIONE DEI RAGIONAMENTI E CALCOLI</a:t>
          </a:r>
          <a:endParaRPr lang="en-US" sz="1600" b="1">
            <a:solidFill>
              <a:schemeClr val="dk1"/>
            </a:solidFill>
            <a:latin typeface="+mn-lt"/>
            <a:ea typeface="+mn-lt"/>
            <a:cs typeface="+mn-lt"/>
          </a:endParaRPr>
        </a:p>
        <a:p>
          <a:pPr marL="0" indent="0"/>
          <a:r>
            <a:rPr lang="en-US" sz="1600">
              <a:solidFill>
                <a:schemeClr val="dk1"/>
              </a:solidFill>
              <a:latin typeface="+mn-lt"/>
              <a:ea typeface="+mn-lt"/>
              <a:cs typeface="+mn-lt"/>
            </a:rPr>
            <a:t>Se faccio linee che lavorano prodotti misti  avarà delle linee ferme e avro il tempo di setup</a:t>
          </a:r>
          <a:br>
            <a:rPr lang="en-US" sz="1600">
              <a:solidFill>
                <a:schemeClr val="dk1"/>
              </a:solidFill>
              <a:latin typeface="+mn-lt"/>
              <a:ea typeface="+mn-lt"/>
              <a:cs typeface="+mn-lt"/>
            </a:rPr>
          </a:br>
          <a:br>
            <a:rPr lang="en-US" sz="1600">
              <a:solidFill>
                <a:schemeClr val="dk1"/>
              </a:solidFill>
              <a:latin typeface="+mn-lt"/>
              <a:ea typeface="+mn-lt"/>
              <a:cs typeface="+mn-lt"/>
            </a:rPr>
          </a:br>
          <a:r>
            <a:rPr lang="en-US" sz="1600">
              <a:solidFill>
                <a:schemeClr val="dk1"/>
              </a:solidFill>
              <a:latin typeface="+mn-lt"/>
              <a:ea typeface="+mn-lt"/>
              <a:cs typeface="+mn-lt"/>
            </a:rPr>
            <a:t>Se faccio in linee uniche perderemo la percentuale di inutilizzo della linea perche avevamo bisogno di meno di una linea intera, ma è tutto piu veloce perche non hai tempo di setup</a:t>
          </a:r>
        </a:p>
      </xdr:txBody>
    </xdr:sp>
    <xdr:clientData/>
  </xdr:twoCellAnchor>
  <xdr:twoCellAnchor>
    <xdr:from>
      <xdr:col>2</xdr:col>
      <xdr:colOff>489044</xdr:colOff>
      <xdr:row>17</xdr:row>
      <xdr:rowOff>159224</xdr:rowOff>
    </xdr:from>
    <xdr:to>
      <xdr:col>15</xdr:col>
      <xdr:colOff>196734</xdr:colOff>
      <xdr:row>31</xdr:row>
      <xdr:rowOff>112842</xdr:rowOff>
    </xdr:to>
    <xdr:grpSp>
      <xdr:nvGrpSpPr>
        <xdr:cNvPr id="74" name="Group 73">
          <a:extLst>
            <a:ext uri="{FF2B5EF4-FFF2-40B4-BE49-F238E27FC236}">
              <a16:creationId xmlns:a16="http://schemas.microsoft.com/office/drawing/2014/main" id="{4CA5A69D-B106-A12D-120A-FE7EF22953DE}"/>
            </a:ext>
          </a:extLst>
        </xdr:cNvPr>
        <xdr:cNvGrpSpPr/>
      </xdr:nvGrpSpPr>
      <xdr:grpSpPr>
        <a:xfrm>
          <a:off x="1701317" y="6151315"/>
          <a:ext cx="7587462" cy="4317800"/>
          <a:chOff x="2195015" y="6448567"/>
          <a:chExt cx="7691630" cy="4411886"/>
        </a:xfrm>
      </xdr:grpSpPr>
      <xdr:grpSp>
        <xdr:nvGrpSpPr>
          <xdr:cNvPr id="4" name="Group 3">
            <a:extLst>
              <a:ext uri="{FF2B5EF4-FFF2-40B4-BE49-F238E27FC236}">
                <a16:creationId xmlns:a16="http://schemas.microsoft.com/office/drawing/2014/main" id="{5CF9FBAA-8BA1-8C28-2C54-09E6A710A297}"/>
              </a:ext>
            </a:extLst>
          </xdr:cNvPr>
          <xdr:cNvGrpSpPr/>
        </xdr:nvGrpSpPr>
        <xdr:grpSpPr>
          <a:xfrm>
            <a:off x="2195015" y="6448567"/>
            <a:ext cx="7691630" cy="4411886"/>
            <a:chOff x="1838326" y="4974371"/>
            <a:chExt cx="7636966" cy="4494044"/>
          </a:xfrm>
        </xdr:grpSpPr>
        <xdr:cxnSp macro="">
          <xdr:nvCxnSpPr>
            <xdr:cNvPr id="19" name="Straight Arrow Connector 18">
              <a:extLst>
                <a:ext uri="{FF2B5EF4-FFF2-40B4-BE49-F238E27FC236}">
                  <a16:creationId xmlns:a16="http://schemas.microsoft.com/office/drawing/2014/main" id="{484B316B-7CC5-0248-F0DE-0BC8712439AE}"/>
                </a:ext>
              </a:extLst>
            </xdr:cNvPr>
            <xdr:cNvCxnSpPr>
              <a:stCxn id="32" idx="6"/>
              <a:endCxn id="39" idx="2"/>
            </xdr:cNvCxnSpPr>
          </xdr:nvCxnSpPr>
          <xdr:spPr>
            <a:xfrm>
              <a:off x="3964942" y="7710243"/>
              <a:ext cx="35256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1" name="Straight Arrow Connector 20">
              <a:extLst>
                <a:ext uri="{FF2B5EF4-FFF2-40B4-BE49-F238E27FC236}">
                  <a16:creationId xmlns:a16="http://schemas.microsoft.com/office/drawing/2014/main" id="{D178EC0C-31BF-E817-EDD1-29496A44E147}"/>
                </a:ext>
              </a:extLst>
            </xdr:cNvPr>
            <xdr:cNvCxnSpPr>
              <a:stCxn id="35" idx="6"/>
              <a:endCxn id="36" idx="2"/>
            </xdr:cNvCxnSpPr>
          </xdr:nvCxnSpPr>
          <xdr:spPr>
            <a:xfrm>
              <a:off x="5211109" y="6545891"/>
              <a:ext cx="389211"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nvGrpSpPr>
            <xdr:cNvPr id="23" name="Group 22">
              <a:extLst>
                <a:ext uri="{FF2B5EF4-FFF2-40B4-BE49-F238E27FC236}">
                  <a16:creationId xmlns:a16="http://schemas.microsoft.com/office/drawing/2014/main" id="{786B06F2-704A-232A-EDC8-2D74CBA2411D}"/>
                </a:ext>
              </a:extLst>
            </xdr:cNvPr>
            <xdr:cNvGrpSpPr/>
          </xdr:nvGrpSpPr>
          <xdr:grpSpPr>
            <a:xfrm>
              <a:off x="1838326" y="4974371"/>
              <a:ext cx="7636966" cy="4494044"/>
              <a:chOff x="666751" y="5526821"/>
              <a:chExt cx="7636966" cy="4494044"/>
            </a:xfrm>
          </xdr:grpSpPr>
          <xdr:sp macro="" textlink="">
            <xdr:nvSpPr>
              <xdr:cNvPr id="24" name="Oval 23">
                <a:extLst>
                  <a:ext uri="{FF2B5EF4-FFF2-40B4-BE49-F238E27FC236}">
                    <a16:creationId xmlns:a16="http://schemas.microsoft.com/office/drawing/2014/main" id="{90387558-D265-3B5A-FF6E-F7EDE82CC9ED}"/>
                  </a:ext>
                </a:extLst>
              </xdr:cNvPr>
              <xdr:cNvSpPr/>
            </xdr:nvSpPr>
            <xdr:spPr>
              <a:xfrm>
                <a:off x="7410114" y="7804313"/>
                <a:ext cx="893603" cy="91675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t>O</a:t>
                </a:r>
              </a:p>
              <a:p>
                <a:pPr algn="ctr"/>
                <a:r>
                  <a:rPr lang="en-GB" sz="1000"/>
                  <a:t>0.40 min</a:t>
                </a:r>
              </a:p>
            </xdr:txBody>
          </xdr:sp>
          <xdr:grpSp>
            <xdr:nvGrpSpPr>
              <xdr:cNvPr id="26" name="Group 25">
                <a:extLst>
                  <a:ext uri="{FF2B5EF4-FFF2-40B4-BE49-F238E27FC236}">
                    <a16:creationId xmlns:a16="http://schemas.microsoft.com/office/drawing/2014/main" id="{5752DE74-E066-4433-7BD6-371D900AE73C}"/>
                  </a:ext>
                </a:extLst>
              </xdr:cNvPr>
              <xdr:cNvGrpSpPr/>
            </xdr:nvGrpSpPr>
            <xdr:grpSpPr>
              <a:xfrm>
                <a:off x="666751" y="5526821"/>
                <a:ext cx="6743363" cy="4494044"/>
                <a:chOff x="666751" y="5526821"/>
                <a:chExt cx="6743363" cy="4494044"/>
              </a:xfrm>
            </xdr:grpSpPr>
            <xdr:sp macro="" textlink="">
              <xdr:nvSpPr>
                <xdr:cNvPr id="27" name="Oval 26">
                  <a:extLst>
                    <a:ext uri="{FF2B5EF4-FFF2-40B4-BE49-F238E27FC236}">
                      <a16:creationId xmlns:a16="http://schemas.microsoft.com/office/drawing/2014/main" id="{E2BFEBD0-9082-56D5-594F-E35E1B215F66}"/>
                    </a:ext>
                  </a:extLst>
                </xdr:cNvPr>
                <xdr:cNvSpPr/>
              </xdr:nvSpPr>
              <xdr:spPr>
                <a:xfrm>
                  <a:off x="666751" y="7295617"/>
                  <a:ext cx="893603" cy="91675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t>A</a:t>
                  </a:r>
                </a:p>
                <a:p>
                  <a:pPr algn="ctr"/>
                  <a:r>
                    <a:rPr lang="en-GB" sz="1000"/>
                    <a:t>0.40 min </a:t>
                  </a:r>
                </a:p>
              </xdr:txBody>
            </xdr:sp>
            <xdr:sp macro="" textlink="">
              <xdr:nvSpPr>
                <xdr:cNvPr id="29" name="Oval 28">
                  <a:extLst>
                    <a:ext uri="{FF2B5EF4-FFF2-40B4-BE49-F238E27FC236}">
                      <a16:creationId xmlns:a16="http://schemas.microsoft.com/office/drawing/2014/main" id="{0A3FDDED-F6CE-2AD7-98EA-BD8FD26C63D8}"/>
                    </a:ext>
                  </a:extLst>
                </xdr:cNvPr>
                <xdr:cNvSpPr/>
              </xdr:nvSpPr>
              <xdr:spPr>
                <a:xfrm>
                  <a:off x="1899764" y="5526821"/>
                  <a:ext cx="893603" cy="91675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t>B</a:t>
                  </a:r>
                </a:p>
                <a:p>
                  <a:pPr algn="ctr"/>
                  <a:r>
                    <a:rPr lang="en-GB" sz="1000"/>
                    <a:t>0.30 min</a:t>
                  </a:r>
                </a:p>
              </xdr:txBody>
            </xdr:sp>
            <xdr:sp macro="" textlink="">
              <xdr:nvSpPr>
                <xdr:cNvPr id="30" name="Oval 29">
                  <a:extLst>
                    <a:ext uri="{FF2B5EF4-FFF2-40B4-BE49-F238E27FC236}">
                      <a16:creationId xmlns:a16="http://schemas.microsoft.com/office/drawing/2014/main" id="{02AAAA1A-8826-719E-1C51-9DBFFBC2C094}"/>
                    </a:ext>
                  </a:extLst>
                </xdr:cNvPr>
                <xdr:cNvSpPr/>
              </xdr:nvSpPr>
              <xdr:spPr>
                <a:xfrm>
                  <a:off x="1899764" y="6639961"/>
                  <a:ext cx="893603" cy="91675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t>C</a:t>
                  </a:r>
                  <a:endParaRPr lang="en-GB" sz="1000"/>
                </a:p>
                <a:p>
                  <a:pPr algn="ctr"/>
                  <a:r>
                    <a:rPr lang="en-GB" sz="1000"/>
                    <a:t>0.40</a:t>
                  </a:r>
                  <a:r>
                    <a:rPr lang="en-GB" sz="1000" baseline="0"/>
                    <a:t> </a:t>
                  </a:r>
                  <a:r>
                    <a:rPr lang="en-GB" sz="1000"/>
                    <a:t>min</a:t>
                  </a:r>
                  <a:endParaRPr lang="en-GB" sz="2000"/>
                </a:p>
              </xdr:txBody>
            </xdr:sp>
            <xdr:sp macro="" textlink="">
              <xdr:nvSpPr>
                <xdr:cNvPr id="32" name="Oval 31">
                  <a:extLst>
                    <a:ext uri="{FF2B5EF4-FFF2-40B4-BE49-F238E27FC236}">
                      <a16:creationId xmlns:a16="http://schemas.microsoft.com/office/drawing/2014/main" id="{14F526C3-02D0-8920-33A6-A0CD774848DD}"/>
                    </a:ext>
                  </a:extLst>
                </xdr:cNvPr>
                <xdr:cNvSpPr/>
              </xdr:nvSpPr>
              <xdr:spPr>
                <a:xfrm>
                  <a:off x="1899764" y="7804313"/>
                  <a:ext cx="893603" cy="91675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t>G</a:t>
                  </a:r>
                </a:p>
                <a:p>
                  <a:pPr algn="ctr"/>
                  <a:r>
                    <a:rPr lang="en-GB" sz="1000"/>
                    <a:t>0.80 min</a:t>
                  </a:r>
                </a:p>
              </xdr:txBody>
            </xdr:sp>
            <xdr:sp macro="" textlink="">
              <xdr:nvSpPr>
                <xdr:cNvPr id="33" name="Oval 32">
                  <a:extLst>
                    <a:ext uri="{FF2B5EF4-FFF2-40B4-BE49-F238E27FC236}">
                      <a16:creationId xmlns:a16="http://schemas.microsoft.com/office/drawing/2014/main" id="{E1F5D5B0-3D17-7DC0-22BD-56943990D056}"/>
                    </a:ext>
                  </a:extLst>
                </xdr:cNvPr>
                <xdr:cNvSpPr/>
              </xdr:nvSpPr>
              <xdr:spPr>
                <a:xfrm>
                  <a:off x="1899764" y="9104106"/>
                  <a:ext cx="893603" cy="91675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t>H</a:t>
                  </a:r>
                </a:p>
                <a:p>
                  <a:pPr algn="ctr"/>
                  <a:r>
                    <a:rPr lang="en-GB" sz="1000"/>
                    <a:t>0.60 min</a:t>
                  </a:r>
                </a:p>
              </xdr:txBody>
            </xdr:sp>
            <xdr:sp macro="" textlink="">
              <xdr:nvSpPr>
                <xdr:cNvPr id="35" name="Oval 34">
                  <a:extLst>
                    <a:ext uri="{FF2B5EF4-FFF2-40B4-BE49-F238E27FC236}">
                      <a16:creationId xmlns:a16="http://schemas.microsoft.com/office/drawing/2014/main" id="{39928F08-A7AA-EBAB-59D5-A5BA17327364}"/>
                    </a:ext>
                  </a:extLst>
                </xdr:cNvPr>
                <xdr:cNvSpPr/>
              </xdr:nvSpPr>
              <xdr:spPr>
                <a:xfrm>
                  <a:off x="3145931" y="6639961"/>
                  <a:ext cx="893603" cy="91675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t>D</a:t>
                  </a:r>
                </a:p>
                <a:p>
                  <a:pPr algn="ctr"/>
                  <a:r>
                    <a:rPr lang="en-GB" sz="1000"/>
                    <a:t>0.40 min</a:t>
                  </a:r>
                </a:p>
              </xdr:txBody>
            </xdr:sp>
            <xdr:sp macro="" textlink="">
              <xdr:nvSpPr>
                <xdr:cNvPr id="36" name="Oval 35">
                  <a:extLst>
                    <a:ext uri="{FF2B5EF4-FFF2-40B4-BE49-F238E27FC236}">
                      <a16:creationId xmlns:a16="http://schemas.microsoft.com/office/drawing/2014/main" id="{E1A84FBF-6FA0-41CD-4FED-9A1828478C90}"/>
                    </a:ext>
                  </a:extLst>
                </xdr:cNvPr>
                <xdr:cNvSpPr/>
              </xdr:nvSpPr>
              <xdr:spPr>
                <a:xfrm>
                  <a:off x="4428745" y="6639961"/>
                  <a:ext cx="893604" cy="91675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t>E</a:t>
                  </a:r>
                </a:p>
                <a:p>
                  <a:pPr algn="ctr"/>
                  <a:r>
                    <a:rPr lang="en-GB" sz="1000"/>
                    <a:t>0.50 min</a:t>
                  </a:r>
                </a:p>
              </xdr:txBody>
            </xdr:sp>
            <xdr:sp macro="" textlink="">
              <xdr:nvSpPr>
                <xdr:cNvPr id="38" name="Oval 37">
                  <a:extLst>
                    <a:ext uri="{FF2B5EF4-FFF2-40B4-BE49-F238E27FC236}">
                      <a16:creationId xmlns:a16="http://schemas.microsoft.com/office/drawing/2014/main" id="{BF3883B6-684D-BC8E-81E3-4FA1C02BECF2}"/>
                    </a:ext>
                  </a:extLst>
                </xdr:cNvPr>
                <xdr:cNvSpPr/>
              </xdr:nvSpPr>
              <xdr:spPr>
                <a:xfrm>
                  <a:off x="5910270" y="5526821"/>
                  <a:ext cx="893604" cy="91675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t>F</a:t>
                  </a:r>
                </a:p>
                <a:p>
                  <a:pPr algn="ctr"/>
                  <a:r>
                    <a:rPr lang="en-GB" sz="1000"/>
                    <a:t>0.60 min</a:t>
                  </a:r>
                </a:p>
              </xdr:txBody>
            </xdr:sp>
            <xdr:sp macro="" textlink="">
              <xdr:nvSpPr>
                <xdr:cNvPr id="39" name="Oval 38">
                  <a:extLst>
                    <a:ext uri="{FF2B5EF4-FFF2-40B4-BE49-F238E27FC236}">
                      <a16:creationId xmlns:a16="http://schemas.microsoft.com/office/drawing/2014/main" id="{2E6B0B66-D21F-C34F-D9CE-73E1198AE971}"/>
                    </a:ext>
                  </a:extLst>
                </xdr:cNvPr>
                <xdr:cNvSpPr/>
              </xdr:nvSpPr>
              <xdr:spPr>
                <a:xfrm>
                  <a:off x="3145931" y="7804313"/>
                  <a:ext cx="893603" cy="91675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t>N</a:t>
                  </a:r>
                </a:p>
                <a:p>
                  <a:pPr algn="ctr"/>
                  <a:r>
                    <a:rPr lang="en-GB" sz="1000"/>
                    <a:t>0.40 min</a:t>
                  </a:r>
                </a:p>
              </xdr:txBody>
            </xdr:sp>
            <xdr:sp macro="" textlink="">
              <xdr:nvSpPr>
                <xdr:cNvPr id="41" name="Oval 40">
                  <a:extLst>
                    <a:ext uri="{FF2B5EF4-FFF2-40B4-BE49-F238E27FC236}">
                      <a16:creationId xmlns:a16="http://schemas.microsoft.com/office/drawing/2014/main" id="{3F57334A-4E7B-99FF-036E-6224C3B892BA}"/>
                    </a:ext>
                  </a:extLst>
                </xdr:cNvPr>
                <xdr:cNvSpPr/>
              </xdr:nvSpPr>
              <xdr:spPr>
                <a:xfrm>
                  <a:off x="3145931" y="9104106"/>
                  <a:ext cx="893603" cy="91675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t>I</a:t>
                  </a:r>
                </a:p>
                <a:p>
                  <a:pPr algn="ctr"/>
                  <a:r>
                    <a:rPr lang="en-GB" sz="1000"/>
                    <a:t>0.40 min</a:t>
                  </a:r>
                </a:p>
              </xdr:txBody>
            </xdr:sp>
            <xdr:sp macro="" textlink="">
              <xdr:nvSpPr>
                <xdr:cNvPr id="42" name="Oval 41">
                  <a:extLst>
                    <a:ext uri="{FF2B5EF4-FFF2-40B4-BE49-F238E27FC236}">
                      <a16:creationId xmlns:a16="http://schemas.microsoft.com/office/drawing/2014/main" id="{40E2CFE5-5617-769F-EC45-C128697DEAB9}"/>
                    </a:ext>
                  </a:extLst>
                </xdr:cNvPr>
                <xdr:cNvSpPr/>
              </xdr:nvSpPr>
              <xdr:spPr>
                <a:xfrm>
                  <a:off x="4428746" y="9104106"/>
                  <a:ext cx="893603" cy="91675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t>L</a:t>
                  </a:r>
                </a:p>
                <a:p>
                  <a:pPr algn="ctr"/>
                  <a:r>
                    <a:rPr lang="en-GB" sz="1000"/>
                    <a:t>0.80 min</a:t>
                  </a:r>
                </a:p>
              </xdr:txBody>
            </xdr:sp>
            <xdr:cxnSp macro="">
              <xdr:nvCxnSpPr>
                <xdr:cNvPr id="43" name="Straight Arrow Connector 42">
                  <a:extLst>
                    <a:ext uri="{FF2B5EF4-FFF2-40B4-BE49-F238E27FC236}">
                      <a16:creationId xmlns:a16="http://schemas.microsoft.com/office/drawing/2014/main" id="{9A68875F-078D-D377-AD87-DB86E689D8B3}"/>
                    </a:ext>
                  </a:extLst>
                </xdr:cNvPr>
                <xdr:cNvCxnSpPr>
                  <a:stCxn id="27" idx="6"/>
                  <a:endCxn id="30" idx="2"/>
                </xdr:cNvCxnSpPr>
              </xdr:nvCxnSpPr>
              <xdr:spPr>
                <a:xfrm flipV="1">
                  <a:off x="1560354" y="7098341"/>
                  <a:ext cx="339411" cy="65565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5" name="Straight Arrow Connector 44">
                  <a:extLst>
                    <a:ext uri="{FF2B5EF4-FFF2-40B4-BE49-F238E27FC236}">
                      <a16:creationId xmlns:a16="http://schemas.microsoft.com/office/drawing/2014/main" id="{3E717B37-3FC9-6A66-DC3B-F86309752680}"/>
                    </a:ext>
                  </a:extLst>
                </xdr:cNvPr>
                <xdr:cNvCxnSpPr>
                  <a:stCxn id="27" idx="6"/>
                  <a:endCxn id="32" idx="2"/>
                </xdr:cNvCxnSpPr>
              </xdr:nvCxnSpPr>
              <xdr:spPr>
                <a:xfrm>
                  <a:off x="1560354" y="7753997"/>
                  <a:ext cx="339411" cy="50869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6" name="Straight Arrow Connector 45">
                  <a:extLst>
                    <a:ext uri="{FF2B5EF4-FFF2-40B4-BE49-F238E27FC236}">
                      <a16:creationId xmlns:a16="http://schemas.microsoft.com/office/drawing/2014/main" id="{B18CB28F-0E17-B286-16BE-6E1BD9CE28F4}"/>
                    </a:ext>
                  </a:extLst>
                </xdr:cNvPr>
                <xdr:cNvCxnSpPr>
                  <a:stCxn id="27" idx="6"/>
                  <a:endCxn id="33" idx="2"/>
                </xdr:cNvCxnSpPr>
              </xdr:nvCxnSpPr>
              <xdr:spPr>
                <a:xfrm>
                  <a:off x="1560354" y="7753997"/>
                  <a:ext cx="339411" cy="180848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8" name="Straight Arrow Connector 47">
                  <a:extLst>
                    <a:ext uri="{FF2B5EF4-FFF2-40B4-BE49-F238E27FC236}">
                      <a16:creationId xmlns:a16="http://schemas.microsoft.com/office/drawing/2014/main" id="{E4D2E25E-2020-8B74-8193-2F7A997E1DA1}"/>
                    </a:ext>
                  </a:extLst>
                </xdr:cNvPr>
                <xdr:cNvCxnSpPr>
                  <a:stCxn id="27" idx="6"/>
                  <a:endCxn id="29" idx="2"/>
                </xdr:cNvCxnSpPr>
              </xdr:nvCxnSpPr>
              <xdr:spPr>
                <a:xfrm flipV="1">
                  <a:off x="1560354" y="5985201"/>
                  <a:ext cx="339411" cy="176879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9" name="Straight Arrow Connector 48">
                  <a:extLst>
                    <a:ext uri="{FF2B5EF4-FFF2-40B4-BE49-F238E27FC236}">
                      <a16:creationId xmlns:a16="http://schemas.microsoft.com/office/drawing/2014/main" id="{E8D266C6-71F4-A726-A438-291304BDA8D5}"/>
                    </a:ext>
                  </a:extLst>
                </xdr:cNvPr>
                <xdr:cNvCxnSpPr>
                  <a:stCxn id="30" idx="6"/>
                  <a:endCxn id="35" idx="2"/>
                </xdr:cNvCxnSpPr>
              </xdr:nvCxnSpPr>
              <xdr:spPr>
                <a:xfrm>
                  <a:off x="2793367" y="7098341"/>
                  <a:ext cx="35256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1" name="Straight Arrow Connector 50">
                  <a:extLst>
                    <a:ext uri="{FF2B5EF4-FFF2-40B4-BE49-F238E27FC236}">
                      <a16:creationId xmlns:a16="http://schemas.microsoft.com/office/drawing/2014/main" id="{E2BB5A33-7611-C853-BBEA-13FB167A1687}"/>
                    </a:ext>
                  </a:extLst>
                </xdr:cNvPr>
                <xdr:cNvCxnSpPr>
                  <a:stCxn id="33" idx="6"/>
                  <a:endCxn id="41" idx="2"/>
                </xdr:cNvCxnSpPr>
              </xdr:nvCxnSpPr>
              <xdr:spPr>
                <a:xfrm>
                  <a:off x="2793367" y="9562486"/>
                  <a:ext cx="35256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2" name="Straight Arrow Connector 51">
                  <a:extLst>
                    <a:ext uri="{FF2B5EF4-FFF2-40B4-BE49-F238E27FC236}">
                      <a16:creationId xmlns:a16="http://schemas.microsoft.com/office/drawing/2014/main" id="{BD420698-93E4-C970-5011-24F088BF741D}"/>
                    </a:ext>
                  </a:extLst>
                </xdr:cNvPr>
                <xdr:cNvCxnSpPr>
                  <a:cxnSpLocks/>
                  <a:stCxn id="41" idx="6"/>
                  <a:endCxn id="42" idx="2"/>
                </xdr:cNvCxnSpPr>
              </xdr:nvCxnSpPr>
              <xdr:spPr>
                <a:xfrm>
                  <a:off x="4039534" y="9562486"/>
                  <a:ext cx="38921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4" name="Straight Arrow Connector 53">
                  <a:extLst>
                    <a:ext uri="{FF2B5EF4-FFF2-40B4-BE49-F238E27FC236}">
                      <a16:creationId xmlns:a16="http://schemas.microsoft.com/office/drawing/2014/main" id="{313B4CFF-6C31-E257-2085-3788AB083793}"/>
                    </a:ext>
                  </a:extLst>
                </xdr:cNvPr>
                <xdr:cNvCxnSpPr>
                  <a:cxnSpLocks/>
                  <a:stCxn id="73" idx="6"/>
                  <a:endCxn id="24" idx="2"/>
                </xdr:cNvCxnSpPr>
              </xdr:nvCxnSpPr>
              <xdr:spPr>
                <a:xfrm flipV="1">
                  <a:off x="6803873" y="8262693"/>
                  <a:ext cx="606241" cy="129979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5" name="Straight Arrow Connector 54">
                  <a:extLst>
                    <a:ext uri="{FF2B5EF4-FFF2-40B4-BE49-F238E27FC236}">
                      <a16:creationId xmlns:a16="http://schemas.microsoft.com/office/drawing/2014/main" id="{B9F749F1-30B4-B352-41BC-35CC834BAB19}"/>
                    </a:ext>
                  </a:extLst>
                </xdr:cNvPr>
                <xdr:cNvCxnSpPr>
                  <a:cxnSpLocks/>
                  <a:stCxn id="39" idx="6"/>
                  <a:endCxn id="24" idx="2"/>
                </xdr:cNvCxnSpPr>
              </xdr:nvCxnSpPr>
              <xdr:spPr>
                <a:xfrm>
                  <a:off x="4039534" y="8262693"/>
                  <a:ext cx="337058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7" name="Straight Arrow Connector 56">
                  <a:extLst>
                    <a:ext uri="{FF2B5EF4-FFF2-40B4-BE49-F238E27FC236}">
                      <a16:creationId xmlns:a16="http://schemas.microsoft.com/office/drawing/2014/main" id="{167DAB31-2600-F970-FC54-B3E08C40191D}"/>
                    </a:ext>
                  </a:extLst>
                </xdr:cNvPr>
                <xdr:cNvCxnSpPr>
                  <a:stCxn id="38" idx="6"/>
                  <a:endCxn id="24" idx="2"/>
                </xdr:cNvCxnSpPr>
              </xdr:nvCxnSpPr>
              <xdr:spPr>
                <a:xfrm>
                  <a:off x="6803873" y="5985201"/>
                  <a:ext cx="606241" cy="227749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8" name="Straight Arrow Connector 57">
                  <a:extLst>
                    <a:ext uri="{FF2B5EF4-FFF2-40B4-BE49-F238E27FC236}">
                      <a16:creationId xmlns:a16="http://schemas.microsoft.com/office/drawing/2014/main" id="{A7915702-2573-6ADF-643C-AF72B5222F7B}"/>
                    </a:ext>
                  </a:extLst>
                </xdr:cNvPr>
                <xdr:cNvCxnSpPr>
                  <a:stCxn id="29" idx="6"/>
                  <a:endCxn id="38" idx="2"/>
                </xdr:cNvCxnSpPr>
              </xdr:nvCxnSpPr>
              <xdr:spPr>
                <a:xfrm>
                  <a:off x="2793367" y="5985201"/>
                  <a:ext cx="3116903"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60" name="Straight Arrow Connector 59">
                  <a:extLst>
                    <a:ext uri="{FF2B5EF4-FFF2-40B4-BE49-F238E27FC236}">
                      <a16:creationId xmlns:a16="http://schemas.microsoft.com/office/drawing/2014/main" id="{37FB2191-248B-CD92-2E3F-8739D88B2059}"/>
                    </a:ext>
                  </a:extLst>
                </xdr:cNvPr>
                <xdr:cNvCxnSpPr>
                  <a:stCxn id="41" idx="0"/>
                  <a:endCxn id="39" idx="4"/>
                </xdr:cNvCxnSpPr>
              </xdr:nvCxnSpPr>
              <xdr:spPr>
                <a:xfrm flipV="1">
                  <a:off x="3592733" y="8721072"/>
                  <a:ext cx="0" cy="38303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61" name="Straight Arrow Connector 60">
                  <a:extLst>
                    <a:ext uri="{FF2B5EF4-FFF2-40B4-BE49-F238E27FC236}">
                      <a16:creationId xmlns:a16="http://schemas.microsoft.com/office/drawing/2014/main" id="{F0BB0F4A-4D7B-3C93-2B01-F671A7584CF1}"/>
                    </a:ext>
                  </a:extLst>
                </xdr:cNvPr>
                <xdr:cNvCxnSpPr>
                  <a:stCxn id="36" idx="6"/>
                  <a:endCxn id="38" idx="4"/>
                </xdr:cNvCxnSpPr>
              </xdr:nvCxnSpPr>
              <xdr:spPr>
                <a:xfrm flipV="1">
                  <a:off x="5322349" y="6443580"/>
                  <a:ext cx="1034723" cy="65476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grpSp>
      </xdr:grpSp>
      <xdr:sp macro="" textlink="">
        <xdr:nvSpPr>
          <xdr:cNvPr id="73" name="Oval 72">
            <a:extLst>
              <a:ext uri="{FF2B5EF4-FFF2-40B4-BE49-F238E27FC236}">
                <a16:creationId xmlns:a16="http://schemas.microsoft.com/office/drawing/2014/main" id="{87F86E9E-16EB-4B7E-98F5-3B6C45539DD7}"/>
              </a:ext>
            </a:extLst>
          </xdr:cNvPr>
          <xdr:cNvSpPr/>
        </xdr:nvSpPr>
        <xdr:spPr>
          <a:xfrm>
            <a:off x="7476067" y="9960454"/>
            <a:ext cx="899999" cy="89999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t>M</a:t>
            </a:r>
          </a:p>
          <a:p>
            <a:pPr algn="ctr"/>
            <a:r>
              <a:rPr lang="en-GB" sz="1000"/>
              <a:t>0.50 min</a:t>
            </a:r>
          </a:p>
        </xdr:txBody>
      </xdr:sp>
    </xdr:grpSp>
    <xdr:clientData/>
  </xdr:twoCellAnchor>
  <xdr:twoCellAnchor>
    <xdr:from>
      <xdr:col>10</xdr:col>
      <xdr:colOff>264772</xdr:colOff>
      <xdr:row>29</xdr:row>
      <xdr:rowOff>299738</xdr:rowOff>
    </xdr:from>
    <xdr:to>
      <xdr:col>11</xdr:col>
      <xdr:colOff>242753</xdr:colOff>
      <xdr:row>29</xdr:row>
      <xdr:rowOff>299738</xdr:rowOff>
    </xdr:to>
    <xdr:cxnSp macro="">
      <xdr:nvCxnSpPr>
        <xdr:cNvPr id="79" name="Straight Arrow Connector 78">
          <a:extLst>
            <a:ext uri="{FF2B5EF4-FFF2-40B4-BE49-F238E27FC236}">
              <a16:creationId xmlns:a16="http://schemas.microsoft.com/office/drawing/2014/main" id="{E41686F5-E516-47E9-91EC-262547FA5BCA}"/>
            </a:ext>
          </a:extLst>
        </xdr:cNvPr>
        <xdr:cNvCxnSpPr>
          <a:cxnSpLocks/>
          <a:stCxn id="42" idx="6"/>
          <a:endCxn id="73" idx="2"/>
        </xdr:cNvCxnSpPr>
      </xdr:nvCxnSpPr>
      <xdr:spPr>
        <a:xfrm>
          <a:off x="6406265" y="10114753"/>
          <a:ext cx="59213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576761</xdr:colOff>
      <xdr:row>27</xdr:row>
      <xdr:rowOff>110601</xdr:rowOff>
    </xdr:from>
    <xdr:to>
      <xdr:col>18</xdr:col>
      <xdr:colOff>608462</xdr:colOff>
      <xdr:row>34</xdr:row>
      <xdr:rowOff>0</xdr:rowOff>
    </xdr:to>
    <xdr:grpSp>
      <xdr:nvGrpSpPr>
        <xdr:cNvPr id="128" name="Group 127">
          <a:extLst>
            <a:ext uri="{FF2B5EF4-FFF2-40B4-BE49-F238E27FC236}">
              <a16:creationId xmlns:a16="http://schemas.microsoft.com/office/drawing/2014/main" id="{E415FD52-FDD5-13C7-D610-A580E1BD6B73}"/>
            </a:ext>
          </a:extLst>
        </xdr:cNvPr>
        <xdr:cNvGrpSpPr/>
      </xdr:nvGrpSpPr>
      <xdr:grpSpPr>
        <a:xfrm>
          <a:off x="10274943" y="9219965"/>
          <a:ext cx="1243974" cy="1829035"/>
          <a:chOff x="10218761" y="8029433"/>
          <a:chExt cx="1260000" cy="3900985"/>
        </a:xfrm>
      </xdr:grpSpPr>
      <xdr:cxnSp macro="">
        <xdr:nvCxnSpPr>
          <xdr:cNvPr id="114" name="Straight Arrow Connector 113">
            <a:extLst>
              <a:ext uri="{FF2B5EF4-FFF2-40B4-BE49-F238E27FC236}">
                <a16:creationId xmlns:a16="http://schemas.microsoft.com/office/drawing/2014/main" id="{0836E6C8-7090-942C-FD01-BA6CD41FE046}"/>
              </a:ext>
            </a:extLst>
          </xdr:cNvPr>
          <xdr:cNvCxnSpPr/>
        </xdr:nvCxnSpPr>
        <xdr:spPr>
          <a:xfrm flipH="1">
            <a:off x="10218761" y="8029433"/>
            <a:ext cx="1260000" cy="0"/>
          </a:xfrm>
          <a:prstGeom prst="straightConnector1">
            <a:avLst/>
          </a:prstGeom>
          <a:ln w="57150">
            <a:solidFill>
              <a:schemeClr val="tx1"/>
            </a:solidFill>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xnSp macro="">
        <xdr:nvCxnSpPr>
          <xdr:cNvPr id="116" name="Straight Arrow Connector 115">
            <a:extLst>
              <a:ext uri="{FF2B5EF4-FFF2-40B4-BE49-F238E27FC236}">
                <a16:creationId xmlns:a16="http://schemas.microsoft.com/office/drawing/2014/main" id="{8273ECC9-57F0-4EB6-909F-FFE5285A6452}"/>
              </a:ext>
            </a:extLst>
          </xdr:cNvPr>
          <xdr:cNvCxnSpPr/>
        </xdr:nvCxnSpPr>
        <xdr:spPr>
          <a:xfrm flipH="1" flipV="1">
            <a:off x="10218761" y="8029433"/>
            <a:ext cx="11373" cy="3900985"/>
          </a:xfrm>
          <a:prstGeom prst="straightConnector1">
            <a:avLst/>
          </a:prstGeom>
          <a:ln w="57150">
            <a:solidFill>
              <a:schemeClr val="tx1"/>
            </a:solidFill>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xnSp macro="">
        <xdr:nvCxnSpPr>
          <xdr:cNvPr id="119" name="Straight Arrow Connector 118">
            <a:extLst>
              <a:ext uri="{FF2B5EF4-FFF2-40B4-BE49-F238E27FC236}">
                <a16:creationId xmlns:a16="http://schemas.microsoft.com/office/drawing/2014/main" id="{4C6ABC31-F38A-4599-97CA-40C692E6BF22}"/>
              </a:ext>
            </a:extLst>
          </xdr:cNvPr>
          <xdr:cNvCxnSpPr/>
        </xdr:nvCxnSpPr>
        <xdr:spPr>
          <a:xfrm flipH="1">
            <a:off x="10218761" y="11930418"/>
            <a:ext cx="1260000" cy="0"/>
          </a:xfrm>
          <a:prstGeom prst="straightConnector1">
            <a:avLst/>
          </a:prstGeom>
          <a:ln w="57150">
            <a:solidFill>
              <a:schemeClr val="tx1"/>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16</xdr:col>
      <xdr:colOff>576761</xdr:colOff>
      <xdr:row>41</xdr:row>
      <xdr:rowOff>30988</xdr:rowOff>
    </xdr:from>
    <xdr:to>
      <xdr:col>18</xdr:col>
      <xdr:colOff>608462</xdr:colOff>
      <xdr:row>49</xdr:row>
      <xdr:rowOff>22746</xdr:rowOff>
    </xdr:to>
    <xdr:grpSp>
      <xdr:nvGrpSpPr>
        <xdr:cNvPr id="129" name="Group 128">
          <a:extLst>
            <a:ext uri="{FF2B5EF4-FFF2-40B4-BE49-F238E27FC236}">
              <a16:creationId xmlns:a16="http://schemas.microsoft.com/office/drawing/2014/main" id="{89025606-80A8-441A-8483-FA91A5FD3B9B}"/>
            </a:ext>
          </a:extLst>
        </xdr:cNvPr>
        <xdr:cNvGrpSpPr/>
      </xdr:nvGrpSpPr>
      <xdr:grpSpPr>
        <a:xfrm>
          <a:off x="10274943" y="12603988"/>
          <a:ext cx="1243974" cy="1879440"/>
          <a:chOff x="10218761" y="8029433"/>
          <a:chExt cx="1260000" cy="3900985"/>
        </a:xfrm>
      </xdr:grpSpPr>
      <xdr:cxnSp macro="">
        <xdr:nvCxnSpPr>
          <xdr:cNvPr id="130" name="Straight Arrow Connector 129">
            <a:extLst>
              <a:ext uri="{FF2B5EF4-FFF2-40B4-BE49-F238E27FC236}">
                <a16:creationId xmlns:a16="http://schemas.microsoft.com/office/drawing/2014/main" id="{875104DF-8106-F4B9-1784-F103703B5EED}"/>
              </a:ext>
            </a:extLst>
          </xdr:cNvPr>
          <xdr:cNvCxnSpPr/>
        </xdr:nvCxnSpPr>
        <xdr:spPr>
          <a:xfrm flipH="1">
            <a:off x="10218761" y="8029433"/>
            <a:ext cx="1260000" cy="0"/>
          </a:xfrm>
          <a:prstGeom prst="straightConnector1">
            <a:avLst/>
          </a:prstGeom>
          <a:ln w="57150">
            <a:solidFill>
              <a:schemeClr val="tx1"/>
            </a:solidFill>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xnSp macro="">
        <xdr:nvCxnSpPr>
          <xdr:cNvPr id="131" name="Straight Arrow Connector 130">
            <a:extLst>
              <a:ext uri="{FF2B5EF4-FFF2-40B4-BE49-F238E27FC236}">
                <a16:creationId xmlns:a16="http://schemas.microsoft.com/office/drawing/2014/main" id="{358BF497-6CA9-F1F3-8340-07388E7285E1}"/>
              </a:ext>
            </a:extLst>
          </xdr:cNvPr>
          <xdr:cNvCxnSpPr/>
        </xdr:nvCxnSpPr>
        <xdr:spPr>
          <a:xfrm flipH="1" flipV="1">
            <a:off x="10218761" y="8029433"/>
            <a:ext cx="11373" cy="3900985"/>
          </a:xfrm>
          <a:prstGeom prst="straightConnector1">
            <a:avLst/>
          </a:prstGeom>
          <a:ln w="57150">
            <a:solidFill>
              <a:schemeClr val="tx1"/>
            </a:solidFill>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xnSp macro="">
        <xdr:nvCxnSpPr>
          <xdr:cNvPr id="132" name="Straight Arrow Connector 131">
            <a:extLst>
              <a:ext uri="{FF2B5EF4-FFF2-40B4-BE49-F238E27FC236}">
                <a16:creationId xmlns:a16="http://schemas.microsoft.com/office/drawing/2014/main" id="{357F97F0-E812-8CCC-8FEA-883A18749AA0}"/>
              </a:ext>
            </a:extLst>
          </xdr:cNvPr>
          <xdr:cNvCxnSpPr/>
        </xdr:nvCxnSpPr>
        <xdr:spPr>
          <a:xfrm flipH="1">
            <a:off x="10218761" y="11930418"/>
            <a:ext cx="1260000" cy="0"/>
          </a:xfrm>
          <a:prstGeom prst="straightConnector1">
            <a:avLst/>
          </a:prstGeom>
          <a:ln w="57150">
            <a:solidFill>
              <a:schemeClr val="tx1"/>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5.xml><?xml version="1.0" encoding="utf-8"?>
<xdr:wsDr xmlns:xdr="http://schemas.openxmlformats.org/drawingml/2006/spreadsheetDrawing" xmlns:a="http://schemas.openxmlformats.org/drawingml/2006/main">
  <xdr:twoCellAnchor>
    <xdr:from>
      <xdr:col>10</xdr:col>
      <xdr:colOff>127000</xdr:colOff>
      <xdr:row>44</xdr:row>
      <xdr:rowOff>15875</xdr:rowOff>
    </xdr:from>
    <xdr:to>
      <xdr:col>10</xdr:col>
      <xdr:colOff>1635125</xdr:colOff>
      <xdr:row>46</xdr:row>
      <xdr:rowOff>317500</xdr:rowOff>
    </xdr:to>
    <xdr:cxnSp macro="">
      <xdr:nvCxnSpPr>
        <xdr:cNvPr id="3" name="Straight Arrow Connector 2">
          <a:extLst>
            <a:ext uri="{FF2B5EF4-FFF2-40B4-BE49-F238E27FC236}">
              <a16:creationId xmlns:a16="http://schemas.microsoft.com/office/drawing/2014/main" id="{281AE42D-0689-20A1-DD98-2B247A833129}"/>
            </a:ext>
          </a:extLst>
        </xdr:cNvPr>
        <xdr:cNvCxnSpPr/>
      </xdr:nvCxnSpPr>
      <xdr:spPr>
        <a:xfrm flipH="1" flipV="1">
          <a:off x="13033375" y="12255500"/>
          <a:ext cx="1508125" cy="920750"/>
        </a:xfrm>
        <a:prstGeom prst="straightConnector1">
          <a:avLst/>
        </a:prstGeom>
        <a:ln w="28575">
          <a:tailEnd type="triangle"/>
        </a:ln>
      </xdr:spPr>
      <xdr:style>
        <a:lnRef idx="1">
          <a:schemeClr val="accent2"/>
        </a:lnRef>
        <a:fillRef idx="0">
          <a:schemeClr val="accent2"/>
        </a:fillRef>
        <a:effectRef idx="0">
          <a:schemeClr val="accent2"/>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29</xdr:col>
      <xdr:colOff>182118</xdr:colOff>
      <xdr:row>2</xdr:row>
      <xdr:rowOff>279948</xdr:rowOff>
    </xdr:from>
    <xdr:to>
      <xdr:col>33</xdr:col>
      <xdr:colOff>132137</xdr:colOff>
      <xdr:row>19</xdr:row>
      <xdr:rowOff>95009</xdr:rowOff>
    </xdr:to>
    <xdr:pic>
      <xdr:nvPicPr>
        <xdr:cNvPr id="3" name="Picture 2">
          <a:extLst>
            <a:ext uri="{FF2B5EF4-FFF2-40B4-BE49-F238E27FC236}">
              <a16:creationId xmlns:a16="http://schemas.microsoft.com/office/drawing/2014/main" id="{0010776C-90B2-4264-811B-77EB498BA6C4}"/>
            </a:ext>
            <a:ext uri="{147F2762-F138-4A5C-976F-8EAC2B608ADB}">
              <a16:predDERef xmlns:a16="http://schemas.microsoft.com/office/drawing/2014/main" pred="{11A9596C-8A29-4942-9AA7-A0126F36D998}"/>
            </a:ext>
          </a:extLst>
        </xdr:cNvPr>
        <xdr:cNvPicPr>
          <a:picLocks noChangeAspect="1"/>
        </xdr:cNvPicPr>
      </xdr:nvPicPr>
      <xdr:blipFill>
        <a:blip xmlns:r="http://schemas.openxmlformats.org/officeDocument/2006/relationships" r:embed="rId1"/>
        <a:stretch>
          <a:fillRect/>
        </a:stretch>
      </xdr:blipFill>
      <xdr:spPr>
        <a:xfrm>
          <a:off x="30374251" y="838748"/>
          <a:ext cx="5812283" cy="389049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d.docs.live.net/688c36fb52257ebc/Desktop/TRINCIATUTTO_Da_vedere.xlsx" TargetMode="External"/><Relationship Id="rId1" Type="http://schemas.openxmlformats.org/officeDocument/2006/relationships/externalLinkPath" Target="https://d.docs.live.net/688c36fb52257ebc/Desktop/TRINCIATUTTO_Da_vede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abd88ZEUQUGFstSAXsuOGlJ08BPbTCBCsXoGSRXO77tkJV3wCnwFS7TjAS_f0qqH" itemId="01BEN4AOY3JJJV42Y2CNEYQHBT5RCEHV5G">
      <xxl21:absoluteUrl r:id="rId2"/>
    </xxl21:alternateUrls>
    <sheetNames>
      <sheetName val="$_DATI_BASE"/>
      <sheetName val="$_DB_CICLI"/>
      <sheetName val="$_FABB_PARTI_LOTTI"/>
      <sheetName val="$_FABB_PARTI_LOTTI_TOTALE"/>
      <sheetName val="OP_MONTAGGIO"/>
      <sheetName val="$_MAG_BUFFER"/>
      <sheetName val="Dimensionamento Mag MP"/>
      <sheetName val="Dimensionamento Buffer"/>
      <sheetName val="Dimensionamento Mag PF"/>
      <sheetName val="DIM_Magazzini"/>
      <sheetName val="$_MOV_MATERIALI (2)"/>
      <sheetName val="DIMENSIONI E PESI"/>
      <sheetName val="ALTRI_DATI"/>
      <sheetName val="DIM MAG MP ALBERI"/>
      <sheetName val="DIM MAG PF"/>
    </sheetNames>
    <sheetDataSet>
      <sheetData sheetId="0"/>
      <sheetData sheetId="1"/>
      <sheetData sheetId="2">
        <row r="13">
          <cell r="L13">
            <v>18511</v>
          </cell>
        </row>
        <row r="14">
          <cell r="L14">
            <v>18889</v>
          </cell>
        </row>
        <row r="15">
          <cell r="L15">
            <v>7933</v>
          </cell>
        </row>
        <row r="16">
          <cell r="L16">
            <v>8095</v>
          </cell>
        </row>
        <row r="17">
          <cell r="L17">
            <v>57118</v>
          </cell>
        </row>
        <row r="18">
          <cell r="L18">
            <v>58285</v>
          </cell>
        </row>
        <row r="19">
          <cell r="L19">
            <v>52887</v>
          </cell>
        </row>
        <row r="20">
          <cell r="L20">
            <v>53967</v>
          </cell>
        </row>
      </sheetData>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persons/person.xml><?xml version="1.0" encoding="utf-8"?>
<personList xmlns="http://schemas.microsoft.com/office/spreadsheetml/2018/threadedcomments" xmlns:x="http://schemas.openxmlformats.org/spreadsheetml/2006/main">
  <person displayName="PULVIRENTI LUCA" id="{3A278958-B094-4481-8685-C67EF589D284}" userId="S::S297410@studenti.polito.it::2f021105-1d25-4a67-b1ea-521eeeec0974" providerId="AD"/>
</personList>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4" dT="2024-01-04T16:02:32.38" personId="{3A278958-B094-4481-8685-C67EF589D284}" id="{E36E1B73-B1D9-48D6-87C6-6406C8666AF2}">
    <text>Calcolarsi un area media pesata per quanto riguarda l'area dell'unità di carico</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4.xml.rels><?xml version="1.0" encoding="UTF-8" standalone="yes"?>
<Relationships xmlns="http://schemas.openxmlformats.org/package/2006/relationships"><Relationship Id="rId3" Type="http://schemas.openxmlformats.org/officeDocument/2006/relationships/hyperlink" Target="https://www.directindustry.it/prod/atis-srl/product-38831-2038630.html" TargetMode="External"/><Relationship Id="rId2" Type="http://schemas.openxmlformats.org/officeDocument/2006/relationships/hyperlink" Target="https://www.gaesco.it/scaffali-portapallet?gad_source=1&amp;gclid=CjwKCAiA1fqrBhA1EiwAMU5m_8DlHw3anCP_I8BOdwERmPFlwSR3jtrnDDPxFvy6Yh8wKulQmx5jthoC0H8QAvD_BwE" TargetMode="External"/><Relationship Id="rId1" Type="http://schemas.openxmlformats.org/officeDocument/2006/relationships/hyperlink" Target="https://toyota-forklifts.it/i-nostri-carrelli/carrelli-retrattili/per-corridoi-di-stivaggio-stretti/bt-reflex-16t-stretto/" TargetMode="External"/><Relationship Id="rId4"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D574B-AF23-42B5-B4E2-BCDDDE69EBE4}">
  <dimension ref="A1:AI123"/>
  <sheetViews>
    <sheetView topLeftCell="D1" zoomScale="66" zoomScaleNormal="207" workbookViewId="0">
      <pane ySplit="1" topLeftCell="A8" activePane="bottomLeft" state="frozen"/>
      <selection activeCell="U47" sqref="U47"/>
      <selection pane="bottomLeft" activeCell="AI74" sqref="AI74"/>
    </sheetView>
  </sheetViews>
  <sheetFormatPr defaultRowHeight="14.4" x14ac:dyDescent="0.3"/>
  <cols>
    <col min="1" max="1" width="9.6640625" customWidth="1"/>
    <col min="2" max="2" width="14.44140625" customWidth="1"/>
    <col min="3" max="3" width="11.88671875" customWidth="1"/>
    <col min="4" max="5" width="11.6640625" customWidth="1"/>
    <col min="6" max="6" width="12.109375" customWidth="1"/>
    <col min="7" max="7" width="13.33203125" customWidth="1"/>
    <col min="8" max="8" width="19.6640625" customWidth="1"/>
    <col min="9" max="9" width="11.88671875" customWidth="1"/>
    <col min="10" max="10" width="19.109375" customWidth="1"/>
    <col min="11" max="11" width="15.88671875" customWidth="1"/>
    <col min="12" max="12" width="18.33203125" customWidth="1"/>
    <col min="13" max="13" width="10.109375" customWidth="1"/>
    <col min="16" max="16" width="12.44140625" customWidth="1"/>
    <col min="17" max="17" width="13" customWidth="1"/>
    <col min="18" max="18" width="13.88671875" customWidth="1"/>
    <col min="19" max="19" width="15.33203125" customWidth="1"/>
    <col min="20" max="20" width="17" customWidth="1"/>
    <col min="21" max="21" width="15.44140625" customWidth="1"/>
    <col min="22" max="22" width="13" customWidth="1"/>
    <col min="23" max="23" width="10.33203125" customWidth="1"/>
    <col min="28" max="28" width="18.33203125" customWidth="1"/>
  </cols>
  <sheetData>
    <row r="1" spans="3:25" x14ac:dyDescent="0.3">
      <c r="H1" s="1"/>
      <c r="I1" s="1"/>
      <c r="J1" s="1"/>
      <c r="K1" s="1"/>
      <c r="L1" s="1"/>
      <c r="M1" s="1"/>
      <c r="N1" s="1"/>
      <c r="O1" s="1"/>
      <c r="P1" s="1"/>
      <c r="Q1" s="1"/>
      <c r="R1" s="3"/>
      <c r="S1" s="1"/>
      <c r="T1" s="1"/>
      <c r="U1" s="1"/>
      <c r="V1" s="1"/>
      <c r="W1" s="1"/>
      <c r="X1" s="1"/>
      <c r="Y1" s="1"/>
    </row>
    <row r="2" spans="3:25" x14ac:dyDescent="0.3">
      <c r="H2" s="1"/>
      <c r="I2" s="1"/>
      <c r="J2" s="1"/>
      <c r="K2" s="1"/>
      <c r="L2" s="1"/>
      <c r="M2" s="1"/>
      <c r="P2" s="1"/>
      <c r="Q2" s="1"/>
      <c r="R2" s="3"/>
      <c r="S2" s="1"/>
      <c r="T2" s="1"/>
      <c r="U2" s="1"/>
      <c r="V2" s="1"/>
      <c r="W2" s="1"/>
      <c r="X2" s="1"/>
      <c r="Y2" s="1"/>
    </row>
    <row r="3" spans="3:25" x14ac:dyDescent="0.3">
      <c r="J3" s="1"/>
      <c r="M3" s="1"/>
      <c r="Q3" s="1"/>
      <c r="R3" s="3"/>
      <c r="U3" s="1"/>
      <c r="V3" s="1"/>
      <c r="W3" s="1"/>
      <c r="X3" s="1"/>
      <c r="Y3" s="1"/>
    </row>
    <row r="4" spans="3:25" x14ac:dyDescent="0.3">
      <c r="D4" s="633" t="s">
        <v>0</v>
      </c>
      <c r="E4" s="634"/>
      <c r="F4" s="634"/>
      <c r="G4" s="634"/>
      <c r="H4" s="634"/>
      <c r="I4" s="21" t="s">
        <v>1</v>
      </c>
      <c r="J4" s="1"/>
      <c r="K4" s="635" t="s">
        <v>2</v>
      </c>
      <c r="L4" s="636"/>
      <c r="M4" s="637"/>
      <c r="N4" s="1"/>
      <c r="O4" s="633" t="s">
        <v>3</v>
      </c>
      <c r="P4" s="638"/>
      <c r="Q4" s="1"/>
      <c r="R4" s="633" t="s">
        <v>4</v>
      </c>
      <c r="S4" s="638"/>
      <c r="T4" s="1"/>
      <c r="U4" s="633" t="s">
        <v>5</v>
      </c>
      <c r="V4" s="638"/>
      <c r="W4" s="1"/>
      <c r="X4" s="1"/>
      <c r="Y4" s="1"/>
    </row>
    <row r="5" spans="3:25" ht="15.6" x14ac:dyDescent="0.3">
      <c r="D5" s="50" t="s">
        <v>6</v>
      </c>
      <c r="E5" s="51"/>
      <c r="F5" s="51"/>
      <c r="G5" s="51"/>
      <c r="H5" s="52"/>
      <c r="I5" s="53">
        <v>200000</v>
      </c>
      <c r="K5" s="54" t="s">
        <v>7</v>
      </c>
      <c r="L5" s="55"/>
      <c r="M5" s="56">
        <v>220</v>
      </c>
      <c r="O5" s="6" t="s">
        <v>8</v>
      </c>
      <c r="P5" s="49">
        <f>SUM(V5:V8)/4</f>
        <v>10</v>
      </c>
      <c r="Q5" s="1"/>
      <c r="R5" s="18" t="s">
        <v>9</v>
      </c>
      <c r="S5" s="57">
        <v>12</v>
      </c>
      <c r="T5" s="1"/>
      <c r="U5" s="58" t="s">
        <v>10</v>
      </c>
      <c r="V5" s="57">
        <v>16</v>
      </c>
      <c r="X5" s="1"/>
      <c r="Y5" s="1"/>
    </row>
    <row r="6" spans="3:25" ht="16.2" x14ac:dyDescent="0.35">
      <c r="C6" s="1"/>
      <c r="D6" s="50" t="s">
        <v>11</v>
      </c>
      <c r="E6" s="51"/>
      <c r="F6" s="51"/>
      <c r="G6" s="51"/>
      <c r="H6" s="52"/>
      <c r="I6" s="53">
        <f>I5/M5</f>
        <v>909.09090909090912</v>
      </c>
      <c r="J6" s="1"/>
      <c r="K6" s="7" t="s">
        <v>12</v>
      </c>
      <c r="L6" s="6"/>
      <c r="M6" s="49">
        <v>22</v>
      </c>
      <c r="O6" s="6" t="s">
        <v>13</v>
      </c>
      <c r="P6" s="49">
        <f>SUM(S5:S8)/4</f>
        <v>5.25</v>
      </c>
      <c r="Q6" s="13"/>
      <c r="R6" s="18" t="s">
        <v>14</v>
      </c>
      <c r="S6" s="57">
        <v>7</v>
      </c>
      <c r="T6" s="13"/>
      <c r="U6" s="59" t="s">
        <v>15</v>
      </c>
      <c r="V6" s="57">
        <v>20</v>
      </c>
      <c r="X6" s="1"/>
    </row>
    <row r="7" spans="3:25" ht="15.6" x14ac:dyDescent="0.3">
      <c r="C7" s="1"/>
      <c r="D7" s="60" t="s">
        <v>16</v>
      </c>
      <c r="E7" s="61"/>
      <c r="F7" s="61"/>
      <c r="G7" s="61"/>
      <c r="H7" s="62"/>
      <c r="I7" s="63">
        <f>I5/10</f>
        <v>20000</v>
      </c>
      <c r="K7" s="7" t="s">
        <v>17</v>
      </c>
      <c r="L7" s="6"/>
      <c r="M7" s="49">
        <v>15</v>
      </c>
      <c r="O7" s="1"/>
      <c r="P7" s="1"/>
      <c r="Q7" s="1"/>
      <c r="R7" s="18" t="s">
        <v>18</v>
      </c>
      <c r="S7" s="64">
        <v>1</v>
      </c>
      <c r="T7" s="65"/>
      <c r="U7" s="58" t="s">
        <v>19</v>
      </c>
      <c r="V7" s="64">
        <v>3</v>
      </c>
      <c r="X7" s="1"/>
    </row>
    <row r="8" spans="3:25" x14ac:dyDescent="0.3">
      <c r="C8" s="1"/>
      <c r="K8" s="7" t="s">
        <v>20</v>
      </c>
      <c r="L8" s="6"/>
      <c r="M8" s="49">
        <f>M6*M7</f>
        <v>330</v>
      </c>
      <c r="O8" s="1"/>
      <c r="R8" s="18" t="s">
        <v>21</v>
      </c>
      <c r="S8" s="57">
        <v>1</v>
      </c>
      <c r="U8" s="66" t="s">
        <v>22</v>
      </c>
      <c r="V8" s="57">
        <v>1</v>
      </c>
      <c r="X8" s="1"/>
    </row>
    <row r="9" spans="3:25" ht="14.4" customHeight="1" x14ac:dyDescent="0.3">
      <c r="C9" s="1"/>
      <c r="K9" s="1"/>
      <c r="L9" s="1"/>
      <c r="M9" s="1"/>
      <c r="N9" s="1"/>
      <c r="O9" s="1"/>
      <c r="P9" s="1"/>
      <c r="Q9" s="1"/>
      <c r="X9" s="1"/>
    </row>
    <row r="10" spans="3:25" ht="14.4" customHeight="1" x14ac:dyDescent="0.3">
      <c r="C10" s="1"/>
      <c r="D10" s="67" t="s">
        <v>23</v>
      </c>
      <c r="E10" s="67"/>
      <c r="F10" s="67"/>
      <c r="G10" s="67"/>
      <c r="H10" s="67"/>
      <c r="I10" s="21" t="s">
        <v>1</v>
      </c>
      <c r="K10" s="1"/>
      <c r="L10" s="1"/>
      <c r="M10" s="1"/>
      <c r="N10" s="1"/>
      <c r="O10" s="1"/>
      <c r="P10" s="1"/>
      <c r="Q10" s="1"/>
      <c r="X10" s="1"/>
    </row>
    <row r="11" spans="3:25" ht="14.4" customHeight="1" x14ac:dyDescent="0.3">
      <c r="C11" s="1"/>
      <c r="D11" s="50" t="s">
        <v>24</v>
      </c>
      <c r="E11" s="51"/>
      <c r="F11" s="51"/>
      <c r="G11" s="51"/>
      <c r="H11" s="51"/>
      <c r="I11" s="68">
        <f>((2*(P5+P6)/30)*I7)</f>
        <v>20333.333333333332</v>
      </c>
      <c r="K11" s="69" t="s">
        <v>25</v>
      </c>
      <c r="L11" s="1"/>
      <c r="M11" s="1"/>
      <c r="N11" s="1"/>
      <c r="O11" s="1"/>
      <c r="P11" s="1"/>
      <c r="Q11" s="1"/>
      <c r="X11" s="1"/>
    </row>
    <row r="12" spans="3:25" ht="14.4" customHeight="1" x14ac:dyDescent="0.3">
      <c r="C12" s="1"/>
      <c r="D12" s="50" t="s">
        <v>26</v>
      </c>
      <c r="E12" s="51"/>
      <c r="F12" s="51"/>
      <c r="G12" s="51"/>
      <c r="H12" s="61"/>
      <c r="I12" s="68">
        <f>_xlfn.CEILING.MATH(((2*(P5+P6)/30)*I6))</f>
        <v>925</v>
      </c>
      <c r="L12" s="1"/>
      <c r="M12" s="1"/>
      <c r="N12" s="70"/>
      <c r="O12" s="71"/>
      <c r="T12" s="70"/>
      <c r="U12" s="70"/>
      <c r="V12" s="70"/>
      <c r="X12" s="1"/>
    </row>
    <row r="13" spans="3:25" ht="14.4" customHeight="1" thickBot="1" x14ac:dyDescent="0.35">
      <c r="C13" s="1"/>
      <c r="D13" s="50" t="s">
        <v>27</v>
      </c>
      <c r="E13" s="11"/>
      <c r="F13" s="11"/>
      <c r="G13" s="11"/>
      <c r="H13" s="11"/>
      <c r="I13" s="68">
        <f>_xlfn.CEILING.MATH(((2*(P5+P6)/30)*I5))</f>
        <v>203334</v>
      </c>
      <c r="L13" s="1"/>
      <c r="M13" s="1"/>
      <c r="N13" s="70"/>
      <c r="O13" s="71"/>
      <c r="P13" s="71"/>
      <c r="Q13" s="71"/>
      <c r="R13" s="71"/>
      <c r="S13" s="70"/>
      <c r="T13" s="70"/>
      <c r="U13" s="70"/>
      <c r="V13" s="70"/>
      <c r="W13" s="72"/>
      <c r="X13" s="1"/>
    </row>
    <row r="14" spans="3:25" ht="21" customHeight="1" x14ac:dyDescent="0.3">
      <c r="C14" s="1"/>
      <c r="L14" s="1"/>
      <c r="M14" s="1"/>
      <c r="N14" s="639" t="s">
        <v>28</v>
      </c>
      <c r="O14" s="641" t="s">
        <v>29</v>
      </c>
      <c r="P14" s="641"/>
      <c r="Q14" s="641"/>
      <c r="R14" s="641"/>
      <c r="S14" s="641" t="s">
        <v>30</v>
      </c>
      <c r="T14" s="641" t="s">
        <v>31</v>
      </c>
      <c r="U14" s="641" t="s">
        <v>32</v>
      </c>
      <c r="V14" s="644" t="s">
        <v>33</v>
      </c>
      <c r="W14" s="72"/>
      <c r="X14" s="1"/>
    </row>
    <row r="15" spans="3:25" ht="21" customHeight="1" x14ac:dyDescent="0.3">
      <c r="C15" s="1"/>
      <c r="L15" s="1"/>
      <c r="M15" s="1"/>
      <c r="N15" s="640"/>
      <c r="O15" s="642"/>
      <c r="P15" s="642"/>
      <c r="Q15" s="642"/>
      <c r="R15" s="642"/>
      <c r="S15" s="643"/>
      <c r="T15" s="643"/>
      <c r="U15" s="643"/>
      <c r="V15" s="645"/>
      <c r="W15" s="72"/>
      <c r="X15" s="1"/>
    </row>
    <row r="16" spans="3:25" ht="14.4" customHeight="1" x14ac:dyDescent="0.3">
      <c r="C16" s="1"/>
      <c r="D16" s="590" t="s">
        <v>34</v>
      </c>
      <c r="E16" s="590"/>
      <c r="F16" s="590"/>
      <c r="G16" s="590"/>
      <c r="H16" s="590"/>
      <c r="I16" s="73" t="s">
        <v>35</v>
      </c>
      <c r="J16" s="6" t="s">
        <v>36</v>
      </c>
      <c r="K16" s="196" t="s">
        <v>37</v>
      </c>
      <c r="L16" s="1"/>
      <c r="M16" s="1"/>
      <c r="N16" s="601" t="s">
        <v>38</v>
      </c>
      <c r="O16" s="592" t="s">
        <v>39</v>
      </c>
      <c r="P16" s="592"/>
      <c r="Q16" s="592"/>
      <c r="R16" s="592"/>
      <c r="S16" s="629">
        <v>0.97</v>
      </c>
      <c r="T16" s="629">
        <v>0.99</v>
      </c>
      <c r="U16" s="629">
        <v>1</v>
      </c>
      <c r="V16" s="631">
        <f>S16*T16</f>
        <v>0.96029999999999993</v>
      </c>
      <c r="W16" s="72"/>
      <c r="X16" s="1"/>
    </row>
    <row r="17" spans="3:24" ht="14.4" customHeight="1" x14ac:dyDescent="0.3">
      <c r="C17" s="1"/>
      <c r="D17" s="74"/>
      <c r="E17" s="74"/>
      <c r="F17" s="74"/>
      <c r="G17" s="74"/>
      <c r="H17" s="74"/>
      <c r="I17" s="73"/>
      <c r="J17" s="6"/>
      <c r="K17" s="196"/>
      <c r="L17" s="1"/>
      <c r="M17" s="1"/>
      <c r="N17" s="601"/>
      <c r="O17" s="592"/>
      <c r="P17" s="592"/>
      <c r="Q17" s="592"/>
      <c r="R17" s="592"/>
      <c r="S17" s="629"/>
      <c r="T17" s="629"/>
      <c r="U17" s="629"/>
      <c r="V17" s="631"/>
      <c r="W17" s="72"/>
      <c r="X17" s="72"/>
    </row>
    <row r="18" spans="3:24" ht="14.4" customHeight="1" x14ac:dyDescent="0.3">
      <c r="C18" s="1"/>
      <c r="D18" s="75" t="s">
        <v>40</v>
      </c>
      <c r="E18" s="75"/>
      <c r="F18" s="75"/>
      <c r="G18" s="75"/>
      <c r="H18" s="75"/>
      <c r="I18" s="76">
        <v>0.7</v>
      </c>
      <c r="J18" s="73">
        <f>_xlfn.CEILING.MATH(I11*I18)</f>
        <v>14234</v>
      </c>
      <c r="K18" s="197">
        <f>I12*I18</f>
        <v>647.5</v>
      </c>
      <c r="L18" s="1"/>
      <c r="M18" s="1"/>
      <c r="N18" s="601"/>
      <c r="O18" s="592"/>
      <c r="P18" s="592"/>
      <c r="Q18" s="592"/>
      <c r="R18" s="592"/>
      <c r="S18" s="629"/>
      <c r="T18" s="629"/>
      <c r="U18" s="629"/>
      <c r="V18" s="631"/>
      <c r="W18" s="72"/>
      <c r="X18" s="1"/>
    </row>
    <row r="19" spans="3:24" ht="15.6" x14ac:dyDescent="0.3">
      <c r="C19" s="1"/>
      <c r="D19" s="75"/>
      <c r="E19" s="75"/>
      <c r="F19" s="75"/>
      <c r="G19" s="75"/>
      <c r="H19" s="75"/>
      <c r="I19" s="76"/>
      <c r="J19" s="73"/>
      <c r="K19" s="198"/>
      <c r="L19" s="8"/>
      <c r="M19" s="1"/>
      <c r="N19" s="601"/>
      <c r="O19" s="592"/>
      <c r="P19" s="592"/>
      <c r="Q19" s="592"/>
      <c r="R19" s="592"/>
      <c r="S19" s="629"/>
      <c r="T19" s="629"/>
      <c r="U19" s="629"/>
      <c r="V19" s="631"/>
      <c r="W19" s="72"/>
      <c r="X19" s="1"/>
    </row>
    <row r="20" spans="3:24" ht="14.4" customHeight="1" x14ac:dyDescent="0.3">
      <c r="C20" s="1"/>
      <c r="D20" s="75" t="s">
        <v>41</v>
      </c>
      <c r="E20" s="75"/>
      <c r="F20" s="75"/>
      <c r="G20" s="75"/>
      <c r="H20" s="75"/>
      <c r="I20" s="76">
        <v>0.3</v>
      </c>
      <c r="J20" s="73">
        <f>_xlfn.CEILING.MATH(I11*I20)</f>
        <v>6100</v>
      </c>
      <c r="K20" s="197">
        <f>I12*I20</f>
        <v>277.5</v>
      </c>
      <c r="L20" s="1"/>
      <c r="M20" s="1"/>
      <c r="N20" s="601" t="s">
        <v>42</v>
      </c>
      <c r="O20" s="592" t="s">
        <v>43</v>
      </c>
      <c r="P20" s="592"/>
      <c r="Q20" s="592"/>
      <c r="R20" s="592"/>
      <c r="S20" s="629">
        <v>0.98</v>
      </c>
      <c r="T20" s="629">
        <v>0.97</v>
      </c>
      <c r="U20" s="629">
        <v>0.97</v>
      </c>
      <c r="V20" s="631">
        <f>S20*T20</f>
        <v>0.9506</v>
      </c>
      <c r="W20" s="72"/>
      <c r="X20" s="1"/>
    </row>
    <row r="21" spans="3:24" x14ac:dyDescent="0.3">
      <c r="C21" s="1"/>
      <c r="J21" s="2"/>
      <c r="L21" s="1"/>
      <c r="M21" s="1"/>
      <c r="N21" s="601"/>
      <c r="O21" s="592"/>
      <c r="P21" s="592"/>
      <c r="Q21" s="592"/>
      <c r="R21" s="592"/>
      <c r="S21" s="629"/>
      <c r="T21" s="629"/>
      <c r="U21" s="629"/>
      <c r="V21" s="631"/>
      <c r="W21" s="72"/>
      <c r="X21" s="1"/>
    </row>
    <row r="22" spans="3:24" ht="15.6" x14ac:dyDescent="0.3">
      <c r="C22" s="1"/>
      <c r="I22" s="77"/>
      <c r="L22" s="1"/>
      <c r="M22" s="1"/>
      <c r="N22" s="601"/>
      <c r="O22" s="592"/>
      <c r="P22" s="592"/>
      <c r="Q22" s="592"/>
      <c r="R22" s="592"/>
      <c r="S22" s="629"/>
      <c r="T22" s="629"/>
      <c r="U22" s="629"/>
      <c r="V22" s="631"/>
      <c r="W22" s="72"/>
      <c r="X22" s="1"/>
    </row>
    <row r="23" spans="3:24" ht="15.6" x14ac:dyDescent="0.3">
      <c r="C23" s="1"/>
      <c r="D23" s="78"/>
      <c r="E23" s="78"/>
      <c r="F23" s="78"/>
      <c r="G23" s="78"/>
      <c r="H23" s="78"/>
      <c r="I23" s="211"/>
      <c r="J23" s="1"/>
      <c r="K23" s="1"/>
      <c r="L23" s="1"/>
      <c r="M23" s="1"/>
      <c r="N23" s="601"/>
      <c r="O23" s="592"/>
      <c r="P23" s="592"/>
      <c r="Q23" s="592"/>
      <c r="R23" s="592"/>
      <c r="S23" s="629"/>
      <c r="T23" s="629"/>
      <c r="U23" s="629"/>
      <c r="V23" s="631"/>
      <c r="W23" s="72"/>
      <c r="X23" s="1"/>
    </row>
    <row r="24" spans="3:24" ht="15.6" x14ac:dyDescent="0.3">
      <c r="C24" s="1"/>
      <c r="D24" s="78"/>
      <c r="E24" s="78"/>
      <c r="F24" s="78"/>
      <c r="G24" s="78"/>
      <c r="H24" s="78"/>
      <c r="I24" s="77"/>
      <c r="J24" s="1"/>
      <c r="K24" s="1"/>
      <c r="L24" s="1"/>
      <c r="M24" s="1"/>
      <c r="N24" s="601"/>
      <c r="O24" s="592"/>
      <c r="P24" s="592"/>
      <c r="Q24" s="592"/>
      <c r="R24" s="592"/>
      <c r="S24" s="629"/>
      <c r="T24" s="629"/>
      <c r="U24" s="629"/>
      <c r="V24" s="631"/>
      <c r="W24" s="72"/>
      <c r="X24" s="1"/>
    </row>
    <row r="25" spans="3:24" ht="15.6" x14ac:dyDescent="0.3">
      <c r="C25" s="1"/>
      <c r="D25" s="78"/>
      <c r="E25" s="78"/>
      <c r="F25" s="78"/>
      <c r="G25" s="78"/>
      <c r="H25" s="78"/>
      <c r="I25" s="77"/>
      <c r="J25" s="1"/>
      <c r="K25" s="1"/>
      <c r="L25" s="1"/>
      <c r="M25" s="1"/>
      <c r="N25" s="601"/>
      <c r="O25" s="592"/>
      <c r="P25" s="592"/>
      <c r="Q25" s="592"/>
      <c r="R25" s="592"/>
      <c r="S25" s="629"/>
      <c r="T25" s="629"/>
      <c r="U25" s="629"/>
      <c r="V25" s="631"/>
      <c r="W25" s="72"/>
      <c r="X25" s="1"/>
    </row>
    <row r="26" spans="3:24" ht="15.6" x14ac:dyDescent="0.3">
      <c r="C26" s="1"/>
      <c r="D26" s="78"/>
      <c r="E26" s="78"/>
      <c r="F26" s="78"/>
      <c r="G26" s="78"/>
      <c r="H26" s="78"/>
      <c r="I26" s="77"/>
      <c r="J26" s="1"/>
      <c r="K26" s="1"/>
      <c r="L26" s="1"/>
      <c r="M26" s="1"/>
      <c r="N26" s="601" t="s">
        <v>44</v>
      </c>
      <c r="O26" s="592" t="s">
        <v>45</v>
      </c>
      <c r="P26" s="592"/>
      <c r="Q26" s="592"/>
      <c r="R26" s="592"/>
      <c r="S26" s="629">
        <v>0.98</v>
      </c>
      <c r="T26" s="629">
        <v>0.99</v>
      </c>
      <c r="U26" s="629">
        <v>0.98</v>
      </c>
      <c r="V26" s="631">
        <f>S26*T26</f>
        <v>0.97019999999999995</v>
      </c>
      <c r="W26" s="72"/>
      <c r="X26" s="1"/>
    </row>
    <row r="27" spans="3:24" ht="15.6" x14ac:dyDescent="0.3">
      <c r="C27" s="1"/>
      <c r="D27" s="78"/>
      <c r="E27" s="78"/>
      <c r="F27" s="78"/>
      <c r="G27" s="78"/>
      <c r="H27" s="78"/>
      <c r="I27" s="77"/>
      <c r="J27" s="1"/>
      <c r="K27" s="1"/>
      <c r="L27" s="1"/>
      <c r="M27" s="1"/>
      <c r="N27" s="601"/>
      <c r="O27" s="592"/>
      <c r="P27" s="592"/>
      <c r="Q27" s="592"/>
      <c r="R27" s="592"/>
      <c r="S27" s="629"/>
      <c r="T27" s="629"/>
      <c r="U27" s="629"/>
      <c r="V27" s="631"/>
      <c r="W27" s="72"/>
      <c r="X27" s="1"/>
    </row>
    <row r="28" spans="3:24" ht="15.6" x14ac:dyDescent="0.3">
      <c r="C28" s="1"/>
      <c r="D28" s="78"/>
      <c r="E28" s="78"/>
      <c r="F28" s="78"/>
      <c r="G28" s="78"/>
      <c r="H28" s="78"/>
      <c r="I28" s="77"/>
      <c r="J28" s="1"/>
      <c r="K28" s="1"/>
      <c r="L28" s="1"/>
      <c r="M28" s="1"/>
      <c r="N28" s="601" t="s">
        <v>46</v>
      </c>
      <c r="O28" s="592" t="s">
        <v>47</v>
      </c>
      <c r="P28" s="592"/>
      <c r="Q28" s="592"/>
      <c r="R28" s="592"/>
      <c r="S28" s="629">
        <v>0.98</v>
      </c>
      <c r="T28" s="629">
        <v>0.99</v>
      </c>
      <c r="U28" s="629">
        <v>0.99</v>
      </c>
      <c r="V28" s="631">
        <f>S28*T28</f>
        <v>0.97019999999999995</v>
      </c>
      <c r="W28" s="72"/>
      <c r="X28" s="1"/>
    </row>
    <row r="29" spans="3:24" ht="16.2" thickBot="1" x14ac:dyDescent="0.35">
      <c r="C29" s="1"/>
      <c r="D29" s="78"/>
      <c r="E29" s="78"/>
      <c r="F29" s="78"/>
      <c r="G29" s="78"/>
      <c r="H29" s="78"/>
      <c r="I29" s="77"/>
      <c r="J29" s="1"/>
      <c r="K29" s="1"/>
      <c r="L29" s="1"/>
      <c r="M29" s="1"/>
      <c r="N29" s="602"/>
      <c r="O29" s="586"/>
      <c r="P29" s="586"/>
      <c r="Q29" s="586"/>
      <c r="R29" s="586"/>
      <c r="S29" s="630"/>
      <c r="T29" s="630"/>
      <c r="U29" s="630"/>
      <c r="V29" s="632"/>
      <c r="W29" s="72"/>
      <c r="X29" s="1"/>
    </row>
    <row r="30" spans="3:24" x14ac:dyDescent="0.3">
      <c r="C30" s="1"/>
      <c r="D30" s="13"/>
      <c r="E30" s="13"/>
      <c r="F30" s="79"/>
      <c r="G30" s="79"/>
      <c r="H30" s="79"/>
      <c r="I30" s="79"/>
      <c r="J30" s="79"/>
      <c r="K30" s="1"/>
      <c r="L30" s="1"/>
      <c r="M30" s="1"/>
      <c r="N30" s="13"/>
      <c r="O30" s="79"/>
      <c r="P30" s="79"/>
      <c r="Q30" s="79"/>
      <c r="R30" s="79"/>
      <c r="S30" s="80"/>
      <c r="T30" s="80"/>
      <c r="U30" s="80"/>
      <c r="V30" s="80"/>
      <c r="W30" s="72"/>
      <c r="X30" s="1"/>
    </row>
    <row r="31" spans="3:24" ht="15" thickBot="1" x14ac:dyDescent="0.35">
      <c r="C31" s="1"/>
      <c r="D31" s="13"/>
      <c r="E31" s="13"/>
      <c r="F31" s="79"/>
      <c r="G31" s="79"/>
      <c r="H31" s="79"/>
      <c r="I31" s="79"/>
      <c r="J31" s="79"/>
      <c r="K31" s="1"/>
      <c r="L31" s="1"/>
      <c r="M31" s="1"/>
      <c r="N31" s="13"/>
      <c r="O31" s="79"/>
      <c r="P31" s="79"/>
      <c r="Q31" s="79"/>
      <c r="R31" s="79"/>
      <c r="S31" s="80"/>
      <c r="T31" s="80"/>
      <c r="U31" s="80"/>
      <c r="V31" s="80"/>
      <c r="W31" s="72"/>
      <c r="X31" s="1"/>
    </row>
    <row r="32" spans="3:24" x14ac:dyDescent="0.3">
      <c r="D32" s="13"/>
      <c r="E32" s="13"/>
      <c r="F32" s="79"/>
      <c r="G32" s="79"/>
      <c r="H32" s="79"/>
      <c r="I32" s="79"/>
      <c r="J32" s="79"/>
      <c r="K32" s="1"/>
      <c r="L32" s="1"/>
      <c r="M32" s="1"/>
      <c r="N32" s="617" t="s">
        <v>48</v>
      </c>
      <c r="O32" s="618"/>
      <c r="P32" s="618"/>
      <c r="Q32" s="619" t="s">
        <v>49</v>
      </c>
      <c r="R32" s="620" t="s">
        <v>50</v>
      </c>
      <c r="S32" s="80"/>
      <c r="T32" s="80"/>
      <c r="U32" s="80"/>
      <c r="V32" s="80"/>
      <c r="W32" s="72"/>
      <c r="X32" s="1"/>
    </row>
    <row r="33" spans="2:24" ht="15" thickBot="1" x14ac:dyDescent="0.35">
      <c r="C33" s="1"/>
      <c r="D33" s="1"/>
      <c r="E33" s="1"/>
      <c r="F33" s="588"/>
      <c r="G33" s="588"/>
      <c r="H33" s="588"/>
      <c r="I33" s="588"/>
      <c r="J33" s="588"/>
      <c r="K33" s="1"/>
      <c r="L33" s="1"/>
      <c r="M33" s="1"/>
      <c r="N33" s="599"/>
      <c r="O33" s="600"/>
      <c r="P33" s="600"/>
      <c r="Q33" s="593"/>
      <c r="R33" s="612"/>
      <c r="S33" s="79"/>
      <c r="T33" s="79"/>
      <c r="U33" s="79"/>
      <c r="V33" s="79"/>
      <c r="W33" s="72"/>
      <c r="X33" s="1"/>
    </row>
    <row r="34" spans="2:24" x14ac:dyDescent="0.3">
      <c r="B34" s="621" t="s">
        <v>28</v>
      </c>
      <c r="C34" s="622" t="s">
        <v>51</v>
      </c>
      <c r="D34" s="622" t="s">
        <v>52</v>
      </c>
      <c r="E34" s="622"/>
      <c r="F34" s="622"/>
      <c r="G34" s="622"/>
      <c r="H34" s="622"/>
      <c r="I34" s="624" t="s">
        <v>53</v>
      </c>
      <c r="J34" s="625"/>
      <c r="K34" s="622" t="s">
        <v>54</v>
      </c>
      <c r="L34" s="627" t="s">
        <v>55</v>
      </c>
      <c r="M34" s="81"/>
      <c r="N34" s="599"/>
      <c r="O34" s="600"/>
      <c r="P34" s="600"/>
      <c r="Q34" s="593"/>
      <c r="R34" s="612"/>
      <c r="S34" s="79"/>
      <c r="T34" s="79"/>
      <c r="U34" s="79"/>
      <c r="V34" s="79"/>
      <c r="W34" s="72"/>
      <c r="X34" s="1"/>
    </row>
    <row r="35" spans="2:24" x14ac:dyDescent="0.3">
      <c r="B35" s="601"/>
      <c r="C35" s="623"/>
      <c r="D35" s="623"/>
      <c r="E35" s="623"/>
      <c r="F35" s="623"/>
      <c r="G35" s="623"/>
      <c r="H35" s="623"/>
      <c r="I35" s="626"/>
      <c r="J35" s="626"/>
      <c r="K35" s="623"/>
      <c r="L35" s="628"/>
      <c r="M35" s="81"/>
      <c r="N35" s="601" t="s">
        <v>56</v>
      </c>
      <c r="O35" s="590"/>
      <c r="P35" s="590"/>
      <c r="Q35" s="610">
        <v>10</v>
      </c>
      <c r="R35" s="612">
        <v>3</v>
      </c>
      <c r="S35" s="79"/>
      <c r="T35" s="79"/>
      <c r="U35" s="79"/>
      <c r="V35" s="79"/>
      <c r="W35" s="72"/>
      <c r="X35" s="1"/>
    </row>
    <row r="36" spans="2:24" x14ac:dyDescent="0.3">
      <c r="B36" s="27" t="s">
        <v>57</v>
      </c>
      <c r="C36" s="7" t="s">
        <v>58</v>
      </c>
      <c r="D36" s="592" t="s">
        <v>59</v>
      </c>
      <c r="E36" s="592"/>
      <c r="F36" s="592"/>
      <c r="G36" s="592"/>
      <c r="H36" s="592"/>
      <c r="I36" s="593" t="s">
        <v>60</v>
      </c>
      <c r="J36" s="593"/>
      <c r="K36" s="15">
        <v>25</v>
      </c>
      <c r="L36" s="19">
        <v>2</v>
      </c>
      <c r="M36" s="1"/>
      <c r="N36" s="601"/>
      <c r="O36" s="590"/>
      <c r="P36" s="590"/>
      <c r="Q36" s="610"/>
      <c r="R36" s="612"/>
      <c r="S36" s="79"/>
      <c r="T36" s="79"/>
      <c r="U36" s="79"/>
      <c r="V36" s="79"/>
      <c r="W36" s="72"/>
      <c r="X36" s="1"/>
    </row>
    <row r="37" spans="2:24" x14ac:dyDescent="0.3">
      <c r="B37" s="27" t="s">
        <v>61</v>
      </c>
      <c r="C37" s="7" t="s">
        <v>58</v>
      </c>
      <c r="D37" s="592" t="s">
        <v>62</v>
      </c>
      <c r="E37" s="592"/>
      <c r="F37" s="592"/>
      <c r="G37" s="592"/>
      <c r="H37" s="592"/>
      <c r="I37" s="593" t="s">
        <v>63</v>
      </c>
      <c r="J37" s="593"/>
      <c r="K37" s="15">
        <v>25</v>
      </c>
      <c r="L37" s="19">
        <v>2</v>
      </c>
      <c r="M37" s="1"/>
      <c r="N37" s="599" t="s">
        <v>64</v>
      </c>
      <c r="O37" s="590"/>
      <c r="P37" s="590"/>
      <c r="Q37" s="610">
        <v>3</v>
      </c>
      <c r="R37" s="612">
        <v>1</v>
      </c>
      <c r="S37" s="79"/>
      <c r="T37" s="79"/>
      <c r="U37" s="79"/>
      <c r="V37" s="79"/>
      <c r="W37" s="72"/>
      <c r="X37" s="1"/>
    </row>
    <row r="38" spans="2:24" x14ac:dyDescent="0.3">
      <c r="B38" s="27" t="s">
        <v>65</v>
      </c>
      <c r="C38" s="7" t="s">
        <v>58</v>
      </c>
      <c r="D38" s="592" t="s">
        <v>66</v>
      </c>
      <c r="E38" s="592"/>
      <c r="F38" s="592"/>
      <c r="G38" s="592"/>
      <c r="H38" s="592"/>
      <c r="I38" s="593" t="s">
        <v>67</v>
      </c>
      <c r="J38" s="593"/>
      <c r="K38" s="15">
        <v>25</v>
      </c>
      <c r="L38" s="19">
        <v>2</v>
      </c>
      <c r="M38" s="1"/>
      <c r="N38" s="601"/>
      <c r="O38" s="590"/>
      <c r="P38" s="590"/>
      <c r="Q38" s="610"/>
      <c r="R38" s="612"/>
      <c r="S38" s="79"/>
      <c r="T38" s="79"/>
      <c r="U38" s="79"/>
      <c r="V38" s="79"/>
      <c r="W38" s="72"/>
      <c r="X38" s="1"/>
    </row>
    <row r="39" spans="2:24" x14ac:dyDescent="0.3">
      <c r="B39" s="27"/>
      <c r="C39" s="7"/>
      <c r="D39" s="614"/>
      <c r="E39" s="615"/>
      <c r="F39" s="615"/>
      <c r="G39" s="615"/>
      <c r="H39" s="616"/>
      <c r="I39" s="593"/>
      <c r="J39" s="593"/>
      <c r="K39" s="15"/>
      <c r="L39" s="19"/>
      <c r="M39" s="1"/>
      <c r="N39" s="601" t="s">
        <v>68</v>
      </c>
      <c r="O39" s="590"/>
      <c r="P39" s="590"/>
      <c r="Q39" s="610">
        <v>10</v>
      </c>
      <c r="R39" s="612">
        <v>3</v>
      </c>
      <c r="S39" s="79"/>
      <c r="T39" s="79"/>
      <c r="U39" s="79"/>
      <c r="V39" s="79"/>
      <c r="W39" s="72"/>
      <c r="X39" s="1"/>
    </row>
    <row r="40" spans="2:24" x14ac:dyDescent="0.3">
      <c r="B40" s="27" t="s">
        <v>69</v>
      </c>
      <c r="C40" s="7" t="s">
        <v>70</v>
      </c>
      <c r="D40" s="592" t="s">
        <v>71</v>
      </c>
      <c r="E40" s="592"/>
      <c r="F40" s="592"/>
      <c r="G40" s="592"/>
      <c r="H40" s="592"/>
      <c r="I40" s="593" t="s">
        <v>72</v>
      </c>
      <c r="J40" s="593"/>
      <c r="K40" s="15">
        <v>200</v>
      </c>
      <c r="L40" s="19">
        <v>4</v>
      </c>
      <c r="M40" s="1"/>
      <c r="N40" s="601"/>
      <c r="O40" s="590"/>
      <c r="P40" s="590"/>
      <c r="Q40" s="610"/>
      <c r="R40" s="612"/>
      <c r="S40" s="79"/>
      <c r="T40" s="79"/>
      <c r="U40" s="79"/>
      <c r="V40" s="79"/>
      <c r="W40" s="72"/>
      <c r="X40" s="1"/>
    </row>
    <row r="41" spans="2:24" x14ac:dyDescent="0.3">
      <c r="B41" s="27" t="s">
        <v>73</v>
      </c>
      <c r="C41" s="7" t="s">
        <v>70</v>
      </c>
      <c r="D41" s="592" t="s">
        <v>74</v>
      </c>
      <c r="E41" s="592"/>
      <c r="F41" s="592"/>
      <c r="G41" s="592"/>
      <c r="H41" s="592"/>
      <c r="I41" s="593" t="s">
        <v>72</v>
      </c>
      <c r="J41" s="593"/>
      <c r="K41" s="15">
        <v>200</v>
      </c>
      <c r="L41" s="19">
        <v>4</v>
      </c>
      <c r="M41" s="1"/>
      <c r="N41" s="601" t="s">
        <v>75</v>
      </c>
      <c r="O41" s="590"/>
      <c r="P41" s="590"/>
      <c r="Q41" s="610">
        <v>5</v>
      </c>
      <c r="R41" s="612">
        <v>2</v>
      </c>
      <c r="S41" s="79"/>
      <c r="T41" s="79"/>
      <c r="U41" s="79"/>
      <c r="V41" s="79"/>
      <c r="W41" s="72"/>
      <c r="X41" s="1"/>
    </row>
    <row r="42" spans="2:24" ht="15" thickBot="1" x14ac:dyDescent="0.35">
      <c r="B42" s="27"/>
      <c r="C42" s="7"/>
      <c r="D42" s="592"/>
      <c r="E42" s="592"/>
      <c r="F42" s="592"/>
      <c r="G42" s="592"/>
      <c r="H42" s="592"/>
      <c r="I42" s="593"/>
      <c r="J42" s="593"/>
      <c r="K42" s="15"/>
      <c r="L42" s="19"/>
      <c r="M42" s="1"/>
      <c r="N42" s="602"/>
      <c r="O42" s="603"/>
      <c r="P42" s="603"/>
      <c r="Q42" s="611"/>
      <c r="R42" s="613"/>
      <c r="S42" s="79"/>
      <c r="T42" s="79"/>
      <c r="U42" s="79"/>
      <c r="V42" s="79"/>
      <c r="W42" s="72"/>
      <c r="X42" s="1"/>
    </row>
    <row r="43" spans="2:24" ht="15" thickBot="1" x14ac:dyDescent="0.35">
      <c r="B43" s="27"/>
      <c r="C43" s="7"/>
      <c r="D43" s="592"/>
      <c r="E43" s="592"/>
      <c r="F43" s="592"/>
      <c r="G43" s="592"/>
      <c r="H43" s="592"/>
      <c r="I43" s="593"/>
      <c r="J43" s="593"/>
      <c r="K43" s="15"/>
      <c r="L43" s="19"/>
      <c r="M43" s="1"/>
      <c r="N43" s="82"/>
      <c r="O43" s="5"/>
      <c r="P43" s="5"/>
      <c r="Q43" s="5"/>
      <c r="R43" s="5"/>
      <c r="S43" s="79"/>
      <c r="T43" s="79"/>
      <c r="U43" s="79"/>
      <c r="V43" s="79"/>
      <c r="W43" s="72"/>
      <c r="X43" s="1"/>
    </row>
    <row r="44" spans="2:24" x14ac:dyDescent="0.3">
      <c r="B44" s="27"/>
      <c r="C44" s="26"/>
      <c r="D44" s="592"/>
      <c r="E44" s="592"/>
      <c r="F44" s="592"/>
      <c r="G44" s="592"/>
      <c r="H44" s="592"/>
      <c r="K44" s="15"/>
      <c r="L44" s="19"/>
      <c r="M44" s="1"/>
      <c r="N44" s="607" t="s">
        <v>76</v>
      </c>
      <c r="O44" s="608"/>
      <c r="P44" s="608"/>
      <c r="Q44" s="608"/>
      <c r="R44" s="609"/>
      <c r="S44" s="83" t="s">
        <v>77</v>
      </c>
      <c r="T44" s="83" t="s">
        <v>78</v>
      </c>
      <c r="U44" s="83" t="s">
        <v>79</v>
      </c>
      <c r="V44" s="84" t="s">
        <v>80</v>
      </c>
      <c r="W44" s="72"/>
      <c r="X44" s="1"/>
    </row>
    <row r="45" spans="2:24" x14ac:dyDescent="0.3">
      <c r="B45" s="27"/>
      <c r="C45" s="7"/>
      <c r="D45" s="592"/>
      <c r="E45" s="592"/>
      <c r="F45" s="592"/>
      <c r="G45" s="592"/>
      <c r="H45" s="592"/>
      <c r="I45" s="593"/>
      <c r="J45" s="593"/>
      <c r="K45" s="15"/>
      <c r="L45" s="19"/>
      <c r="M45" s="1"/>
      <c r="N45" s="599" t="s">
        <v>81</v>
      </c>
      <c r="O45" s="600"/>
      <c r="P45" s="595" t="s">
        <v>82</v>
      </c>
      <c r="Q45" s="596"/>
      <c r="R45" s="597"/>
      <c r="S45" s="7" t="s">
        <v>83</v>
      </c>
      <c r="T45" s="7">
        <v>500</v>
      </c>
      <c r="U45" s="7">
        <v>120</v>
      </c>
      <c r="V45" s="85">
        <v>2</v>
      </c>
      <c r="W45" s="72"/>
      <c r="X45" s="1"/>
    </row>
    <row r="46" spans="2:24" x14ac:dyDescent="0.3">
      <c r="B46" s="27" t="s">
        <v>84</v>
      </c>
      <c r="C46" s="7" t="s">
        <v>85</v>
      </c>
      <c r="D46" s="598" t="s">
        <v>86</v>
      </c>
      <c r="E46" s="598"/>
      <c r="F46" s="598"/>
      <c r="G46" s="598"/>
      <c r="H46" s="598"/>
      <c r="I46" s="593" t="s">
        <v>87</v>
      </c>
      <c r="J46" s="593"/>
      <c r="K46" s="15">
        <v>1</v>
      </c>
      <c r="L46" s="19">
        <v>2</v>
      </c>
      <c r="M46" s="1"/>
      <c r="N46" s="599"/>
      <c r="O46" s="600"/>
      <c r="P46" s="595" t="s">
        <v>88</v>
      </c>
      <c r="Q46" s="596"/>
      <c r="R46" s="597"/>
      <c r="S46" s="7" t="s">
        <v>89</v>
      </c>
      <c r="T46" s="7">
        <v>215</v>
      </c>
      <c r="U46" s="7">
        <v>120</v>
      </c>
      <c r="V46" s="85">
        <v>2</v>
      </c>
      <c r="W46" s="72"/>
      <c r="X46" s="1"/>
    </row>
    <row r="47" spans="2:24" x14ac:dyDescent="0.3">
      <c r="B47" s="27" t="s">
        <v>90</v>
      </c>
      <c r="C47" s="7" t="s">
        <v>85</v>
      </c>
      <c r="D47" s="598" t="s">
        <v>91</v>
      </c>
      <c r="E47" s="598"/>
      <c r="F47" s="598"/>
      <c r="G47" s="598"/>
      <c r="H47" s="598"/>
      <c r="I47" s="593" t="s">
        <v>87</v>
      </c>
      <c r="J47" s="593"/>
      <c r="K47" s="15">
        <v>1</v>
      </c>
      <c r="L47" s="19">
        <v>2</v>
      </c>
      <c r="M47" s="1"/>
      <c r="N47" s="599" t="s">
        <v>92</v>
      </c>
      <c r="O47" s="600"/>
      <c r="P47" s="595" t="s">
        <v>93</v>
      </c>
      <c r="Q47" s="596"/>
      <c r="R47" s="597"/>
      <c r="S47" s="7" t="s">
        <v>94</v>
      </c>
      <c r="T47" s="7">
        <v>500</v>
      </c>
      <c r="U47" s="7">
        <v>60</v>
      </c>
      <c r="V47" s="85">
        <v>8</v>
      </c>
      <c r="W47" s="72"/>
      <c r="X47" s="1"/>
    </row>
    <row r="48" spans="2:24" x14ac:dyDescent="0.3">
      <c r="B48" s="27" t="s">
        <v>95</v>
      </c>
      <c r="C48" s="7" t="s">
        <v>96</v>
      </c>
      <c r="D48" s="592" t="s">
        <v>97</v>
      </c>
      <c r="E48" s="592"/>
      <c r="F48" s="592"/>
      <c r="G48" s="592"/>
      <c r="H48" s="592"/>
      <c r="I48" s="593" t="s">
        <v>98</v>
      </c>
      <c r="J48" s="593"/>
      <c r="K48" s="15">
        <v>4</v>
      </c>
      <c r="L48" s="19">
        <v>2</v>
      </c>
      <c r="M48" s="1"/>
      <c r="N48" s="599"/>
      <c r="O48" s="600"/>
      <c r="P48" s="595" t="s">
        <v>99</v>
      </c>
      <c r="Q48" s="596"/>
      <c r="R48" s="597"/>
      <c r="S48" s="7" t="s">
        <v>100</v>
      </c>
      <c r="T48" s="7">
        <v>215</v>
      </c>
      <c r="U48" s="7">
        <v>60</v>
      </c>
      <c r="V48" s="85">
        <v>8</v>
      </c>
      <c r="W48" s="72"/>
      <c r="X48" s="1"/>
    </row>
    <row r="49" spans="2:24" x14ac:dyDescent="0.3">
      <c r="B49" s="27" t="s">
        <v>101</v>
      </c>
      <c r="C49" s="7" t="s">
        <v>96</v>
      </c>
      <c r="D49" s="592" t="s">
        <v>102</v>
      </c>
      <c r="E49" s="592"/>
      <c r="F49" s="592"/>
      <c r="G49" s="592"/>
      <c r="H49" s="592"/>
      <c r="I49" s="593" t="s">
        <v>98</v>
      </c>
      <c r="J49" s="593"/>
      <c r="K49" s="15">
        <v>4</v>
      </c>
      <c r="L49" s="19">
        <v>2</v>
      </c>
      <c r="M49" s="1"/>
      <c r="N49" s="599" t="s">
        <v>103</v>
      </c>
      <c r="O49" s="590"/>
      <c r="P49" s="595" t="s">
        <v>104</v>
      </c>
      <c r="Q49" s="596"/>
      <c r="R49" s="597"/>
      <c r="S49" s="7" t="s">
        <v>105</v>
      </c>
      <c r="T49" s="7">
        <v>500</v>
      </c>
      <c r="U49" s="7">
        <v>30</v>
      </c>
      <c r="V49" s="85">
        <f>W49</f>
        <v>1</v>
      </c>
      <c r="W49" s="594">
        <v>1</v>
      </c>
      <c r="X49" s="1"/>
    </row>
    <row r="50" spans="2:24" x14ac:dyDescent="0.3">
      <c r="B50" s="27" t="s">
        <v>106</v>
      </c>
      <c r="C50" s="7" t="s">
        <v>96</v>
      </c>
      <c r="D50" s="592" t="s">
        <v>107</v>
      </c>
      <c r="E50" s="592"/>
      <c r="F50" s="592"/>
      <c r="G50" s="592"/>
      <c r="H50" s="592"/>
      <c r="I50" s="593" t="s">
        <v>108</v>
      </c>
      <c r="J50" s="593"/>
      <c r="K50" s="15">
        <v>12</v>
      </c>
      <c r="L50" s="19">
        <v>4</v>
      </c>
      <c r="M50" s="1"/>
      <c r="N50" s="601"/>
      <c r="O50" s="590"/>
      <c r="P50" s="595" t="s">
        <v>109</v>
      </c>
      <c r="Q50" s="596"/>
      <c r="R50" s="597"/>
      <c r="S50" s="7" t="s">
        <v>110</v>
      </c>
      <c r="T50" s="7">
        <v>500</v>
      </c>
      <c r="U50" s="7">
        <v>30</v>
      </c>
      <c r="V50" s="85">
        <f>W49</f>
        <v>1</v>
      </c>
      <c r="W50" s="594"/>
      <c r="X50" s="1"/>
    </row>
    <row r="51" spans="2:24" x14ac:dyDescent="0.3">
      <c r="B51" s="27" t="s">
        <v>111</v>
      </c>
      <c r="C51" s="7" t="s">
        <v>96</v>
      </c>
      <c r="D51" s="592" t="s">
        <v>112</v>
      </c>
      <c r="E51" s="592"/>
      <c r="F51" s="592"/>
      <c r="G51" s="592"/>
      <c r="H51" s="592"/>
      <c r="I51" s="593" t="s">
        <v>108</v>
      </c>
      <c r="J51" s="593"/>
      <c r="K51" s="15">
        <v>12</v>
      </c>
      <c r="L51" s="19">
        <v>4</v>
      </c>
      <c r="M51" s="1"/>
      <c r="N51" s="601"/>
      <c r="O51" s="590"/>
      <c r="P51" s="595" t="s">
        <v>113</v>
      </c>
      <c r="Q51" s="596"/>
      <c r="R51" s="597"/>
      <c r="S51" s="7" t="s">
        <v>114</v>
      </c>
      <c r="T51" s="7">
        <v>215</v>
      </c>
      <c r="U51" s="7">
        <v>30</v>
      </c>
      <c r="V51" s="85">
        <f>W51</f>
        <v>1.2</v>
      </c>
      <c r="W51" s="594">
        <v>1.2</v>
      </c>
      <c r="X51" s="1"/>
    </row>
    <row r="52" spans="2:24" x14ac:dyDescent="0.3">
      <c r="B52" s="27" t="s">
        <v>115</v>
      </c>
      <c r="C52" s="7" t="s">
        <v>70</v>
      </c>
      <c r="D52" s="592" t="s">
        <v>116</v>
      </c>
      <c r="E52" s="592"/>
      <c r="F52" s="592"/>
      <c r="G52" s="592"/>
      <c r="H52" s="592"/>
      <c r="I52" s="593" t="s">
        <v>117</v>
      </c>
      <c r="J52" s="593"/>
      <c r="K52" s="15">
        <v>50</v>
      </c>
      <c r="L52" s="19">
        <v>4</v>
      </c>
      <c r="M52" s="1"/>
      <c r="N52" s="601"/>
      <c r="O52" s="590"/>
      <c r="P52" s="595" t="s">
        <v>118</v>
      </c>
      <c r="Q52" s="596"/>
      <c r="R52" s="597"/>
      <c r="S52" s="7" t="s">
        <v>119</v>
      </c>
      <c r="T52" s="7">
        <v>215</v>
      </c>
      <c r="U52" s="7">
        <v>30</v>
      </c>
      <c r="V52" s="85">
        <f>W51</f>
        <v>1.2</v>
      </c>
      <c r="W52" s="594"/>
      <c r="X52" s="1"/>
    </row>
    <row r="53" spans="2:24" x14ac:dyDescent="0.3">
      <c r="B53" s="27" t="s">
        <v>120</v>
      </c>
      <c r="C53" s="7" t="s">
        <v>70</v>
      </c>
      <c r="D53" s="592" t="s">
        <v>121</v>
      </c>
      <c r="E53" s="592"/>
      <c r="F53" s="592"/>
      <c r="G53" s="592"/>
      <c r="H53" s="592"/>
      <c r="I53" s="593" t="s">
        <v>122</v>
      </c>
      <c r="J53" s="593"/>
      <c r="K53" s="15">
        <v>50</v>
      </c>
      <c r="L53" s="19">
        <v>4</v>
      </c>
      <c r="M53" s="1"/>
      <c r="N53" s="601"/>
      <c r="O53" s="590"/>
      <c r="P53" s="595" t="s">
        <v>123</v>
      </c>
      <c r="Q53" s="596"/>
      <c r="R53" s="597"/>
      <c r="S53" s="7" t="s">
        <v>124</v>
      </c>
      <c r="T53" s="7">
        <v>3000</v>
      </c>
      <c r="U53" s="7">
        <v>30</v>
      </c>
      <c r="V53" s="85">
        <f>W53</f>
        <v>0.3</v>
      </c>
      <c r="W53" s="594">
        <v>0.3</v>
      </c>
    </row>
    <row r="54" spans="2:24" x14ac:dyDescent="0.3">
      <c r="B54" s="27"/>
      <c r="C54" s="7"/>
      <c r="D54" s="592"/>
      <c r="E54" s="592"/>
      <c r="F54" s="592"/>
      <c r="G54" s="592"/>
      <c r="H54" s="592"/>
      <c r="I54" s="593"/>
      <c r="J54" s="593"/>
      <c r="K54" s="15"/>
      <c r="L54" s="19"/>
      <c r="M54" s="1"/>
      <c r="N54" s="601"/>
      <c r="O54" s="590"/>
      <c r="P54" s="595" t="s">
        <v>125</v>
      </c>
      <c r="Q54" s="596"/>
      <c r="R54" s="597"/>
      <c r="S54" s="7" t="s">
        <v>126</v>
      </c>
      <c r="T54" s="7">
        <v>3000</v>
      </c>
      <c r="U54" s="7">
        <v>30</v>
      </c>
      <c r="V54" s="85">
        <f>W53</f>
        <v>0.3</v>
      </c>
      <c r="W54" s="594"/>
    </row>
    <row r="55" spans="2:24" x14ac:dyDescent="0.3">
      <c r="B55" s="27"/>
      <c r="C55" s="7"/>
      <c r="D55" s="592"/>
      <c r="E55" s="592"/>
      <c r="F55" s="592"/>
      <c r="G55" s="592"/>
      <c r="H55" s="592"/>
      <c r="I55" s="593"/>
      <c r="J55" s="593"/>
      <c r="K55" s="15"/>
      <c r="L55" s="19"/>
      <c r="M55" s="1"/>
      <c r="N55" s="601"/>
      <c r="O55" s="590"/>
      <c r="P55" s="595" t="s">
        <v>127</v>
      </c>
      <c r="Q55" s="596"/>
      <c r="R55" s="597"/>
      <c r="S55" s="7" t="s">
        <v>128</v>
      </c>
      <c r="T55" s="7">
        <v>2000</v>
      </c>
      <c r="U55" s="7">
        <v>30</v>
      </c>
      <c r="V55" s="85">
        <f>W55</f>
        <v>0.5</v>
      </c>
      <c r="W55" s="594">
        <v>0.5</v>
      </c>
    </row>
    <row r="56" spans="2:24" x14ac:dyDescent="0.3">
      <c r="B56" s="27" t="s">
        <v>110</v>
      </c>
      <c r="C56" s="7" t="s">
        <v>58</v>
      </c>
      <c r="D56" s="592" t="s">
        <v>129</v>
      </c>
      <c r="E56" s="592"/>
      <c r="F56" s="592"/>
      <c r="G56" s="592"/>
      <c r="H56" s="592"/>
      <c r="I56" s="593" t="s">
        <v>130</v>
      </c>
      <c r="J56" s="593"/>
      <c r="K56" s="15">
        <v>25</v>
      </c>
      <c r="L56" s="19">
        <v>1</v>
      </c>
      <c r="M56" s="1"/>
      <c r="N56" s="601"/>
      <c r="O56" s="590"/>
      <c r="P56" s="595" t="s">
        <v>131</v>
      </c>
      <c r="Q56" s="596"/>
      <c r="R56" s="597"/>
      <c r="S56" s="7" t="s">
        <v>132</v>
      </c>
      <c r="T56" s="7">
        <v>2000</v>
      </c>
      <c r="U56" s="7">
        <v>30</v>
      </c>
      <c r="V56" s="85">
        <f>W55</f>
        <v>0.5</v>
      </c>
      <c r="W56" s="594"/>
    </row>
    <row r="57" spans="2:24" ht="15" thickBot="1" x14ac:dyDescent="0.35">
      <c r="B57" s="27" t="s">
        <v>133</v>
      </c>
      <c r="C57" s="7" t="s">
        <v>58</v>
      </c>
      <c r="D57" s="592" t="s">
        <v>134</v>
      </c>
      <c r="E57" s="592"/>
      <c r="F57" s="592"/>
      <c r="G57" s="592"/>
      <c r="H57" s="592"/>
      <c r="I57" s="593" t="s">
        <v>130</v>
      </c>
      <c r="J57" s="593"/>
      <c r="K57" s="15">
        <v>25</v>
      </c>
      <c r="L57" s="19">
        <v>1</v>
      </c>
      <c r="M57" s="1"/>
      <c r="N57" s="602"/>
      <c r="O57" s="603"/>
      <c r="P57" s="604" t="s">
        <v>135</v>
      </c>
      <c r="Q57" s="605"/>
      <c r="R57" s="606"/>
      <c r="S57" s="23" t="s">
        <v>136</v>
      </c>
      <c r="T57" s="23">
        <v>2000</v>
      </c>
      <c r="U57" s="23">
        <v>30</v>
      </c>
      <c r="V57" s="86">
        <v>0.8</v>
      </c>
      <c r="W57" s="2"/>
    </row>
    <row r="58" spans="2:24" x14ac:dyDescent="0.3">
      <c r="B58" s="27" t="s">
        <v>119</v>
      </c>
      <c r="C58" s="7" t="s">
        <v>58</v>
      </c>
      <c r="D58" s="592" t="s">
        <v>137</v>
      </c>
      <c r="E58" s="592"/>
      <c r="F58" s="592"/>
      <c r="G58" s="592"/>
      <c r="H58" s="592"/>
      <c r="I58" s="593" t="s">
        <v>130</v>
      </c>
      <c r="J58" s="593"/>
      <c r="K58" s="15">
        <v>25</v>
      </c>
      <c r="L58" s="19">
        <v>1</v>
      </c>
      <c r="M58" s="1"/>
      <c r="N58" s="1"/>
      <c r="O58" s="1"/>
      <c r="P58" s="1"/>
      <c r="Q58" s="1"/>
      <c r="R58" s="48"/>
      <c r="W58" s="2"/>
    </row>
    <row r="59" spans="2:24" x14ac:dyDescent="0.3">
      <c r="B59" s="27" t="s">
        <v>138</v>
      </c>
      <c r="C59" s="7" t="s">
        <v>58</v>
      </c>
      <c r="D59" s="592" t="s">
        <v>139</v>
      </c>
      <c r="E59" s="592"/>
      <c r="F59" s="592"/>
      <c r="G59" s="592"/>
      <c r="H59" s="592"/>
      <c r="I59" s="593" t="s">
        <v>130</v>
      </c>
      <c r="J59" s="593"/>
      <c r="K59" s="15">
        <v>25</v>
      </c>
      <c r="L59" s="19">
        <v>1</v>
      </c>
      <c r="M59" s="1"/>
      <c r="N59" s="1"/>
      <c r="O59" s="1"/>
      <c r="P59" s="1"/>
      <c r="Q59" s="1"/>
      <c r="R59" s="3"/>
      <c r="W59" s="2"/>
    </row>
    <row r="60" spans="2:24" x14ac:dyDescent="0.3">
      <c r="B60" s="27" t="s">
        <v>119</v>
      </c>
      <c r="C60" s="7" t="s">
        <v>70</v>
      </c>
      <c r="D60" s="592" t="s">
        <v>140</v>
      </c>
      <c r="E60" s="592"/>
      <c r="F60" s="592"/>
      <c r="G60" s="592"/>
      <c r="H60" s="592"/>
      <c r="I60" s="593" t="s">
        <v>72</v>
      </c>
      <c r="J60" s="593"/>
      <c r="K60" s="15">
        <v>200</v>
      </c>
      <c r="L60" s="19">
        <v>4</v>
      </c>
      <c r="M60" s="1"/>
      <c r="N60" s="1"/>
      <c r="O60" s="1"/>
      <c r="P60" s="1"/>
      <c r="Q60" s="1"/>
      <c r="R60" s="48"/>
      <c r="W60" s="2"/>
    </row>
    <row r="61" spans="2:24" x14ac:dyDescent="0.3">
      <c r="B61" s="27" t="s">
        <v>141</v>
      </c>
      <c r="C61" s="7" t="s">
        <v>70</v>
      </c>
      <c r="D61" s="592" t="s">
        <v>142</v>
      </c>
      <c r="E61" s="592"/>
      <c r="F61" s="592"/>
      <c r="G61" s="592"/>
      <c r="H61" s="592"/>
      <c r="I61" s="593" t="s">
        <v>72</v>
      </c>
      <c r="J61" s="593"/>
      <c r="K61" s="15">
        <v>200</v>
      </c>
      <c r="L61" s="19">
        <v>4</v>
      </c>
      <c r="M61" s="1"/>
      <c r="N61" s="1"/>
      <c r="O61" s="1"/>
      <c r="P61" s="1"/>
      <c r="Q61" s="1"/>
      <c r="R61" s="48"/>
      <c r="W61" s="2"/>
    </row>
    <row r="62" spans="2:24" x14ac:dyDescent="0.3">
      <c r="B62" s="27" t="s">
        <v>126</v>
      </c>
      <c r="C62" s="7" t="s">
        <v>70</v>
      </c>
      <c r="D62" s="592" t="s">
        <v>143</v>
      </c>
      <c r="E62" s="592"/>
      <c r="F62" s="592"/>
      <c r="G62" s="592"/>
      <c r="H62" s="592"/>
      <c r="I62" s="593" t="s">
        <v>72</v>
      </c>
      <c r="J62" s="593"/>
      <c r="K62" s="15">
        <v>200</v>
      </c>
      <c r="L62" s="19">
        <v>4</v>
      </c>
      <c r="M62" s="1"/>
      <c r="N62" s="1"/>
      <c r="O62" s="1"/>
      <c r="P62" s="1"/>
      <c r="Q62" s="1"/>
      <c r="R62" s="48"/>
      <c r="W62" s="2"/>
    </row>
    <row r="63" spans="2:24" x14ac:dyDescent="0.3">
      <c r="B63" s="27" t="s">
        <v>144</v>
      </c>
      <c r="C63" s="7" t="s">
        <v>70</v>
      </c>
      <c r="D63" s="592" t="s">
        <v>145</v>
      </c>
      <c r="E63" s="592"/>
      <c r="F63" s="592"/>
      <c r="G63" s="592"/>
      <c r="H63" s="592"/>
      <c r="I63" s="593" t="s">
        <v>72</v>
      </c>
      <c r="J63" s="593"/>
      <c r="K63" s="15">
        <v>200</v>
      </c>
      <c r="L63" s="19">
        <v>4</v>
      </c>
      <c r="M63" s="1"/>
      <c r="N63" s="1"/>
      <c r="O63" s="1"/>
      <c r="P63" s="1"/>
      <c r="Q63" s="1"/>
      <c r="R63" s="48"/>
      <c r="W63" s="2"/>
    </row>
    <row r="64" spans="2:24" x14ac:dyDescent="0.3">
      <c r="B64" s="27"/>
      <c r="C64" s="7"/>
      <c r="D64" s="592"/>
      <c r="E64" s="592"/>
      <c r="F64" s="592"/>
      <c r="G64" s="592"/>
      <c r="H64" s="592"/>
      <c r="I64" s="593"/>
      <c r="J64" s="593"/>
      <c r="K64" s="15"/>
      <c r="L64" s="19"/>
      <c r="M64" s="1"/>
      <c r="N64" s="1"/>
      <c r="O64" s="1"/>
      <c r="P64" s="1"/>
      <c r="Q64" s="1"/>
      <c r="R64" s="48"/>
      <c r="W64" s="2"/>
    </row>
    <row r="65" spans="2:35" x14ac:dyDescent="0.3">
      <c r="B65" s="27"/>
      <c r="C65" s="7"/>
      <c r="D65" s="592"/>
      <c r="E65" s="592"/>
      <c r="F65" s="592"/>
      <c r="G65" s="592"/>
      <c r="H65" s="592"/>
      <c r="I65" s="593"/>
      <c r="J65" s="593"/>
      <c r="K65" s="15"/>
      <c r="L65" s="19"/>
      <c r="M65" s="1"/>
      <c r="N65" s="1"/>
      <c r="O65" s="1"/>
      <c r="P65" s="1"/>
      <c r="Q65" s="1"/>
      <c r="R65" s="3"/>
      <c r="W65" s="2"/>
    </row>
    <row r="66" spans="2:35" ht="15" thickBot="1" x14ac:dyDescent="0.35">
      <c r="B66" s="28" t="s">
        <v>146</v>
      </c>
      <c r="C66" s="23" t="s">
        <v>70</v>
      </c>
      <c r="D66" s="586" t="s">
        <v>147</v>
      </c>
      <c r="E66" s="586"/>
      <c r="F66" s="586"/>
      <c r="G66" s="586"/>
      <c r="H66" s="586"/>
      <c r="I66" s="587" t="s">
        <v>72</v>
      </c>
      <c r="J66" s="587"/>
      <c r="K66" s="87">
        <v>200</v>
      </c>
      <c r="L66" s="20">
        <v>4</v>
      </c>
      <c r="M66" s="1"/>
      <c r="N66" s="1"/>
      <c r="O66" s="1"/>
      <c r="P66" s="1"/>
      <c r="Q66" s="1"/>
      <c r="R66" s="48"/>
    </row>
    <row r="67" spans="2:35" x14ac:dyDescent="0.3">
      <c r="D67" s="588"/>
      <c r="E67" s="588"/>
      <c r="F67" s="588"/>
      <c r="G67" s="588"/>
      <c r="H67" s="588"/>
      <c r="I67" s="589"/>
      <c r="J67" s="589"/>
      <c r="K67" s="8"/>
      <c r="L67" s="1"/>
      <c r="M67" s="1"/>
      <c r="N67" s="1"/>
      <c r="O67" s="1"/>
      <c r="P67" s="1"/>
      <c r="Q67" s="1"/>
    </row>
    <row r="68" spans="2:35" ht="15.6" x14ac:dyDescent="0.3">
      <c r="E68" s="1"/>
      <c r="F68" s="1"/>
      <c r="G68" s="462"/>
      <c r="H68" s="1"/>
      <c r="I68" s="1"/>
      <c r="J68" s="1"/>
      <c r="K68" s="1"/>
      <c r="L68" s="1"/>
      <c r="M68" s="1"/>
      <c r="N68" s="1"/>
      <c r="O68" s="1"/>
      <c r="P68" s="1"/>
      <c r="Q68" s="1"/>
    </row>
    <row r="69" spans="2:35" x14ac:dyDescent="0.3">
      <c r="L69" s="1"/>
      <c r="M69" s="1"/>
    </row>
    <row r="70" spans="2:35" x14ac:dyDescent="0.3">
      <c r="U70" s="590" t="s">
        <v>148</v>
      </c>
      <c r="V70" s="590"/>
      <c r="W70" s="590"/>
      <c r="X70" s="590"/>
      <c r="Y70" s="21" t="s">
        <v>77</v>
      </c>
      <c r="Z70" s="88"/>
      <c r="AA70" s="67"/>
      <c r="AB70" s="591" t="s">
        <v>149</v>
      </c>
      <c r="AC70" s="591"/>
      <c r="AD70" s="591"/>
      <c r="AE70" s="591"/>
      <c r="AF70" s="591"/>
      <c r="AG70" s="591"/>
      <c r="AH70" s="21" t="s">
        <v>150</v>
      </c>
      <c r="AI70" s="21" t="s">
        <v>151</v>
      </c>
    </row>
    <row r="71" spans="2:35" ht="11.4" customHeight="1" x14ac:dyDescent="0.3">
      <c r="U71" s="89">
        <v>1</v>
      </c>
      <c r="V71" s="89"/>
      <c r="W71" s="89"/>
      <c r="X71" s="89"/>
      <c r="Y71" s="89" t="s">
        <v>84</v>
      </c>
      <c r="Z71" s="90"/>
      <c r="AA71" s="89" t="s">
        <v>152</v>
      </c>
      <c r="AB71" s="344" t="s">
        <v>86</v>
      </c>
      <c r="AC71" s="344"/>
      <c r="AD71" s="344"/>
      <c r="AE71" s="344"/>
      <c r="AF71" s="344"/>
      <c r="AG71" s="344"/>
      <c r="AH71" s="91"/>
      <c r="AI71" s="11"/>
    </row>
    <row r="72" spans="2:35" ht="15" customHeight="1" x14ac:dyDescent="0.3">
      <c r="U72" s="7"/>
      <c r="V72" s="7">
        <v>2</v>
      </c>
      <c r="W72" s="7"/>
      <c r="X72" s="7"/>
      <c r="Y72" s="7" t="s">
        <v>95</v>
      </c>
      <c r="Z72" s="92"/>
      <c r="AA72" s="7" t="s">
        <v>152</v>
      </c>
      <c r="AB72" s="342" t="s">
        <v>153</v>
      </c>
      <c r="AC72" s="342"/>
      <c r="AD72" s="342"/>
      <c r="AE72" s="342"/>
      <c r="AF72" s="342"/>
      <c r="AG72" s="342"/>
      <c r="AH72" s="93">
        <v>1</v>
      </c>
      <c r="AI72" s="11"/>
    </row>
    <row r="73" spans="2:35" ht="16.2" customHeight="1" x14ac:dyDescent="0.3">
      <c r="B73" s="13"/>
      <c r="C73" s="25"/>
      <c r="D73" s="25"/>
      <c r="E73" s="25"/>
      <c r="F73" s="25"/>
      <c r="G73" s="25"/>
      <c r="H73" s="25"/>
      <c r="U73" s="7"/>
      <c r="V73" s="7"/>
      <c r="W73" s="7">
        <v>3</v>
      </c>
      <c r="X73" s="7"/>
      <c r="Y73" s="7" t="s">
        <v>133</v>
      </c>
      <c r="Z73" s="92"/>
      <c r="AA73" s="7" t="s">
        <v>152</v>
      </c>
      <c r="AB73" s="343" t="s">
        <v>154</v>
      </c>
      <c r="AC73" s="343"/>
      <c r="AD73" s="343"/>
      <c r="AE73" s="343"/>
      <c r="AF73" s="343"/>
      <c r="AG73" s="343"/>
      <c r="AH73" s="93">
        <v>1</v>
      </c>
      <c r="AI73" s="11"/>
    </row>
    <row r="74" spans="2:35" x14ac:dyDescent="0.3">
      <c r="B74" s="476"/>
      <c r="C74" s="477"/>
      <c r="D74" s="477"/>
      <c r="E74" s="477"/>
      <c r="F74" s="477"/>
      <c r="G74" s="3"/>
      <c r="H74" s="478"/>
      <c r="I74" s="479"/>
      <c r="U74" s="7"/>
      <c r="V74" s="7"/>
      <c r="W74" s="7"/>
      <c r="X74" s="7">
        <v>4</v>
      </c>
      <c r="Y74" s="7" t="s">
        <v>57</v>
      </c>
      <c r="Z74" s="92"/>
      <c r="AA74" s="7" t="s">
        <v>152</v>
      </c>
      <c r="AB74" s="324" t="s">
        <v>155</v>
      </c>
      <c r="AC74" s="324"/>
      <c r="AD74" s="324"/>
      <c r="AE74" s="324"/>
      <c r="AF74" s="324"/>
      <c r="AG74" s="324"/>
      <c r="AH74" s="93">
        <v>0.17</v>
      </c>
      <c r="AI74" s="11">
        <f>_xlfn.FLOOR.MATH(1/AH74)</f>
        <v>5</v>
      </c>
    </row>
    <row r="75" spans="2:35" x14ac:dyDescent="0.3">
      <c r="B75" s="476"/>
      <c r="C75" s="477"/>
      <c r="D75" s="477"/>
      <c r="E75" s="477"/>
      <c r="F75" s="477"/>
      <c r="G75" s="3"/>
      <c r="H75" s="478"/>
      <c r="I75" s="479"/>
      <c r="U75" s="7"/>
      <c r="V75" s="7"/>
      <c r="W75" s="7">
        <v>3</v>
      </c>
      <c r="X75" s="7"/>
      <c r="Y75" s="7" t="s">
        <v>141</v>
      </c>
      <c r="Z75" s="92"/>
      <c r="AA75" s="7" t="s">
        <v>152</v>
      </c>
      <c r="AB75" s="343" t="s">
        <v>156</v>
      </c>
      <c r="AC75" s="343"/>
      <c r="AD75" s="343"/>
      <c r="AE75" s="343"/>
      <c r="AF75" s="343"/>
      <c r="AG75" s="343"/>
      <c r="AH75" s="93">
        <v>3</v>
      </c>
      <c r="AI75" s="11"/>
    </row>
    <row r="76" spans="2:35" x14ac:dyDescent="0.3">
      <c r="B76" s="390"/>
      <c r="U76" s="7"/>
      <c r="V76" s="7"/>
      <c r="W76" s="7"/>
      <c r="X76" s="7">
        <v>4</v>
      </c>
      <c r="Y76" s="7" t="s">
        <v>61</v>
      </c>
      <c r="Z76" s="92"/>
      <c r="AA76" s="7" t="s">
        <v>152</v>
      </c>
      <c r="AB76" s="324" t="s">
        <v>157</v>
      </c>
      <c r="AC76" s="324"/>
      <c r="AD76" s="324"/>
      <c r="AE76" s="324"/>
      <c r="AF76" s="324"/>
      <c r="AG76" s="324"/>
      <c r="AH76" s="93">
        <v>0.05</v>
      </c>
      <c r="AI76" s="11">
        <f>_xlfn.FLOOR.MATH(AH72/AH76)</f>
        <v>20</v>
      </c>
    </row>
    <row r="77" spans="2:35" x14ac:dyDescent="0.3">
      <c r="B77" s="390"/>
      <c r="D77" s="390"/>
      <c r="U77" s="7"/>
      <c r="V77" s="7"/>
      <c r="W77" s="7">
        <v>3</v>
      </c>
      <c r="X77" s="7"/>
      <c r="Y77" s="7" t="s">
        <v>144</v>
      </c>
      <c r="Z77" s="92"/>
      <c r="AA77" s="7" t="s">
        <v>152</v>
      </c>
      <c r="AB77" s="343" t="s">
        <v>158</v>
      </c>
      <c r="AC77" s="343"/>
      <c r="AD77" s="343"/>
      <c r="AE77" s="343"/>
      <c r="AF77" s="343"/>
      <c r="AG77" s="343"/>
      <c r="AH77" s="93">
        <v>2</v>
      </c>
      <c r="AI77" s="11"/>
    </row>
    <row r="78" spans="2:35" x14ac:dyDescent="0.3">
      <c r="U78" s="7"/>
      <c r="V78" s="7"/>
      <c r="W78" s="7"/>
      <c r="X78" s="7">
        <v>4</v>
      </c>
      <c r="Y78" s="7" t="s">
        <v>65</v>
      </c>
      <c r="Z78" s="92"/>
      <c r="AA78" s="7" t="s">
        <v>152</v>
      </c>
      <c r="AB78" s="324" t="s">
        <v>159</v>
      </c>
      <c r="AC78" s="324"/>
      <c r="AD78" s="324"/>
      <c r="AE78" s="324"/>
      <c r="AF78" s="324"/>
      <c r="AG78" s="324"/>
      <c r="AH78" s="93">
        <v>0.22</v>
      </c>
      <c r="AI78" s="11">
        <f>_xlfn.FLOOR.MATH(AH72/AH78)</f>
        <v>4</v>
      </c>
    </row>
    <row r="79" spans="2:35" x14ac:dyDescent="0.3">
      <c r="B79" s="390"/>
      <c r="U79" s="7"/>
      <c r="V79" s="7"/>
      <c r="W79" s="7">
        <v>3</v>
      </c>
      <c r="X79" s="7"/>
      <c r="Y79" s="7" t="s">
        <v>146</v>
      </c>
      <c r="Z79" s="92"/>
      <c r="AA79" s="7" t="s">
        <v>152</v>
      </c>
      <c r="AB79" s="343" t="s">
        <v>160</v>
      </c>
      <c r="AC79" s="343"/>
      <c r="AD79" s="343"/>
      <c r="AE79" s="343"/>
      <c r="AF79" s="343"/>
      <c r="AG79" s="343"/>
      <c r="AH79" s="93">
        <v>2</v>
      </c>
      <c r="AI79" s="11"/>
    </row>
    <row r="80" spans="2:35" x14ac:dyDescent="0.3">
      <c r="B80" s="390"/>
      <c r="D80" s="479"/>
      <c r="U80" s="7"/>
      <c r="V80" s="7"/>
      <c r="W80" s="7"/>
      <c r="X80" s="7">
        <v>4</v>
      </c>
      <c r="Y80" s="7" t="s">
        <v>65</v>
      </c>
      <c r="Z80" s="92"/>
      <c r="AA80" s="7" t="s">
        <v>152</v>
      </c>
      <c r="AB80" s="324" t="s">
        <v>159</v>
      </c>
      <c r="AC80" s="324"/>
      <c r="AD80" s="324"/>
      <c r="AE80" s="324"/>
      <c r="AF80" s="324"/>
      <c r="AG80" s="324"/>
      <c r="AH80" s="93">
        <v>0.22</v>
      </c>
      <c r="AI80" s="11">
        <f>_xlfn.FLOOR.MATH(AH72/AH80)</f>
        <v>4</v>
      </c>
    </row>
    <row r="81" spans="1:35" x14ac:dyDescent="0.3">
      <c r="B81" s="390"/>
      <c r="E81" s="479"/>
      <c r="U81" s="7"/>
      <c r="V81" s="7">
        <v>2</v>
      </c>
      <c r="W81" s="7"/>
      <c r="X81" s="7"/>
      <c r="Y81" s="7" t="s">
        <v>115</v>
      </c>
      <c r="Z81" s="92"/>
      <c r="AA81" s="7" t="s">
        <v>152</v>
      </c>
      <c r="AB81" s="342" t="s">
        <v>161</v>
      </c>
      <c r="AC81" s="342"/>
      <c r="AD81" s="342"/>
      <c r="AE81" s="342"/>
      <c r="AF81" s="342"/>
      <c r="AG81" s="342"/>
      <c r="AH81" s="93">
        <v>1</v>
      </c>
      <c r="AI81" s="11"/>
    </row>
    <row r="82" spans="1:35" x14ac:dyDescent="0.3">
      <c r="B82" s="390"/>
      <c r="C82" s="479"/>
      <c r="U82" s="7"/>
      <c r="V82" s="7">
        <v>2</v>
      </c>
      <c r="W82" s="7"/>
      <c r="X82" s="7"/>
      <c r="Y82" s="7" t="s">
        <v>69</v>
      </c>
      <c r="Z82" s="92"/>
      <c r="AA82" s="7" t="s">
        <v>152</v>
      </c>
      <c r="AB82" s="342" t="s">
        <v>162</v>
      </c>
      <c r="AC82" s="342"/>
      <c r="AD82" s="342"/>
      <c r="AE82" s="342"/>
      <c r="AF82" s="342"/>
      <c r="AG82" s="342"/>
      <c r="AH82" s="93">
        <v>2</v>
      </c>
      <c r="AI82" s="11"/>
    </row>
    <row r="83" spans="1:35" x14ac:dyDescent="0.3">
      <c r="B83" s="390"/>
      <c r="D83" s="479"/>
      <c r="U83" s="7"/>
      <c r="V83" s="7">
        <v>2</v>
      </c>
      <c r="W83" s="7"/>
      <c r="X83" s="7"/>
      <c r="Y83" s="7" t="s">
        <v>73</v>
      </c>
      <c r="Z83" s="92"/>
      <c r="AA83" s="7" t="s">
        <v>152</v>
      </c>
      <c r="AB83" s="342" t="s">
        <v>163</v>
      </c>
      <c r="AC83" s="342"/>
      <c r="AD83" s="342"/>
      <c r="AE83" s="342"/>
      <c r="AF83" s="342"/>
      <c r="AG83" s="342"/>
      <c r="AH83" s="93">
        <v>3</v>
      </c>
      <c r="AI83" s="11"/>
    </row>
    <row r="84" spans="1:35" x14ac:dyDescent="0.3">
      <c r="B84" s="390"/>
      <c r="U84" s="7"/>
      <c r="V84" s="7">
        <v>2</v>
      </c>
      <c r="W84" s="7"/>
      <c r="X84" s="7"/>
      <c r="Y84" s="7" t="s">
        <v>106</v>
      </c>
      <c r="Z84" s="92"/>
      <c r="AA84" s="7" t="s">
        <v>152</v>
      </c>
      <c r="AB84" s="342" t="s">
        <v>164</v>
      </c>
      <c r="AC84" s="342"/>
      <c r="AD84" s="342"/>
      <c r="AE84" s="342"/>
      <c r="AF84" s="342"/>
      <c r="AG84" s="342"/>
      <c r="AH84" s="93">
        <v>1</v>
      </c>
      <c r="AI84" s="11"/>
    </row>
    <row r="85" spans="1:35" ht="18" x14ac:dyDescent="0.35">
      <c r="A85" s="480"/>
      <c r="B85" s="480"/>
      <c r="C85" s="480"/>
      <c r="D85" s="480"/>
      <c r="E85" s="480"/>
      <c r="F85" s="480"/>
      <c r="G85" s="480"/>
      <c r="H85" s="480"/>
      <c r="I85" s="480"/>
      <c r="J85" s="480"/>
      <c r="K85" s="480"/>
      <c r="L85" s="480"/>
      <c r="M85" s="480"/>
      <c r="N85" s="480"/>
      <c r="O85" s="480"/>
      <c r="P85" s="480"/>
      <c r="Q85" s="480"/>
      <c r="R85" s="480"/>
      <c r="U85" s="89">
        <v>1</v>
      </c>
      <c r="V85" s="89"/>
      <c r="W85" s="89"/>
      <c r="X85" s="89"/>
      <c r="Y85" s="89" t="s">
        <v>90</v>
      </c>
      <c r="Z85" s="94"/>
      <c r="AA85" s="89" t="s">
        <v>152</v>
      </c>
      <c r="AB85" s="344" t="s">
        <v>91</v>
      </c>
      <c r="AC85" s="344"/>
      <c r="AD85" s="344"/>
      <c r="AE85" s="344"/>
      <c r="AF85" s="344"/>
      <c r="AG85" s="344"/>
      <c r="AH85" s="91"/>
      <c r="AI85" s="11"/>
    </row>
    <row r="86" spans="1:35" x14ac:dyDescent="0.3">
      <c r="U86" s="7"/>
      <c r="V86" s="7">
        <v>2</v>
      </c>
      <c r="W86" s="7"/>
      <c r="X86" s="7"/>
      <c r="Y86" s="7" t="s">
        <v>101</v>
      </c>
      <c r="Z86" s="92"/>
      <c r="AA86" s="7" t="s">
        <v>152</v>
      </c>
      <c r="AB86" s="342" t="s">
        <v>165</v>
      </c>
      <c r="AC86" s="342"/>
      <c r="AD86" s="342"/>
      <c r="AE86" s="342"/>
      <c r="AF86" s="342"/>
      <c r="AG86" s="342"/>
      <c r="AH86" s="93">
        <v>1</v>
      </c>
      <c r="AI86" s="11"/>
    </row>
    <row r="87" spans="1:35" x14ac:dyDescent="0.3">
      <c r="U87" s="7"/>
      <c r="V87" s="7"/>
      <c r="W87" s="7">
        <v>3</v>
      </c>
      <c r="X87" s="7"/>
      <c r="Y87" s="7" t="s">
        <v>138</v>
      </c>
      <c r="Z87" s="92"/>
      <c r="AA87" s="7" t="s">
        <v>152</v>
      </c>
      <c r="AB87" s="343" t="s">
        <v>166</v>
      </c>
      <c r="AC87" s="343"/>
      <c r="AD87" s="343"/>
      <c r="AE87" s="343"/>
      <c r="AF87" s="343"/>
      <c r="AG87" s="343"/>
      <c r="AH87" s="93">
        <v>1</v>
      </c>
      <c r="AI87" s="11"/>
    </row>
    <row r="88" spans="1:35" x14ac:dyDescent="0.3">
      <c r="U88" s="7"/>
      <c r="V88" s="7"/>
      <c r="W88" s="7"/>
      <c r="X88" s="7">
        <v>4</v>
      </c>
      <c r="Y88" s="7" t="s">
        <v>57</v>
      </c>
      <c r="Z88" s="92"/>
      <c r="AA88" s="7" t="s">
        <v>152</v>
      </c>
      <c r="AB88" s="324" t="s">
        <v>155</v>
      </c>
      <c r="AC88" s="324"/>
      <c r="AD88" s="324"/>
      <c r="AE88" s="324"/>
      <c r="AF88" s="324"/>
      <c r="AG88" s="324"/>
      <c r="AH88" s="93">
        <v>0.2</v>
      </c>
      <c r="AI88" s="11">
        <f>_xlfn.FLOOR.MATH(AH86/AH88)</f>
        <v>5</v>
      </c>
    </row>
    <row r="89" spans="1:35" x14ac:dyDescent="0.3">
      <c r="B89" s="474"/>
      <c r="U89" s="7"/>
      <c r="V89" s="7"/>
      <c r="W89" s="7">
        <v>3</v>
      </c>
      <c r="X89" s="7"/>
      <c r="Y89" s="7" t="s">
        <v>141</v>
      </c>
      <c r="Z89" s="92"/>
      <c r="AA89" s="7" t="s">
        <v>152</v>
      </c>
      <c r="AB89" s="343" t="s">
        <v>156</v>
      </c>
      <c r="AC89" s="343"/>
      <c r="AD89" s="343"/>
      <c r="AE89" s="343"/>
      <c r="AF89" s="343"/>
      <c r="AG89" s="343"/>
      <c r="AH89" s="93">
        <v>5</v>
      </c>
      <c r="AI89" s="11"/>
    </row>
    <row r="90" spans="1:35" x14ac:dyDescent="0.3">
      <c r="U90" s="7"/>
      <c r="V90" s="7"/>
      <c r="W90" s="7"/>
      <c r="X90" s="7">
        <v>4</v>
      </c>
      <c r="Y90" s="7" t="s">
        <v>61</v>
      </c>
      <c r="Z90" s="92"/>
      <c r="AA90" s="7" t="s">
        <v>152</v>
      </c>
      <c r="AB90" s="324" t="s">
        <v>157</v>
      </c>
      <c r="AC90" s="324"/>
      <c r="AD90" s="324"/>
      <c r="AE90" s="324"/>
      <c r="AF90" s="324"/>
      <c r="AG90" s="324"/>
      <c r="AH90" s="93">
        <v>0.05</v>
      </c>
      <c r="AI90" s="11">
        <f>_xlfn.FLOOR.MATH(AH87/AH90)</f>
        <v>20</v>
      </c>
    </row>
    <row r="91" spans="1:35" ht="16.2" customHeight="1" x14ac:dyDescent="0.3">
      <c r="B91" s="475"/>
      <c r="C91" s="475"/>
      <c r="D91" s="475"/>
      <c r="E91" s="475"/>
      <c r="F91" s="475"/>
      <c r="G91" s="475"/>
      <c r="U91" s="7"/>
      <c r="V91" s="7"/>
      <c r="W91" s="7">
        <v>3</v>
      </c>
      <c r="X91" s="7"/>
      <c r="Y91" s="7" t="s">
        <v>144</v>
      </c>
      <c r="Z91" s="92"/>
      <c r="AA91" s="7" t="s">
        <v>152</v>
      </c>
      <c r="AB91" s="343" t="s">
        <v>158</v>
      </c>
      <c r="AC91" s="343"/>
      <c r="AD91" s="343"/>
      <c r="AE91" s="343"/>
      <c r="AF91" s="343"/>
      <c r="AG91" s="343"/>
      <c r="AH91" s="93">
        <v>2</v>
      </c>
      <c r="AI91" s="11"/>
    </row>
    <row r="92" spans="1:35" x14ac:dyDescent="0.3">
      <c r="U92" s="7"/>
      <c r="V92" s="7"/>
      <c r="W92" s="7"/>
      <c r="X92" s="7">
        <v>4</v>
      </c>
      <c r="Y92" s="7" t="s">
        <v>65</v>
      </c>
      <c r="Z92" s="92"/>
      <c r="AA92" s="7" t="s">
        <v>152</v>
      </c>
      <c r="AB92" s="324" t="s">
        <v>159</v>
      </c>
      <c r="AC92" s="324"/>
      <c r="AD92" s="324"/>
      <c r="AE92" s="324"/>
      <c r="AF92" s="324"/>
      <c r="AG92" s="324"/>
      <c r="AH92" s="93">
        <v>0.22</v>
      </c>
      <c r="AI92" s="11">
        <f>_xlfn.FLOOR.MATH(AH86/AH92)</f>
        <v>4</v>
      </c>
    </row>
    <row r="93" spans="1:35" x14ac:dyDescent="0.3">
      <c r="B93" s="390"/>
      <c r="U93" s="7"/>
      <c r="V93" s="7"/>
      <c r="W93" s="7">
        <v>3</v>
      </c>
      <c r="X93" s="7"/>
      <c r="Y93" s="7" t="s">
        <v>146</v>
      </c>
      <c r="Z93" s="92"/>
      <c r="AA93" s="7" t="s">
        <v>152</v>
      </c>
      <c r="AB93" s="343" t="s">
        <v>160</v>
      </c>
      <c r="AC93" s="343"/>
      <c r="AD93" s="343"/>
      <c r="AE93" s="343"/>
      <c r="AF93" s="343"/>
      <c r="AG93" s="343"/>
      <c r="AH93" s="93">
        <v>2</v>
      </c>
      <c r="AI93" s="11"/>
    </row>
    <row r="94" spans="1:35" x14ac:dyDescent="0.3">
      <c r="B94" s="390"/>
      <c r="U94" s="7"/>
      <c r="V94" s="7"/>
      <c r="W94" s="7"/>
      <c r="X94" s="7">
        <v>4</v>
      </c>
      <c r="Y94" s="7" t="s">
        <v>65</v>
      </c>
      <c r="Z94" s="92"/>
      <c r="AA94" s="7" t="s">
        <v>152</v>
      </c>
      <c r="AB94" s="324" t="s">
        <v>159</v>
      </c>
      <c r="AC94" s="324"/>
      <c r="AD94" s="324"/>
      <c r="AE94" s="324"/>
      <c r="AF94" s="324"/>
      <c r="AG94" s="324"/>
      <c r="AH94" s="93">
        <v>0.22</v>
      </c>
      <c r="AI94" s="11">
        <f>_xlfn.FLOOR.MATH(AH86/AH94)</f>
        <v>4</v>
      </c>
    </row>
    <row r="95" spans="1:35" x14ac:dyDescent="0.3">
      <c r="B95" s="390"/>
      <c r="U95" s="7"/>
      <c r="V95" s="7">
        <v>2</v>
      </c>
      <c r="W95" s="7"/>
      <c r="X95" s="7"/>
      <c r="Y95" s="7" t="s">
        <v>120</v>
      </c>
      <c r="Z95" s="92"/>
      <c r="AA95" s="7" t="s">
        <v>152</v>
      </c>
      <c r="AB95" s="342" t="s">
        <v>167</v>
      </c>
      <c r="AC95" s="342"/>
      <c r="AD95" s="342"/>
      <c r="AE95" s="342"/>
      <c r="AF95" s="342"/>
      <c r="AG95" s="342"/>
      <c r="AH95" s="93">
        <v>1</v>
      </c>
      <c r="AI95" s="11"/>
    </row>
    <row r="96" spans="1:35" x14ac:dyDescent="0.3">
      <c r="B96" s="390"/>
      <c r="U96" s="7"/>
      <c r="V96" s="7">
        <v>2</v>
      </c>
      <c r="W96" s="7"/>
      <c r="X96" s="7"/>
      <c r="Y96" s="7" t="s">
        <v>69</v>
      </c>
      <c r="Z96" s="92"/>
      <c r="AA96" s="7" t="s">
        <v>152</v>
      </c>
      <c r="AB96" s="342" t="s">
        <v>162</v>
      </c>
      <c r="AC96" s="342"/>
      <c r="AD96" s="342"/>
      <c r="AE96" s="342"/>
      <c r="AF96" s="342"/>
      <c r="AG96" s="342"/>
      <c r="AH96" s="93">
        <v>2</v>
      </c>
      <c r="AI96" s="11"/>
    </row>
    <row r="97" spans="2:35" x14ac:dyDescent="0.3">
      <c r="B97" s="390"/>
      <c r="U97" s="7"/>
      <c r="V97" s="7">
        <v>2</v>
      </c>
      <c r="W97" s="7"/>
      <c r="X97" s="7"/>
      <c r="Y97" s="7" t="s">
        <v>73</v>
      </c>
      <c r="Z97" s="92"/>
      <c r="AA97" s="7" t="s">
        <v>152</v>
      </c>
      <c r="AB97" s="342" t="s">
        <v>163</v>
      </c>
      <c r="AC97" s="342"/>
      <c r="AD97" s="342"/>
      <c r="AE97" s="342"/>
      <c r="AF97" s="342"/>
      <c r="AG97" s="342"/>
      <c r="AH97" s="93">
        <v>3</v>
      </c>
      <c r="AI97" s="11"/>
    </row>
    <row r="98" spans="2:35" x14ac:dyDescent="0.3">
      <c r="B98" s="390"/>
      <c r="U98" s="7"/>
      <c r="V98" s="7">
        <v>2</v>
      </c>
      <c r="W98" s="7"/>
      <c r="X98" s="7"/>
      <c r="Y98" s="7" t="s">
        <v>111</v>
      </c>
      <c r="Z98" s="92"/>
      <c r="AA98" s="7" t="s">
        <v>152</v>
      </c>
      <c r="AB98" s="342" t="s">
        <v>168</v>
      </c>
      <c r="AC98" s="342"/>
      <c r="AD98" s="342"/>
      <c r="AE98" s="342"/>
      <c r="AF98" s="342"/>
      <c r="AG98" s="342"/>
      <c r="AH98" s="93">
        <v>1</v>
      </c>
      <c r="AI98" s="11"/>
    </row>
    <row r="101" spans="2:35" ht="15.6" x14ac:dyDescent="0.3">
      <c r="B101" s="481"/>
      <c r="C101" s="481"/>
      <c r="D101" s="481"/>
    </row>
    <row r="106" spans="2:35" ht="15.6" x14ac:dyDescent="0.3">
      <c r="B106" s="475"/>
      <c r="C106" s="475"/>
      <c r="D106" s="475"/>
      <c r="E106" s="475"/>
      <c r="F106" s="475"/>
      <c r="G106" s="475"/>
      <c r="H106" s="475"/>
      <c r="I106" s="475"/>
    </row>
    <row r="108" spans="2:35" x14ac:dyDescent="0.3">
      <c r="B108" s="390"/>
    </row>
    <row r="109" spans="2:35" x14ac:dyDescent="0.3">
      <c r="B109" s="390"/>
    </row>
    <row r="110" spans="2:35" x14ac:dyDescent="0.3">
      <c r="B110" s="390"/>
    </row>
    <row r="111" spans="2:35" x14ac:dyDescent="0.3">
      <c r="B111" s="390"/>
    </row>
    <row r="112" spans="2:35" x14ac:dyDescent="0.3">
      <c r="B112" s="390"/>
    </row>
    <row r="113" spans="2:9" x14ac:dyDescent="0.3">
      <c r="B113" s="390"/>
    </row>
    <row r="116" spans="2:9" ht="15.6" x14ac:dyDescent="0.3">
      <c r="B116" s="475"/>
      <c r="C116" s="475"/>
      <c r="D116" s="475"/>
      <c r="E116" s="475"/>
      <c r="F116" s="475"/>
      <c r="G116" s="475"/>
      <c r="H116" s="475"/>
      <c r="I116" s="475"/>
    </row>
    <row r="118" spans="2:9" x14ac:dyDescent="0.3">
      <c r="B118" s="390"/>
    </row>
    <row r="119" spans="2:9" x14ac:dyDescent="0.3">
      <c r="B119" s="390"/>
    </row>
    <row r="120" spans="2:9" x14ac:dyDescent="0.3">
      <c r="B120" s="390"/>
    </row>
    <row r="121" spans="2:9" x14ac:dyDescent="0.3">
      <c r="B121" s="390"/>
    </row>
    <row r="122" spans="2:9" x14ac:dyDescent="0.3">
      <c r="B122" s="390"/>
    </row>
    <row r="123" spans="2:9" x14ac:dyDescent="0.3">
      <c r="B123" s="390"/>
    </row>
  </sheetData>
  <mergeCells count="162">
    <mergeCell ref="D16:H16"/>
    <mergeCell ref="N16:N17"/>
    <mergeCell ref="O16:R17"/>
    <mergeCell ref="S16:S17"/>
    <mergeCell ref="T16:T17"/>
    <mergeCell ref="U16:U17"/>
    <mergeCell ref="V16:V17"/>
    <mergeCell ref="N20:N21"/>
    <mergeCell ref="O20:R21"/>
    <mergeCell ref="S20:S21"/>
    <mergeCell ref="T20:T21"/>
    <mergeCell ref="U20:U21"/>
    <mergeCell ref="V20:V21"/>
    <mergeCell ref="N18:N19"/>
    <mergeCell ref="O18:R19"/>
    <mergeCell ref="S18:S19"/>
    <mergeCell ref="T18:T19"/>
    <mergeCell ref="U18:U19"/>
    <mergeCell ref="V18:V19"/>
    <mergeCell ref="D4:H4"/>
    <mergeCell ref="K4:M4"/>
    <mergeCell ref="O4:P4"/>
    <mergeCell ref="R4:S4"/>
    <mergeCell ref="U4:V4"/>
    <mergeCell ref="N14:N15"/>
    <mergeCell ref="O14:R15"/>
    <mergeCell ref="S14:S15"/>
    <mergeCell ref="T14:T15"/>
    <mergeCell ref="U14:U15"/>
    <mergeCell ref="V14:V15"/>
    <mergeCell ref="T24:T25"/>
    <mergeCell ref="U24:U25"/>
    <mergeCell ref="V24:V25"/>
    <mergeCell ref="N22:N23"/>
    <mergeCell ref="O22:R23"/>
    <mergeCell ref="S22:S23"/>
    <mergeCell ref="T22:T23"/>
    <mergeCell ref="U22:U23"/>
    <mergeCell ref="V22:V23"/>
    <mergeCell ref="N24:N25"/>
    <mergeCell ref="O24:R25"/>
    <mergeCell ref="S24:S25"/>
    <mergeCell ref="N28:N29"/>
    <mergeCell ref="O28:R29"/>
    <mergeCell ref="S28:S29"/>
    <mergeCell ref="T28:T29"/>
    <mergeCell ref="U28:U29"/>
    <mergeCell ref="V28:V29"/>
    <mergeCell ref="N26:N27"/>
    <mergeCell ref="O26:R27"/>
    <mergeCell ref="S26:S27"/>
    <mergeCell ref="T26:T27"/>
    <mergeCell ref="U26:U27"/>
    <mergeCell ref="V26:V27"/>
    <mergeCell ref="N32:P34"/>
    <mergeCell ref="Q32:Q34"/>
    <mergeCell ref="R32:R34"/>
    <mergeCell ref="F33:J33"/>
    <mergeCell ref="B34:B35"/>
    <mergeCell ref="C34:C35"/>
    <mergeCell ref="D34:H35"/>
    <mergeCell ref="I34:J35"/>
    <mergeCell ref="K34:K35"/>
    <mergeCell ref="L34:L35"/>
    <mergeCell ref="D38:H38"/>
    <mergeCell ref="I38:J38"/>
    <mergeCell ref="D39:H39"/>
    <mergeCell ref="I39:J39"/>
    <mergeCell ref="N39:P40"/>
    <mergeCell ref="Q39:Q40"/>
    <mergeCell ref="N35:P36"/>
    <mergeCell ref="Q35:Q36"/>
    <mergeCell ref="R35:R36"/>
    <mergeCell ref="D36:H36"/>
    <mergeCell ref="I36:J36"/>
    <mergeCell ref="D37:H37"/>
    <mergeCell ref="I37:J37"/>
    <mergeCell ref="N37:P38"/>
    <mergeCell ref="Q37:Q38"/>
    <mergeCell ref="R37:R38"/>
    <mergeCell ref="R39:R40"/>
    <mergeCell ref="D40:H40"/>
    <mergeCell ref="I40:J40"/>
    <mergeCell ref="D41:H41"/>
    <mergeCell ref="I41:J41"/>
    <mergeCell ref="N41:P42"/>
    <mergeCell ref="Q41:Q42"/>
    <mergeCell ref="R41:R42"/>
    <mergeCell ref="D42:H42"/>
    <mergeCell ref="I42:J42"/>
    <mergeCell ref="D43:H43"/>
    <mergeCell ref="I43:J43"/>
    <mergeCell ref="D44:H44"/>
    <mergeCell ref="I45:J45"/>
    <mergeCell ref="N44:R44"/>
    <mergeCell ref="D45:H45"/>
    <mergeCell ref="N45:O46"/>
    <mergeCell ref="P45:R45"/>
    <mergeCell ref="D46:H46"/>
    <mergeCell ref="I46:J46"/>
    <mergeCell ref="P46:R46"/>
    <mergeCell ref="D47:H47"/>
    <mergeCell ref="I47:J47"/>
    <mergeCell ref="N47:O48"/>
    <mergeCell ref="P47:R47"/>
    <mergeCell ref="D48:H48"/>
    <mergeCell ref="I48:J48"/>
    <mergeCell ref="P48:R48"/>
    <mergeCell ref="D49:H49"/>
    <mergeCell ref="I49:J49"/>
    <mergeCell ref="N49:O57"/>
    <mergeCell ref="P49:R49"/>
    <mergeCell ref="D57:H57"/>
    <mergeCell ref="I57:J57"/>
    <mergeCell ref="P57:R57"/>
    <mergeCell ref="I54:J54"/>
    <mergeCell ref="P54:R54"/>
    <mergeCell ref="D55:H55"/>
    <mergeCell ref="I55:J55"/>
    <mergeCell ref="P55:R55"/>
    <mergeCell ref="W49:W50"/>
    <mergeCell ref="D50:H50"/>
    <mergeCell ref="I50:J50"/>
    <mergeCell ref="P50:R50"/>
    <mergeCell ref="D51:H51"/>
    <mergeCell ref="I51:J51"/>
    <mergeCell ref="W55:W56"/>
    <mergeCell ref="D56:H56"/>
    <mergeCell ref="I56:J56"/>
    <mergeCell ref="P56:R56"/>
    <mergeCell ref="P51:R51"/>
    <mergeCell ref="W51:W52"/>
    <mergeCell ref="D52:H52"/>
    <mergeCell ref="I52:J52"/>
    <mergeCell ref="P52:R52"/>
    <mergeCell ref="D53:H53"/>
    <mergeCell ref="I53:J53"/>
    <mergeCell ref="P53:R53"/>
    <mergeCell ref="W53:W54"/>
    <mergeCell ref="D54:H54"/>
    <mergeCell ref="D60:H60"/>
    <mergeCell ref="I60:J60"/>
    <mergeCell ref="D61:H61"/>
    <mergeCell ref="I61:J61"/>
    <mergeCell ref="D62:H62"/>
    <mergeCell ref="I62:J62"/>
    <mergeCell ref="D58:H58"/>
    <mergeCell ref="I58:J58"/>
    <mergeCell ref="D59:H59"/>
    <mergeCell ref="I59:J59"/>
    <mergeCell ref="D66:H66"/>
    <mergeCell ref="I66:J66"/>
    <mergeCell ref="D67:H67"/>
    <mergeCell ref="I67:J67"/>
    <mergeCell ref="U70:X70"/>
    <mergeCell ref="AB70:AG70"/>
    <mergeCell ref="D63:H63"/>
    <mergeCell ref="I63:J63"/>
    <mergeCell ref="D64:H64"/>
    <mergeCell ref="I64:J64"/>
    <mergeCell ref="D65:H65"/>
    <mergeCell ref="I65:J65"/>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790E5-403C-4F96-B574-633E85791217}">
  <sheetPr>
    <tabColor theme="9"/>
  </sheetPr>
  <dimension ref="A1:AT130"/>
  <sheetViews>
    <sheetView topLeftCell="A32" zoomScale="43" zoomScaleNormal="57" workbookViewId="0">
      <selection activeCell="M49" sqref="M49"/>
    </sheetView>
  </sheetViews>
  <sheetFormatPr defaultRowHeight="14.4" x14ac:dyDescent="0.3"/>
  <cols>
    <col min="2" max="2" width="17.88671875" customWidth="1"/>
    <col min="3" max="3" width="11.88671875" customWidth="1"/>
    <col min="4" max="4" width="19.77734375" customWidth="1"/>
    <col min="5" max="5" width="23.109375" customWidth="1"/>
    <col min="6" max="6" width="14.5546875" customWidth="1"/>
    <col min="7" max="7" width="23" customWidth="1"/>
    <col min="8" max="8" width="28.21875" customWidth="1"/>
    <col min="9" max="9" width="25.6640625" customWidth="1"/>
    <col min="10" max="10" width="15.5546875" customWidth="1"/>
    <col min="11" max="11" width="24.44140625" customWidth="1"/>
    <col min="12" max="12" width="11.5546875" customWidth="1"/>
    <col min="13" max="13" width="20.33203125" customWidth="1"/>
    <col min="14" max="14" width="21.77734375" customWidth="1"/>
    <col min="15" max="15" width="14.44140625" customWidth="1"/>
    <col min="16" max="16" width="19" customWidth="1"/>
    <col min="17" max="17" width="13.33203125" customWidth="1"/>
    <col min="18" max="18" width="18.88671875" customWidth="1"/>
    <col min="19" max="19" width="14.33203125" customWidth="1"/>
    <col min="20" max="20" width="13.6640625" customWidth="1"/>
    <col min="21" max="21" width="15" customWidth="1"/>
    <col min="22" max="22" width="17.5546875" customWidth="1"/>
    <col min="23" max="23" width="14.109375" customWidth="1"/>
    <col min="24" max="24" width="16.109375" customWidth="1"/>
    <col min="25" max="25" width="19.33203125" customWidth="1"/>
    <col min="26" max="26" width="16.6640625" customWidth="1"/>
    <col min="27" max="27" width="19.44140625" customWidth="1"/>
    <col min="28" max="28" width="20.33203125" customWidth="1"/>
    <col min="29" max="29" width="18.33203125" customWidth="1"/>
    <col min="30" max="30" width="24.5546875" customWidth="1"/>
    <col min="31" max="31" width="20.6640625" customWidth="1"/>
    <col min="32" max="32" width="20.5546875" customWidth="1"/>
    <col min="33" max="33" width="19.44140625" customWidth="1"/>
    <col min="34" max="34" width="19.88671875" customWidth="1"/>
    <col min="35" max="35" width="23.44140625" customWidth="1"/>
    <col min="36" max="37" width="23.109375" customWidth="1"/>
    <col min="38" max="38" width="22.33203125" customWidth="1"/>
    <col min="39" max="39" width="19.33203125" customWidth="1"/>
    <col min="40" max="40" width="25.21875" customWidth="1"/>
    <col min="41" max="41" width="22.33203125" customWidth="1"/>
    <col min="42" max="44" width="8.88671875" customWidth="1"/>
  </cols>
  <sheetData>
    <row r="1" spans="1:40" ht="15" thickBot="1" x14ac:dyDescent="0.35"/>
    <row r="2" spans="1:40" ht="26.4" thickBot="1" x14ac:dyDescent="0.55000000000000004">
      <c r="AD2" s="938" t="s">
        <v>665</v>
      </c>
      <c r="AE2" s="939"/>
      <c r="AF2" s="939"/>
      <c r="AG2" s="939"/>
      <c r="AH2" s="939"/>
      <c r="AI2" s="939"/>
      <c r="AJ2" s="939"/>
      <c r="AK2" s="940"/>
    </row>
    <row r="3" spans="1:40" ht="30" customHeight="1" x14ac:dyDescent="0.3"/>
    <row r="4" spans="1:40" ht="18" x14ac:dyDescent="0.3">
      <c r="A4" s="138"/>
      <c r="C4" s="902" t="s">
        <v>549</v>
      </c>
      <c r="D4" s="902"/>
      <c r="E4" s="902"/>
      <c r="F4" s="902"/>
      <c r="G4" s="902"/>
      <c r="H4" s="902"/>
      <c r="I4" s="902"/>
      <c r="J4" s="902"/>
      <c r="K4" s="902"/>
      <c r="AA4" s="518" t="s">
        <v>469</v>
      </c>
      <c r="AB4" s="815" t="s">
        <v>470</v>
      </c>
      <c r="AC4" s="815"/>
      <c r="AD4" s="815"/>
      <c r="AE4" s="815"/>
      <c r="AF4" s="815" t="s">
        <v>471</v>
      </c>
      <c r="AG4" s="815"/>
      <c r="AH4" s="815"/>
      <c r="AI4" s="518" t="s">
        <v>472</v>
      </c>
      <c r="AJ4" s="815" t="s">
        <v>473</v>
      </c>
      <c r="AK4" s="815"/>
      <c r="AL4" s="815"/>
      <c r="AM4" s="815"/>
      <c r="AN4" s="815"/>
    </row>
    <row r="5" spans="1:40" ht="61.95" customHeight="1" thickBot="1" x14ac:dyDescent="0.35">
      <c r="A5" s="138"/>
      <c r="C5" s="902"/>
      <c r="D5" s="902"/>
      <c r="E5" s="902"/>
      <c r="F5" s="902"/>
      <c r="G5" s="902"/>
      <c r="H5" s="902"/>
      <c r="I5" s="902"/>
      <c r="J5" s="902"/>
      <c r="K5" s="902"/>
      <c r="Y5" s="635" t="s">
        <v>262</v>
      </c>
      <c r="Z5" s="637"/>
      <c r="AA5" s="503" t="s">
        <v>664</v>
      </c>
      <c r="AB5" s="549" t="s">
        <v>250</v>
      </c>
      <c r="AC5" s="550" t="s">
        <v>475</v>
      </c>
      <c r="AD5" s="550" t="s">
        <v>476</v>
      </c>
      <c r="AE5" s="550" t="s">
        <v>251</v>
      </c>
      <c r="AF5" s="549" t="s">
        <v>249</v>
      </c>
      <c r="AG5" s="550" t="s">
        <v>477</v>
      </c>
      <c r="AH5" s="551" t="s">
        <v>478</v>
      </c>
      <c r="AI5" s="546" t="s">
        <v>479</v>
      </c>
      <c r="AJ5" s="548" t="s">
        <v>480</v>
      </c>
      <c r="AK5" s="548" t="s">
        <v>481</v>
      </c>
      <c r="AL5" s="544" t="s">
        <v>482</v>
      </c>
      <c r="AM5" s="548" t="s">
        <v>483</v>
      </c>
      <c r="AN5" s="548" t="s">
        <v>392</v>
      </c>
    </row>
    <row r="6" spans="1:40" ht="54" customHeight="1" x14ac:dyDescent="0.3">
      <c r="A6" s="903" t="s">
        <v>550</v>
      </c>
      <c r="B6" s="904"/>
      <c r="C6" s="600" t="s">
        <v>473</v>
      </c>
      <c r="D6" s="600" t="s">
        <v>551</v>
      </c>
      <c r="E6" s="600" t="s">
        <v>38</v>
      </c>
      <c r="F6" s="600" t="s">
        <v>552</v>
      </c>
      <c r="G6" s="600" t="s">
        <v>42</v>
      </c>
      <c r="H6" s="600" t="s">
        <v>553</v>
      </c>
      <c r="I6" s="600" t="s">
        <v>554</v>
      </c>
      <c r="J6" s="600" t="s">
        <v>555</v>
      </c>
      <c r="K6" s="600" t="s">
        <v>46</v>
      </c>
      <c r="L6" s="600" t="s">
        <v>486</v>
      </c>
      <c r="M6" s="600" t="s">
        <v>490</v>
      </c>
      <c r="N6" s="600" t="s">
        <v>556</v>
      </c>
      <c r="O6" s="590" t="s">
        <v>686</v>
      </c>
      <c r="P6" s="941"/>
      <c r="Q6" s="690"/>
      <c r="R6" s="690"/>
      <c r="S6" s="690"/>
      <c r="Y6" s="791" t="s">
        <v>484</v>
      </c>
      <c r="Z6" s="792"/>
      <c r="AA6" s="11" t="s">
        <v>485</v>
      </c>
      <c r="AB6" s="361" t="s">
        <v>247</v>
      </c>
      <c r="AC6" s="361" t="s">
        <v>247</v>
      </c>
      <c r="AD6" s="361" t="s">
        <v>247</v>
      </c>
      <c r="AE6" s="361" t="s">
        <v>247</v>
      </c>
      <c r="AF6" s="361" t="s">
        <v>241</v>
      </c>
      <c r="AG6" s="361" t="s">
        <v>241</v>
      </c>
      <c r="AH6" s="361" t="s">
        <v>241</v>
      </c>
      <c r="AI6" t="s">
        <v>230</v>
      </c>
      <c r="AJ6" s="11" t="s">
        <v>473</v>
      </c>
      <c r="AK6" s="11" t="s">
        <v>486</v>
      </c>
      <c r="AL6" s="11" t="s">
        <v>487</v>
      </c>
      <c r="AM6" s="11" t="s">
        <v>486</v>
      </c>
      <c r="AN6" s="534" t="s">
        <v>486</v>
      </c>
    </row>
    <row r="7" spans="1:40" ht="21.6" customHeight="1" x14ac:dyDescent="0.3">
      <c r="A7" s="903"/>
      <c r="B7" s="904"/>
      <c r="C7" s="600"/>
      <c r="D7" s="600"/>
      <c r="E7" s="600"/>
      <c r="F7" s="600"/>
      <c r="G7" s="600"/>
      <c r="H7" s="600"/>
      <c r="I7" s="600"/>
      <c r="J7" s="600"/>
      <c r="K7" s="600"/>
      <c r="L7" s="600"/>
      <c r="M7" s="600"/>
      <c r="N7" s="600"/>
      <c r="O7" s="590"/>
      <c r="P7" s="941"/>
      <c r="Q7" s="690"/>
      <c r="R7" s="690"/>
      <c r="S7" s="690"/>
      <c r="Y7" s="912"/>
      <c r="Z7" s="913"/>
      <c r="AA7" t="s">
        <v>488</v>
      </c>
      <c r="AB7" s="359" t="s">
        <v>470</v>
      </c>
      <c r="AC7" s="11" t="s">
        <v>489</v>
      </c>
      <c r="AD7" s="11" t="s">
        <v>489</v>
      </c>
      <c r="AE7" s="11" t="s">
        <v>489</v>
      </c>
      <c r="AF7" s="11" t="s">
        <v>471</v>
      </c>
      <c r="AG7" s="11" t="s">
        <v>471</v>
      </c>
      <c r="AH7" s="11" t="s">
        <v>471</v>
      </c>
      <c r="AI7" s="11" t="s">
        <v>472</v>
      </c>
      <c r="AJ7" s="361" t="s">
        <v>490</v>
      </c>
      <c r="AK7" t="s">
        <v>491</v>
      </c>
      <c r="AL7" t="s">
        <v>491</v>
      </c>
      <c r="AM7" t="s">
        <v>491</v>
      </c>
      <c r="AN7" s="361" t="s">
        <v>491</v>
      </c>
    </row>
    <row r="8" spans="1:40" ht="14.4" customHeight="1" x14ac:dyDescent="0.3">
      <c r="A8" s="599" t="s">
        <v>473</v>
      </c>
      <c r="B8" s="600"/>
      <c r="C8" s="906"/>
      <c r="D8" s="907"/>
      <c r="E8" s="907"/>
      <c r="F8" s="907"/>
      <c r="G8" s="907"/>
      <c r="H8" s="907"/>
      <c r="I8" s="907"/>
      <c r="J8" s="907"/>
      <c r="K8" s="907"/>
      <c r="L8" s="907"/>
      <c r="M8" s="907">
        <f>AJ16</f>
        <v>2065.2800000000002</v>
      </c>
      <c r="N8" s="907"/>
      <c r="O8" s="942"/>
      <c r="P8" s="918">
        <f>SUM(C8:O9)</f>
        <v>2065.2800000000002</v>
      </c>
      <c r="Y8" s="912"/>
      <c r="Z8" s="913"/>
      <c r="AA8" s="11" t="s">
        <v>492</v>
      </c>
      <c r="AB8" s="359" t="s">
        <v>241</v>
      </c>
      <c r="AC8" s="11" t="s">
        <v>241</v>
      </c>
      <c r="AD8" s="11" t="s">
        <v>241</v>
      </c>
      <c r="AE8" s="11" t="s">
        <v>230</v>
      </c>
      <c r="AF8" s="11" t="s">
        <v>230</v>
      </c>
      <c r="AG8" s="11" t="s">
        <v>230</v>
      </c>
      <c r="AH8" s="11" t="s">
        <v>230</v>
      </c>
      <c r="AI8" s="11" t="s">
        <v>485</v>
      </c>
      <c r="AJ8" s="11" t="s">
        <v>247</v>
      </c>
      <c r="AK8" s="11" t="s">
        <v>485</v>
      </c>
      <c r="AL8" s="11" t="s">
        <v>485</v>
      </c>
      <c r="AM8" s="11" t="s">
        <v>485</v>
      </c>
      <c r="AN8" s="11" t="s">
        <v>230</v>
      </c>
    </row>
    <row r="9" spans="1:40" ht="14.4" customHeight="1" x14ac:dyDescent="0.3">
      <c r="A9" s="599"/>
      <c r="B9" s="600"/>
      <c r="C9" s="906"/>
      <c r="D9" s="907"/>
      <c r="E9" s="907"/>
      <c r="F9" s="907"/>
      <c r="G9" s="907"/>
      <c r="H9" s="907"/>
      <c r="I9" s="907"/>
      <c r="J9" s="907"/>
      <c r="K9" s="907"/>
      <c r="L9" s="907"/>
      <c r="M9" s="907"/>
      <c r="N9" s="907"/>
      <c r="O9" s="942"/>
      <c r="P9" s="919"/>
      <c r="Y9" s="912"/>
      <c r="Z9" s="913"/>
      <c r="AA9" s="11"/>
      <c r="AB9" s="359"/>
      <c r="AC9" s="11"/>
      <c r="AD9" s="11"/>
      <c r="AE9" s="11"/>
      <c r="AF9" s="11"/>
      <c r="AG9" s="11"/>
      <c r="AH9" s="11"/>
      <c r="AI9" s="11"/>
      <c r="AJ9" s="11"/>
      <c r="AK9" s="11"/>
      <c r="AL9" s="11"/>
      <c r="AM9" s="11"/>
      <c r="AN9" s="11"/>
    </row>
    <row r="10" spans="1:40" ht="14.4" customHeight="1" x14ac:dyDescent="0.3">
      <c r="A10" s="599" t="s">
        <v>551</v>
      </c>
      <c r="B10" s="600"/>
      <c r="C10" s="907"/>
      <c r="D10" s="906"/>
      <c r="E10" s="907"/>
      <c r="F10" s="907"/>
      <c r="G10" s="907"/>
      <c r="H10" s="907"/>
      <c r="I10" s="907"/>
      <c r="J10" s="907"/>
      <c r="K10" s="907"/>
      <c r="L10" s="907"/>
      <c r="M10" s="907"/>
      <c r="N10" s="907"/>
      <c r="O10" s="942"/>
      <c r="P10" s="918">
        <f t="shared" ref="P10" si="0">SUM(C10:O11)</f>
        <v>0</v>
      </c>
      <c r="Y10" s="912"/>
      <c r="Z10" s="913"/>
      <c r="AA10" s="11"/>
      <c r="AB10" s="359"/>
      <c r="AC10" s="11"/>
      <c r="AD10" s="11"/>
      <c r="AE10" s="11"/>
      <c r="AF10" s="11"/>
      <c r="AG10" s="11"/>
      <c r="AH10" s="11"/>
      <c r="AI10" s="11"/>
      <c r="AJ10" s="11"/>
      <c r="AK10" s="11"/>
      <c r="AL10" s="11"/>
      <c r="AM10" s="11"/>
      <c r="AN10" s="11"/>
    </row>
    <row r="11" spans="1:40" ht="14.4" customHeight="1" x14ac:dyDescent="0.3">
      <c r="A11" s="599"/>
      <c r="B11" s="600"/>
      <c r="C11" s="907"/>
      <c r="D11" s="906"/>
      <c r="E11" s="907"/>
      <c r="F11" s="907"/>
      <c r="G11" s="907"/>
      <c r="H11" s="907"/>
      <c r="I11" s="907"/>
      <c r="J11" s="907"/>
      <c r="K11" s="907"/>
      <c r="L11" s="907"/>
      <c r="M11" s="907"/>
      <c r="N11" s="907"/>
      <c r="O11" s="942"/>
      <c r="P11" s="919"/>
      <c r="Y11" s="793"/>
      <c r="Z11" s="794"/>
      <c r="AA11" s="11"/>
      <c r="AB11" s="359"/>
      <c r="AC11" s="11"/>
      <c r="AD11" s="11"/>
      <c r="AE11" s="11"/>
      <c r="AF11" s="11"/>
      <c r="AG11" s="11"/>
      <c r="AH11" s="11"/>
      <c r="AI11" s="11"/>
      <c r="AJ11" s="11"/>
      <c r="AK11" s="11"/>
      <c r="AL11" s="11"/>
      <c r="AM11" s="11"/>
      <c r="AN11" s="11"/>
    </row>
    <row r="12" spans="1:40" ht="14.4" customHeight="1" x14ac:dyDescent="0.3">
      <c r="A12" s="599" t="s">
        <v>38</v>
      </c>
      <c r="B12" s="600"/>
      <c r="C12" s="907"/>
      <c r="D12" s="907"/>
      <c r="E12" s="906"/>
      <c r="F12" s="907"/>
      <c r="G12" s="907"/>
      <c r="H12" s="907"/>
      <c r="I12" s="907"/>
      <c r="J12" s="907"/>
      <c r="K12" s="907"/>
      <c r="L12" s="907"/>
      <c r="M12" s="907"/>
      <c r="N12" s="907"/>
      <c r="O12" s="942">
        <f>AA16</f>
        <v>45984</v>
      </c>
      <c r="P12" s="918">
        <f t="shared" ref="P12" si="1">SUM(C12:O13)</f>
        <v>45984</v>
      </c>
      <c r="Y12" s="770" t="s">
        <v>493</v>
      </c>
      <c r="Z12" s="771"/>
      <c r="AA12" s="908">
        <f>SUM(AA33,AA56)</f>
        <v>45984</v>
      </c>
      <c r="AB12" s="908">
        <f>SUM(AG33,AG56)</f>
        <v>48377</v>
      </c>
      <c r="AC12" s="908">
        <f>SUM(AI33,AI56)</f>
        <v>135293</v>
      </c>
      <c r="AD12" s="908">
        <f>SUM(AK33,AK56)</f>
        <v>96750</v>
      </c>
      <c r="AE12" s="908">
        <f>AM33</f>
        <v>41927</v>
      </c>
      <c r="AF12" s="908">
        <f>SUM(AH33,AH56)</f>
        <v>47408</v>
      </c>
      <c r="AG12" s="908">
        <f>SUM(AJ33,AJ56)</f>
        <v>132585</v>
      </c>
      <c r="AH12" s="908">
        <f>SUM(AL33,AL56)</f>
        <v>94814</v>
      </c>
      <c r="AI12" s="908">
        <f>SUM(AB33,AB56)</f>
        <v>45984</v>
      </c>
      <c r="AJ12" s="908">
        <f>SUM(AN33,AN56)</f>
        <v>51632</v>
      </c>
      <c r="AK12" s="908">
        <f>SUM(AD33,AD56)+ SUM(AE33,AE56)</f>
        <v>229920</v>
      </c>
      <c r="AL12" s="908">
        <f>SUM(AF33,AF56)</f>
        <v>45984</v>
      </c>
      <c r="AM12" s="908">
        <f>SUM(AC33,AC56)</f>
        <v>45984</v>
      </c>
      <c r="AN12" s="908">
        <f>AM56</f>
        <v>25650</v>
      </c>
    </row>
    <row r="13" spans="1:40" ht="14.4" customHeight="1" x14ac:dyDescent="0.3">
      <c r="A13" s="599"/>
      <c r="B13" s="600"/>
      <c r="C13" s="907"/>
      <c r="D13" s="907"/>
      <c r="E13" s="906"/>
      <c r="F13" s="907"/>
      <c r="G13" s="907"/>
      <c r="H13" s="907"/>
      <c r="I13" s="907"/>
      <c r="J13" s="907"/>
      <c r="K13" s="907"/>
      <c r="L13" s="907"/>
      <c r="M13" s="907"/>
      <c r="N13" s="907"/>
      <c r="O13" s="942"/>
      <c r="P13" s="919"/>
      <c r="Y13" s="774"/>
      <c r="Z13" s="778"/>
      <c r="AA13" s="909"/>
      <c r="AB13" s="909"/>
      <c r="AC13" s="909"/>
      <c r="AD13" s="909"/>
      <c r="AE13" s="909"/>
      <c r="AF13" s="909"/>
      <c r="AG13" s="909"/>
      <c r="AH13" s="909"/>
      <c r="AI13" s="909"/>
      <c r="AJ13" s="909"/>
      <c r="AK13" s="909"/>
      <c r="AL13" s="909"/>
      <c r="AM13" s="909"/>
      <c r="AN13" s="909"/>
    </row>
    <row r="14" spans="1:40" ht="14.4" customHeight="1" x14ac:dyDescent="0.3">
      <c r="A14" s="599" t="s">
        <v>552</v>
      </c>
      <c r="B14" s="600"/>
      <c r="C14" s="907"/>
      <c r="D14" s="907"/>
      <c r="E14" s="907">
        <f>AI16</f>
        <v>11496</v>
      </c>
      <c r="F14" s="906"/>
      <c r="G14" s="907"/>
      <c r="H14" s="907"/>
      <c r="I14" s="907"/>
      <c r="J14" s="907"/>
      <c r="K14" s="907"/>
      <c r="L14" s="907"/>
      <c r="M14" s="907"/>
      <c r="N14" s="907"/>
      <c r="O14" s="942"/>
      <c r="P14" s="918">
        <f t="shared" ref="P14" si="2">SUM(C14:O15)</f>
        <v>11496</v>
      </c>
      <c r="Y14" s="770" t="s">
        <v>347</v>
      </c>
      <c r="Z14" s="771"/>
      <c r="AA14" s="914">
        <v>1</v>
      </c>
      <c r="AB14" s="914">
        <v>25</v>
      </c>
      <c r="AC14" s="914">
        <v>200</v>
      </c>
      <c r="AD14" s="914">
        <v>200</v>
      </c>
      <c r="AE14" s="914">
        <v>200</v>
      </c>
      <c r="AF14" s="914">
        <v>25</v>
      </c>
      <c r="AG14" s="914">
        <v>200</v>
      </c>
      <c r="AH14" s="914">
        <v>200</v>
      </c>
      <c r="AI14" s="914">
        <v>4</v>
      </c>
      <c r="AJ14" s="914">
        <v>25</v>
      </c>
      <c r="AK14" s="914">
        <v>200</v>
      </c>
      <c r="AL14" s="914">
        <f>12</f>
        <v>12</v>
      </c>
      <c r="AM14" s="914">
        <v>50</v>
      </c>
      <c r="AN14" s="914">
        <v>12</v>
      </c>
    </row>
    <row r="15" spans="1:40" ht="14.4" customHeight="1" x14ac:dyDescent="0.3">
      <c r="A15" s="599"/>
      <c r="B15" s="600"/>
      <c r="C15" s="907"/>
      <c r="D15" s="907"/>
      <c r="E15" s="907"/>
      <c r="F15" s="906"/>
      <c r="G15" s="907"/>
      <c r="H15" s="907"/>
      <c r="I15" s="907"/>
      <c r="J15" s="907"/>
      <c r="K15" s="907"/>
      <c r="L15" s="907"/>
      <c r="M15" s="907"/>
      <c r="N15" s="907"/>
      <c r="O15" s="942"/>
      <c r="P15" s="919"/>
      <c r="Y15" s="774"/>
      <c r="Z15" s="778"/>
      <c r="AA15" s="915"/>
      <c r="AB15" s="915"/>
      <c r="AC15" s="915"/>
      <c r="AD15" s="915"/>
      <c r="AE15" s="915"/>
      <c r="AF15" s="915"/>
      <c r="AG15" s="915"/>
      <c r="AH15" s="915"/>
      <c r="AI15" s="915"/>
      <c r="AJ15" s="915"/>
      <c r="AK15" s="915"/>
      <c r="AL15" s="915"/>
      <c r="AM15" s="915"/>
      <c r="AN15" s="915"/>
    </row>
    <row r="16" spans="1:40" ht="14.4" customHeight="1" x14ac:dyDescent="0.3">
      <c r="A16" s="599" t="s">
        <v>42</v>
      </c>
      <c r="B16" s="600"/>
      <c r="C16" s="907"/>
      <c r="D16" s="907"/>
      <c r="E16" s="907"/>
      <c r="F16" s="907">
        <f>AI16</f>
        <v>11496</v>
      </c>
      <c r="G16" s="906"/>
      <c r="H16" s="907"/>
      <c r="I16" s="907"/>
      <c r="J16" s="907"/>
      <c r="K16" s="907"/>
      <c r="L16" s="907"/>
      <c r="M16" s="907"/>
      <c r="N16" s="907"/>
      <c r="O16" s="942"/>
      <c r="P16" s="918">
        <f t="shared" ref="P16" si="3">SUM(C16:O17)</f>
        <v>11496</v>
      </c>
      <c r="Y16" s="920" t="s">
        <v>494</v>
      </c>
      <c r="Z16" s="722" t="s">
        <v>495</v>
      </c>
      <c r="AA16" s="914">
        <f t="shared" ref="AA16" si="4">AA12/AA14</f>
        <v>45984</v>
      </c>
      <c r="AB16" s="914">
        <f>AB12/AB14</f>
        <v>1935.08</v>
      </c>
      <c r="AC16" s="914">
        <f t="shared" ref="AC16:AN16" si="5">AC12/AC14</f>
        <v>676.46500000000003</v>
      </c>
      <c r="AD16" s="914">
        <f t="shared" si="5"/>
        <v>483.75</v>
      </c>
      <c r="AE16" s="914">
        <f t="shared" si="5"/>
        <v>209.63499999999999</v>
      </c>
      <c r="AF16" s="914">
        <f t="shared" si="5"/>
        <v>1896.32</v>
      </c>
      <c r="AG16" s="914">
        <f t="shared" si="5"/>
        <v>662.92499999999995</v>
      </c>
      <c r="AH16" s="914">
        <f t="shared" si="5"/>
        <v>474.07</v>
      </c>
      <c r="AI16" s="914">
        <f t="shared" si="5"/>
        <v>11496</v>
      </c>
      <c r="AJ16" s="914">
        <f t="shared" si="5"/>
        <v>2065.2800000000002</v>
      </c>
      <c r="AK16" s="914">
        <f t="shared" si="5"/>
        <v>1149.5999999999999</v>
      </c>
      <c r="AL16" s="914">
        <f t="shared" si="5"/>
        <v>3832</v>
      </c>
      <c r="AM16" s="914">
        <f t="shared" si="5"/>
        <v>919.68</v>
      </c>
      <c r="AN16" s="914">
        <f t="shared" si="5"/>
        <v>2137.5</v>
      </c>
    </row>
    <row r="17" spans="1:46" ht="14.4" customHeight="1" x14ac:dyDescent="0.3">
      <c r="A17" s="599"/>
      <c r="B17" s="600"/>
      <c r="C17" s="907"/>
      <c r="D17" s="907"/>
      <c r="E17" s="907"/>
      <c r="F17" s="907"/>
      <c r="G17" s="906"/>
      <c r="H17" s="907"/>
      <c r="I17" s="907"/>
      <c r="J17" s="907"/>
      <c r="K17" s="907"/>
      <c r="L17" s="907"/>
      <c r="M17" s="907"/>
      <c r="N17" s="907"/>
      <c r="O17" s="942"/>
      <c r="P17" s="919"/>
      <c r="Y17" s="921"/>
      <c r="Z17" s="923"/>
      <c r="AA17" s="915"/>
      <c r="AB17" s="915"/>
      <c r="AC17" s="915"/>
      <c r="AD17" s="915"/>
      <c r="AE17" s="915"/>
      <c r="AF17" s="915"/>
      <c r="AG17" s="915"/>
      <c r="AH17" s="915"/>
      <c r="AI17" s="915"/>
      <c r="AJ17" s="915"/>
      <c r="AK17" s="915"/>
      <c r="AL17" s="915"/>
      <c r="AM17" s="915"/>
      <c r="AN17" s="915"/>
    </row>
    <row r="18" spans="1:46" ht="14.4" customHeight="1" x14ac:dyDescent="0.3">
      <c r="A18" s="599" t="s">
        <v>553</v>
      </c>
      <c r="B18" s="600"/>
      <c r="C18" s="907"/>
      <c r="D18" s="907"/>
      <c r="E18" s="907"/>
      <c r="F18" s="907"/>
      <c r="G18" s="907">
        <f>AF16+AG16+AH16</f>
        <v>3033.3150000000001</v>
      </c>
      <c r="H18" s="906"/>
      <c r="I18" s="907"/>
      <c r="J18" s="907"/>
      <c r="K18" s="907"/>
      <c r="L18" s="907"/>
      <c r="M18" s="907"/>
      <c r="N18" s="907"/>
      <c r="O18" s="942"/>
      <c r="P18" s="918">
        <f t="shared" ref="P18" si="6">SUM(C18:O19)</f>
        <v>3033.3150000000001</v>
      </c>
      <c r="Y18" s="921"/>
      <c r="Z18" s="924" t="s">
        <v>557</v>
      </c>
      <c r="AA18" s="914">
        <f t="shared" ref="AA18" si="7">AA16*2</f>
        <v>91968</v>
      </c>
      <c r="AB18" s="914">
        <f t="shared" ref="AB18:AN18" si="8">AB16*2</f>
        <v>3870.16</v>
      </c>
      <c r="AC18" s="914">
        <f t="shared" si="8"/>
        <v>1352.93</v>
      </c>
      <c r="AD18" s="914">
        <f t="shared" si="8"/>
        <v>967.5</v>
      </c>
      <c r="AE18" s="914">
        <f t="shared" si="8"/>
        <v>419.27</v>
      </c>
      <c r="AF18" s="914">
        <f t="shared" si="8"/>
        <v>3792.64</v>
      </c>
      <c r="AG18" s="914">
        <f t="shared" si="8"/>
        <v>1325.85</v>
      </c>
      <c r="AH18" s="914">
        <f t="shared" si="8"/>
        <v>948.14</v>
      </c>
      <c r="AI18" s="914">
        <f t="shared" si="8"/>
        <v>22992</v>
      </c>
      <c r="AJ18" s="914">
        <f t="shared" si="8"/>
        <v>4130.5600000000004</v>
      </c>
      <c r="AK18" s="914">
        <f t="shared" si="8"/>
        <v>2299.1999999999998</v>
      </c>
      <c r="AL18" s="914">
        <f t="shared" si="8"/>
        <v>7664</v>
      </c>
      <c r="AM18" s="914">
        <f t="shared" si="8"/>
        <v>1839.36</v>
      </c>
      <c r="AN18" s="914">
        <f t="shared" si="8"/>
        <v>4275</v>
      </c>
    </row>
    <row r="19" spans="1:46" ht="14.4" customHeight="1" x14ac:dyDescent="0.3">
      <c r="A19" s="599"/>
      <c r="B19" s="600"/>
      <c r="C19" s="907"/>
      <c r="D19" s="907"/>
      <c r="E19" s="907"/>
      <c r="F19" s="907"/>
      <c r="G19" s="907"/>
      <c r="H19" s="906"/>
      <c r="I19" s="907"/>
      <c r="J19" s="907"/>
      <c r="K19" s="907"/>
      <c r="L19" s="907"/>
      <c r="M19" s="907"/>
      <c r="N19" s="907"/>
      <c r="O19" s="942"/>
      <c r="P19" s="919"/>
      <c r="Y19" s="921"/>
      <c r="Z19" s="925"/>
      <c r="AA19" s="915"/>
      <c r="AB19" s="915"/>
      <c r="AC19" s="915"/>
      <c r="AD19" s="915"/>
      <c r="AE19" s="915"/>
      <c r="AF19" s="915"/>
      <c r="AG19" s="915"/>
      <c r="AH19" s="915"/>
      <c r="AI19" s="915"/>
      <c r="AJ19" s="915"/>
      <c r="AK19" s="915"/>
      <c r="AL19" s="915"/>
      <c r="AM19" s="915"/>
      <c r="AN19" s="915"/>
    </row>
    <row r="20" spans="1:46" ht="14.4" customHeight="1" x14ac:dyDescent="0.3">
      <c r="A20" s="599" t="s">
        <v>554</v>
      </c>
      <c r="B20" s="600"/>
      <c r="C20" s="907"/>
      <c r="D20" s="907"/>
      <c r="E20" s="907"/>
      <c r="F20" s="907"/>
      <c r="G20" s="907"/>
      <c r="H20" s="907">
        <f>AF16+AG16+AH16</f>
        <v>3033.3150000000001</v>
      </c>
      <c r="I20" s="906"/>
      <c r="J20" s="907"/>
      <c r="K20" s="907"/>
      <c r="L20" s="907"/>
      <c r="M20" s="907"/>
      <c r="N20" s="907"/>
      <c r="O20" s="942"/>
      <c r="P20" s="918">
        <f t="shared" ref="P20" si="9">SUM(C20:O21)</f>
        <v>3033.3150000000001</v>
      </c>
      <c r="Y20" s="921"/>
      <c r="Z20" s="924" t="s">
        <v>496</v>
      </c>
      <c r="AA20" s="905">
        <f>SUM(AA18:AN19)</f>
        <v>147844.61000000002</v>
      </c>
      <c r="AB20" s="905"/>
      <c r="AC20" s="905"/>
      <c r="AD20" s="905"/>
      <c r="AE20" s="905"/>
      <c r="AF20" s="905"/>
      <c r="AG20" s="905"/>
      <c r="AH20" s="905"/>
      <c r="AI20" s="905"/>
      <c r="AJ20" s="905"/>
      <c r="AK20" s="905"/>
      <c r="AL20" s="905"/>
      <c r="AM20" s="905"/>
      <c r="AN20" s="905"/>
      <c r="AO20" s="82"/>
    </row>
    <row r="21" spans="1:46" ht="17.399999999999999" customHeight="1" x14ac:dyDescent="0.3">
      <c r="A21" s="599"/>
      <c r="B21" s="600"/>
      <c r="C21" s="907"/>
      <c r="D21" s="907"/>
      <c r="E21" s="907"/>
      <c r="F21" s="907"/>
      <c r="G21" s="907"/>
      <c r="H21" s="907"/>
      <c r="I21" s="906"/>
      <c r="J21" s="907"/>
      <c r="K21" s="907"/>
      <c r="L21" s="907"/>
      <c r="M21" s="907"/>
      <c r="N21" s="907"/>
      <c r="O21" s="942"/>
      <c r="P21" s="919"/>
      <c r="Y21" s="922"/>
      <c r="Z21" s="925"/>
      <c r="AA21" s="905"/>
      <c r="AB21" s="905"/>
      <c r="AC21" s="905"/>
      <c r="AD21" s="905"/>
      <c r="AE21" s="905"/>
      <c r="AF21" s="905"/>
      <c r="AG21" s="905"/>
      <c r="AH21" s="905"/>
      <c r="AI21" s="905"/>
      <c r="AJ21" s="905"/>
      <c r="AK21" s="905"/>
      <c r="AL21" s="905"/>
      <c r="AM21" s="905"/>
      <c r="AN21" s="905"/>
      <c r="AO21" s="82"/>
    </row>
    <row r="22" spans="1:46" ht="14.4" customHeight="1" x14ac:dyDescent="0.3">
      <c r="A22" s="599" t="s">
        <v>555</v>
      </c>
      <c r="B22" s="600"/>
      <c r="C22" s="907"/>
      <c r="D22" s="907"/>
      <c r="E22" s="907"/>
      <c r="F22" s="907"/>
      <c r="G22" s="907">
        <f>AE16</f>
        <v>209.63499999999999</v>
      </c>
      <c r="H22" s="907"/>
      <c r="I22" s="907">
        <f>AB16+AC16+AD16</f>
        <v>3095.2950000000001</v>
      </c>
      <c r="J22" s="906"/>
      <c r="K22" s="907"/>
      <c r="L22" s="907"/>
      <c r="M22" s="907"/>
      <c r="N22" s="907"/>
      <c r="O22" s="942"/>
      <c r="P22" s="918">
        <f t="shared" ref="P22" si="10">SUM(C22:O23)</f>
        <v>3304.9300000000003</v>
      </c>
      <c r="AD22" s="2"/>
      <c r="AF22" s="2"/>
    </row>
    <row r="23" spans="1:46" ht="14.4" customHeight="1" thickBot="1" x14ac:dyDescent="0.35">
      <c r="A23" s="599"/>
      <c r="B23" s="600"/>
      <c r="C23" s="907"/>
      <c r="D23" s="907"/>
      <c r="E23" s="907"/>
      <c r="F23" s="907"/>
      <c r="G23" s="907"/>
      <c r="H23" s="907"/>
      <c r="I23" s="907"/>
      <c r="J23" s="906"/>
      <c r="K23" s="907"/>
      <c r="L23" s="907"/>
      <c r="M23" s="907"/>
      <c r="N23" s="907"/>
      <c r="O23" s="942"/>
      <c r="P23" s="919"/>
    </row>
    <row r="24" spans="1:46" ht="33.6" customHeight="1" thickBot="1" x14ac:dyDescent="0.35">
      <c r="A24" s="926" t="s">
        <v>46</v>
      </c>
      <c r="B24" s="771"/>
      <c r="C24" s="907"/>
      <c r="D24" s="907"/>
      <c r="E24" s="907"/>
      <c r="F24" s="907"/>
      <c r="G24" s="907"/>
      <c r="H24" s="907"/>
      <c r="I24" s="907"/>
      <c r="J24" s="907">
        <f>AB16+AC16+AD16+AE16</f>
        <v>3304.9300000000003</v>
      </c>
      <c r="K24" s="906"/>
      <c r="L24" s="907"/>
      <c r="M24" s="907"/>
      <c r="N24" s="907"/>
      <c r="O24" s="942"/>
      <c r="P24" s="918">
        <f t="shared" ref="P24" si="11">SUM(C24:O25)</f>
        <v>3304.9300000000003</v>
      </c>
      <c r="AD24" s="801" t="s">
        <v>558</v>
      </c>
      <c r="AE24" s="802"/>
      <c r="AF24" s="802"/>
      <c r="AG24" s="802"/>
      <c r="AH24" s="802"/>
      <c r="AI24" s="802"/>
      <c r="AJ24" s="802"/>
      <c r="AK24" s="803"/>
      <c r="AP24" s="453"/>
      <c r="AQ24" s="453"/>
      <c r="AR24" s="453"/>
      <c r="AS24" s="453"/>
      <c r="AT24" s="453"/>
    </row>
    <row r="25" spans="1:46" ht="14.4" customHeight="1" x14ac:dyDescent="0.3">
      <c r="A25" s="927"/>
      <c r="B25" s="778"/>
      <c r="C25" s="907"/>
      <c r="D25" s="907"/>
      <c r="E25" s="907"/>
      <c r="F25" s="907"/>
      <c r="G25" s="907"/>
      <c r="H25" s="907"/>
      <c r="I25" s="907"/>
      <c r="J25" s="907"/>
      <c r="K25" s="906"/>
      <c r="L25" s="907"/>
      <c r="M25" s="907"/>
      <c r="N25" s="907"/>
      <c r="O25" s="942"/>
      <c r="P25" s="919"/>
    </row>
    <row r="26" spans="1:46" ht="59.4" customHeight="1" x14ac:dyDescent="0.3">
      <c r="A26" s="591" t="s">
        <v>559</v>
      </c>
      <c r="B26" s="591"/>
      <c r="C26" s="907"/>
      <c r="D26" s="907"/>
      <c r="E26" s="907"/>
      <c r="F26" s="907"/>
      <c r="G26" s="907"/>
      <c r="H26" s="907"/>
      <c r="I26" s="907"/>
      <c r="J26" s="907"/>
      <c r="K26" s="907"/>
      <c r="L26" s="906"/>
      <c r="M26" s="907"/>
      <c r="N26" s="907">
        <f>AM16+AK16+AN16+AL16</f>
        <v>8038.78</v>
      </c>
      <c r="O26" s="942"/>
      <c r="P26" s="918">
        <f t="shared" ref="P26" si="12">SUM(C26:O27)</f>
        <v>8038.78</v>
      </c>
      <c r="Y26" s="635" t="s">
        <v>262</v>
      </c>
      <c r="Z26" s="637"/>
      <c r="AA26" s="6" t="s">
        <v>474</v>
      </c>
      <c r="AB26" s="6" t="s">
        <v>479</v>
      </c>
      <c r="AC26" s="360" t="s">
        <v>560</v>
      </c>
      <c r="AD26" s="360" t="s">
        <v>561</v>
      </c>
      <c r="AE26" s="360" t="s">
        <v>562</v>
      </c>
      <c r="AF26" s="360" t="s">
        <v>563</v>
      </c>
      <c r="AG26" s="360" t="s">
        <v>250</v>
      </c>
      <c r="AH26" s="360" t="s">
        <v>249</v>
      </c>
      <c r="AI26" s="360" t="s">
        <v>475</v>
      </c>
      <c r="AJ26" s="360" t="s">
        <v>477</v>
      </c>
      <c r="AK26" s="360" t="s">
        <v>476</v>
      </c>
      <c r="AL26" s="360" t="s">
        <v>478</v>
      </c>
      <c r="AM26" s="360" t="s">
        <v>251</v>
      </c>
      <c r="AN26" s="360" t="s">
        <v>564</v>
      </c>
    </row>
    <row r="27" spans="1:46" x14ac:dyDescent="0.3">
      <c r="A27" s="591"/>
      <c r="B27" s="591"/>
      <c r="C27" s="907"/>
      <c r="D27" s="907"/>
      <c r="E27" s="907"/>
      <c r="F27" s="907"/>
      <c r="G27" s="907"/>
      <c r="H27" s="907"/>
      <c r="I27" s="907"/>
      <c r="J27" s="907"/>
      <c r="K27" s="907"/>
      <c r="L27" s="906"/>
      <c r="M27" s="907"/>
      <c r="N27" s="907"/>
      <c r="O27" s="942"/>
      <c r="P27" s="919"/>
      <c r="Y27" s="791" t="s">
        <v>484</v>
      </c>
      <c r="Z27" s="792"/>
      <c r="AA27" s="11" t="s">
        <v>485</v>
      </c>
      <c r="AB27" t="s">
        <v>230</v>
      </c>
      <c r="AC27" s="11" t="s">
        <v>473</v>
      </c>
      <c r="AD27" s="11" t="s">
        <v>473</v>
      </c>
      <c r="AE27" s="11" t="s">
        <v>473</v>
      </c>
      <c r="AF27" s="11" t="s">
        <v>473</v>
      </c>
      <c r="AG27" s="361" t="s">
        <v>247</v>
      </c>
      <c r="AH27" s="361" t="s">
        <v>241</v>
      </c>
      <c r="AI27" s="361" t="s">
        <v>247</v>
      </c>
      <c r="AJ27" s="361" t="s">
        <v>241</v>
      </c>
      <c r="AK27" s="361" t="s">
        <v>247</v>
      </c>
      <c r="AL27" s="361" t="s">
        <v>241</v>
      </c>
      <c r="AM27" s="361" t="s">
        <v>247</v>
      </c>
      <c r="AN27" s="11" t="s">
        <v>499</v>
      </c>
    </row>
    <row r="28" spans="1:46" ht="26.4" customHeight="1" x14ac:dyDescent="0.3">
      <c r="A28" s="591" t="s">
        <v>490</v>
      </c>
      <c r="B28" s="591"/>
      <c r="C28" s="907"/>
      <c r="D28" s="907"/>
      <c r="E28" s="907"/>
      <c r="F28" s="907"/>
      <c r="G28" s="907"/>
      <c r="H28" s="907"/>
      <c r="I28" s="907"/>
      <c r="J28" s="907"/>
      <c r="K28" s="907">
        <f>AJ16</f>
        <v>2065.2800000000002</v>
      </c>
      <c r="L28" s="907"/>
      <c r="M28" s="906"/>
      <c r="N28" s="907"/>
      <c r="O28" s="942"/>
      <c r="P28" s="918">
        <f t="shared" ref="P28" si="13">SUM(C28:O29)</f>
        <v>2065.2800000000002</v>
      </c>
      <c r="Y28" s="912"/>
      <c r="Z28" s="913"/>
      <c r="AA28" s="11" t="s">
        <v>492</v>
      </c>
      <c r="AB28" s="11" t="s">
        <v>472</v>
      </c>
      <c r="AC28" s="11" t="s">
        <v>485</v>
      </c>
      <c r="AD28" s="11" t="s">
        <v>485</v>
      </c>
      <c r="AE28" s="11" t="s">
        <v>485</v>
      </c>
      <c r="AF28" s="11" t="s">
        <v>485</v>
      </c>
      <c r="AG28" s="359" t="s">
        <v>470</v>
      </c>
      <c r="AH28" s="11" t="s">
        <v>471</v>
      </c>
      <c r="AI28" s="11" t="s">
        <v>489</v>
      </c>
      <c r="AJ28" s="11" t="s">
        <v>471</v>
      </c>
      <c r="AK28" s="11" t="s">
        <v>489</v>
      </c>
      <c r="AL28" s="11" t="s">
        <v>471</v>
      </c>
      <c r="AM28" s="11" t="s">
        <v>489</v>
      </c>
      <c r="AN28" s="11" t="s">
        <v>247</v>
      </c>
    </row>
    <row r="29" spans="1:46" ht="22.95" customHeight="1" x14ac:dyDescent="0.3">
      <c r="A29" s="591"/>
      <c r="B29" s="591"/>
      <c r="C29" s="907"/>
      <c r="D29" s="907"/>
      <c r="E29" s="907"/>
      <c r="F29" s="907"/>
      <c r="G29" s="907"/>
      <c r="H29" s="907"/>
      <c r="I29" s="907"/>
      <c r="J29" s="907"/>
      <c r="K29" s="907"/>
      <c r="L29" s="907"/>
      <c r="M29" s="906"/>
      <c r="N29" s="907"/>
      <c r="O29" s="942"/>
      <c r="P29" s="919"/>
      <c r="Y29" s="912"/>
      <c r="Z29" s="913"/>
      <c r="AA29" s="11"/>
      <c r="AB29" s="11" t="s">
        <v>485</v>
      </c>
      <c r="AC29" s="11"/>
      <c r="AD29" s="11"/>
      <c r="AE29" s="11"/>
      <c r="AF29" s="11"/>
      <c r="AG29" s="359" t="s">
        <v>241</v>
      </c>
      <c r="AH29" s="11" t="s">
        <v>230</v>
      </c>
      <c r="AI29" s="11" t="s">
        <v>241</v>
      </c>
      <c r="AJ29" s="11" t="s">
        <v>230</v>
      </c>
      <c r="AK29" s="11" t="s">
        <v>241</v>
      </c>
      <c r="AL29" s="11" t="s">
        <v>230</v>
      </c>
      <c r="AM29" s="11" t="s">
        <v>230</v>
      </c>
      <c r="AN29" s="11"/>
    </row>
    <row r="30" spans="1:46" ht="24.6" customHeight="1" x14ac:dyDescent="0.3">
      <c r="A30" s="767" t="s">
        <v>556</v>
      </c>
      <c r="B30" s="767"/>
      <c r="C30" s="907"/>
      <c r="D30" s="907"/>
      <c r="E30" s="907">
        <f>AM16+AK16+AL16</f>
        <v>5901.28</v>
      </c>
      <c r="F30" s="907"/>
      <c r="G30" s="907">
        <f>AN16</f>
        <v>2137.5</v>
      </c>
      <c r="H30" s="907"/>
      <c r="I30" s="907"/>
      <c r="J30" s="907"/>
      <c r="K30" s="907"/>
      <c r="L30" s="907"/>
      <c r="M30" s="907"/>
      <c r="N30" s="906"/>
      <c r="O30" s="942"/>
      <c r="P30" s="918">
        <f t="shared" ref="P30" si="14">SUM(C30:O31)</f>
        <v>8038.78</v>
      </c>
      <c r="Y30" s="912"/>
      <c r="Z30" s="913"/>
      <c r="AA30" s="11"/>
      <c r="AB30" s="11"/>
      <c r="AC30" s="11"/>
      <c r="AD30" s="11"/>
      <c r="AE30" s="11"/>
      <c r="AF30" s="11"/>
      <c r="AG30" s="359"/>
      <c r="AH30" s="11"/>
      <c r="AI30" s="11"/>
      <c r="AJ30" s="11"/>
      <c r="AK30" s="11"/>
      <c r="AL30" s="11"/>
      <c r="AM30" s="11"/>
      <c r="AN30" s="11"/>
    </row>
    <row r="31" spans="1:46" ht="24" customHeight="1" x14ac:dyDescent="0.3">
      <c r="A31" s="767"/>
      <c r="B31" s="767"/>
      <c r="C31" s="907"/>
      <c r="D31" s="907"/>
      <c r="E31" s="907"/>
      <c r="F31" s="907"/>
      <c r="G31" s="907"/>
      <c r="H31" s="907"/>
      <c r="I31" s="907"/>
      <c r="J31" s="907"/>
      <c r="K31" s="907"/>
      <c r="L31" s="907"/>
      <c r="M31" s="907"/>
      <c r="N31" s="906"/>
      <c r="O31" s="942"/>
      <c r="P31" s="919"/>
      <c r="Y31" s="912"/>
      <c r="Z31" s="913"/>
      <c r="AA31" s="11"/>
      <c r="AB31" s="11"/>
      <c r="AC31" s="11"/>
      <c r="AD31" s="11"/>
      <c r="AE31" s="11"/>
      <c r="AF31" s="11"/>
      <c r="AG31" s="359"/>
      <c r="AH31" s="11"/>
      <c r="AI31" s="11"/>
      <c r="AJ31" s="11"/>
      <c r="AK31" s="11"/>
      <c r="AL31" s="11"/>
      <c r="AM31" s="11"/>
      <c r="AN31" s="11"/>
    </row>
    <row r="32" spans="1:46" ht="27" customHeight="1" x14ac:dyDescent="0.3">
      <c r="A32" s="591" t="s">
        <v>686</v>
      </c>
      <c r="B32" s="591"/>
      <c r="C32" s="907"/>
      <c r="D32" s="907">
        <f>AA16</f>
        <v>45984</v>
      </c>
      <c r="E32" s="907"/>
      <c r="F32" s="907"/>
      <c r="G32" s="907"/>
      <c r="H32" s="907"/>
      <c r="I32" s="907"/>
      <c r="J32" s="907"/>
      <c r="K32" s="907"/>
      <c r="L32" s="907"/>
      <c r="M32" s="907"/>
      <c r="N32" s="907"/>
      <c r="O32" s="957"/>
      <c r="P32" s="918">
        <f t="shared" ref="P32" si="15">SUM(C32:O33)</f>
        <v>45984</v>
      </c>
      <c r="Y32" s="793"/>
      <c r="Z32" s="794"/>
      <c r="AA32" s="11"/>
      <c r="AB32" s="11"/>
      <c r="AC32" s="11"/>
      <c r="AD32" s="11"/>
      <c r="AE32" s="11"/>
      <c r="AF32" s="11"/>
      <c r="AG32" s="359"/>
      <c r="AH32" s="11"/>
      <c r="AI32" s="11"/>
      <c r="AJ32" s="11"/>
      <c r="AK32" s="11"/>
      <c r="AL32" s="11"/>
      <c r="AM32" s="11"/>
      <c r="AN32" s="11"/>
    </row>
    <row r="33" spans="1:40" ht="21" customHeight="1" x14ac:dyDescent="0.3">
      <c r="A33" s="591"/>
      <c r="B33" s="591"/>
      <c r="C33" s="907"/>
      <c r="D33" s="907"/>
      <c r="E33" s="907"/>
      <c r="F33" s="907"/>
      <c r="G33" s="907"/>
      <c r="H33" s="907"/>
      <c r="I33" s="907"/>
      <c r="J33" s="907"/>
      <c r="K33" s="907"/>
      <c r="L33" s="907"/>
      <c r="M33" s="907"/>
      <c r="N33" s="907"/>
      <c r="O33" s="957"/>
      <c r="P33" s="919"/>
      <c r="Y33" s="770" t="s">
        <v>493</v>
      </c>
      <c r="Z33" s="771"/>
      <c r="AA33" s="908">
        <f>SUM('$_FABB_PARTI_LOTTI_TOTALE'!L7:L8)</f>
        <v>20334</v>
      </c>
      <c r="AB33" s="908">
        <f>SUM('$_FABB_PARTI_LOTTI'!L10:L11)</f>
        <v>20334</v>
      </c>
      <c r="AC33" s="908">
        <f>'$_DB_CICLI'!Q23+'$_DB_CICLI'!Q47</f>
        <v>20334</v>
      </c>
      <c r="AD33" s="908">
        <f>'$_DB_CICLI'!Q24+'$_DB_CICLI'!Q48</f>
        <v>40668</v>
      </c>
      <c r="AE33" s="908">
        <f>'$_DB_CICLI'!Q25+'$_DB_CICLI'!Q49</f>
        <v>61002</v>
      </c>
      <c r="AF33" s="908">
        <f>'$_DB_CICLI'!Q26+'$_DB_CICLI'!Q50</f>
        <v>20334</v>
      </c>
      <c r="AG33" s="908">
        <f>'$_DB_CICLI'!Q10+'$_DB_CICLI'!Q34</f>
        <v>21393</v>
      </c>
      <c r="AH33" s="910">
        <f>'$_DB_CICLI'!Q9+'$_DB_CICLI'!Q33</f>
        <v>20964</v>
      </c>
      <c r="AI33" s="908">
        <f>'$_DB_CICLI'!Q14+'$_DB_CICLI'!Q38</f>
        <v>77008</v>
      </c>
      <c r="AJ33" s="910">
        <f>'$_DB_CICLI'!Q13+'$_DB_CICLI'!Q37</f>
        <v>75467</v>
      </c>
      <c r="AK33" s="908">
        <f>'$_DB_CICLI'!Q18+'$_DB_CICLI'!Q42</f>
        <v>42783</v>
      </c>
      <c r="AL33" s="910">
        <f>'$_DB_CICLI'!Q41+'$_DB_CICLI'!Q17</f>
        <v>41927</v>
      </c>
      <c r="AM33" s="908">
        <f>'$_DB_CICLI'!Q21+'$_DB_CICLI'!Q45</f>
        <v>41927</v>
      </c>
      <c r="AN33" s="908">
        <f>'$_DB_CICLI'!Q11+'$_DB_CICLI'!Q15+'$_DB_CICLI'!Q19+'$_DB_CICLI'!Q22+'$_DB_CICLI'!Q35+'$_DB_CICLI'!Q39+'$_DB_CICLI'!Q43+'$_DB_CICLI'!Q46</f>
        <v>29607</v>
      </c>
    </row>
    <row r="34" spans="1:40" ht="15" customHeight="1" x14ac:dyDescent="0.3">
      <c r="A34" s="955"/>
      <c r="B34" s="956"/>
      <c r="C34" s="917">
        <f>SUM(C8:C33)</f>
        <v>0</v>
      </c>
      <c r="D34" s="917">
        <f t="shared" ref="D34:O34" si="16">SUM(D8:D33)</f>
        <v>45984</v>
      </c>
      <c r="E34" s="917">
        <f t="shared" si="16"/>
        <v>17397.28</v>
      </c>
      <c r="F34" s="917">
        <f t="shared" si="16"/>
        <v>11496</v>
      </c>
      <c r="G34" s="917">
        <f t="shared" si="16"/>
        <v>5380.45</v>
      </c>
      <c r="H34" s="917">
        <f t="shared" si="16"/>
        <v>3033.3150000000001</v>
      </c>
      <c r="I34" s="917">
        <f t="shared" si="16"/>
        <v>3095.2950000000001</v>
      </c>
      <c r="J34" s="917">
        <f t="shared" si="16"/>
        <v>3304.9300000000003</v>
      </c>
      <c r="K34" s="917">
        <f t="shared" si="16"/>
        <v>2065.2800000000002</v>
      </c>
      <c r="L34" s="917">
        <f t="shared" si="16"/>
        <v>0</v>
      </c>
      <c r="M34" s="917">
        <f t="shared" si="16"/>
        <v>2065.2800000000002</v>
      </c>
      <c r="N34" s="917">
        <f t="shared" si="16"/>
        <v>8038.78</v>
      </c>
      <c r="O34" s="917">
        <f t="shared" si="16"/>
        <v>45984</v>
      </c>
      <c r="P34" s="916">
        <f>SUM(P8:P33)</f>
        <v>147844.60999999999</v>
      </c>
      <c r="Y34" s="774"/>
      <c r="Z34" s="778"/>
      <c r="AA34" s="909"/>
      <c r="AB34" s="909"/>
      <c r="AC34" s="909"/>
      <c r="AD34" s="909"/>
      <c r="AE34" s="909"/>
      <c r="AF34" s="909"/>
      <c r="AG34" s="909"/>
      <c r="AH34" s="911"/>
      <c r="AI34" s="909"/>
      <c r="AJ34" s="911"/>
      <c r="AK34" s="909"/>
      <c r="AL34" s="911"/>
      <c r="AM34" s="909"/>
      <c r="AN34" s="909"/>
    </row>
    <row r="35" spans="1:40" ht="21" customHeight="1" x14ac:dyDescent="0.3">
      <c r="A35" s="941"/>
      <c r="B35" s="783"/>
      <c r="C35" s="600"/>
      <c r="D35" s="600"/>
      <c r="E35" s="600"/>
      <c r="F35" s="600"/>
      <c r="G35" s="600"/>
      <c r="H35" s="600"/>
      <c r="I35" s="600"/>
      <c r="J35" s="600"/>
      <c r="K35" s="600"/>
      <c r="L35" s="600"/>
      <c r="M35" s="600"/>
      <c r="N35" s="600"/>
      <c r="O35" s="600"/>
      <c r="P35" s="916"/>
      <c r="Y35" s="770" t="s">
        <v>347</v>
      </c>
      <c r="Z35" s="771"/>
      <c r="AA35" s="914">
        <v>1</v>
      </c>
      <c r="AB35" s="914">
        <v>4</v>
      </c>
      <c r="AC35" s="914">
        <v>50</v>
      </c>
      <c r="AD35" s="914">
        <v>200</v>
      </c>
      <c r="AE35" s="914">
        <v>200</v>
      </c>
      <c r="AF35" s="914">
        <f>12</f>
        <v>12</v>
      </c>
      <c r="AG35" s="914">
        <v>25</v>
      </c>
      <c r="AH35" s="914">
        <v>25</v>
      </c>
      <c r="AI35" s="914">
        <v>200</v>
      </c>
      <c r="AJ35" s="914">
        <v>200</v>
      </c>
      <c r="AK35" s="914">
        <v>200</v>
      </c>
      <c r="AL35" s="914">
        <v>200</v>
      </c>
      <c r="AM35" s="914">
        <v>200</v>
      </c>
      <c r="AN35" s="914">
        <v>25</v>
      </c>
    </row>
    <row r="36" spans="1:40" ht="21.6" customHeight="1" x14ac:dyDescent="0.3">
      <c r="B36" s="470"/>
      <c r="C36" s="470"/>
      <c r="D36" s="568"/>
      <c r="E36" s="568"/>
      <c r="F36" s="568"/>
      <c r="G36" s="568"/>
      <c r="H36" s="568"/>
      <c r="I36" s="568"/>
      <c r="J36" s="568"/>
      <c r="K36" s="568"/>
      <c r="L36" s="568"/>
      <c r="M36" s="529"/>
      <c r="Y36" s="774"/>
      <c r="Z36" s="778"/>
      <c r="AA36" s="915"/>
      <c r="AB36" s="915"/>
      <c r="AC36" s="915"/>
      <c r="AD36" s="915"/>
      <c r="AE36" s="915"/>
      <c r="AF36" s="915"/>
      <c r="AG36" s="915"/>
      <c r="AH36" s="915"/>
      <c r="AI36" s="915"/>
      <c r="AJ36" s="915"/>
      <c r="AK36" s="915"/>
      <c r="AL36" s="915"/>
      <c r="AM36" s="915"/>
      <c r="AN36" s="915"/>
    </row>
    <row r="37" spans="1:40" ht="15" customHeight="1" x14ac:dyDescent="0.3">
      <c r="B37" s="470"/>
      <c r="C37" s="470"/>
      <c r="D37" s="568"/>
      <c r="E37" s="568"/>
      <c r="F37" s="568"/>
      <c r="G37" s="568"/>
      <c r="H37" s="568"/>
      <c r="I37" s="568"/>
      <c r="J37" s="568"/>
      <c r="K37" s="568"/>
      <c r="L37" s="568"/>
      <c r="M37" s="529"/>
      <c r="P37" s="572"/>
      <c r="S37" s="364"/>
      <c r="Y37" s="920" t="s">
        <v>494</v>
      </c>
      <c r="Z37" s="722" t="s">
        <v>495</v>
      </c>
      <c r="AA37" s="914">
        <f t="shared" ref="AA37:AN37" si="17">AA33/AA35</f>
        <v>20334</v>
      </c>
      <c r="AB37" s="914">
        <f t="shared" si="17"/>
        <v>5083.5</v>
      </c>
      <c r="AC37" s="914">
        <f t="shared" si="17"/>
        <v>406.68</v>
      </c>
      <c r="AD37" s="914">
        <f t="shared" si="17"/>
        <v>203.34</v>
      </c>
      <c r="AE37" s="914">
        <f t="shared" si="17"/>
        <v>305.01</v>
      </c>
      <c r="AF37" s="914">
        <f t="shared" si="17"/>
        <v>1694.5</v>
      </c>
      <c r="AG37" s="914">
        <f t="shared" si="17"/>
        <v>855.72</v>
      </c>
      <c r="AH37" s="914">
        <f t="shared" si="17"/>
        <v>838.56</v>
      </c>
      <c r="AI37" s="914">
        <f t="shared" si="17"/>
        <v>385.04</v>
      </c>
      <c r="AJ37" s="914">
        <f t="shared" si="17"/>
        <v>377.33499999999998</v>
      </c>
      <c r="AK37" s="914">
        <f t="shared" si="17"/>
        <v>213.91499999999999</v>
      </c>
      <c r="AL37" s="914">
        <f t="shared" si="17"/>
        <v>209.63499999999999</v>
      </c>
      <c r="AM37" s="914">
        <f t="shared" si="17"/>
        <v>209.63499999999999</v>
      </c>
      <c r="AN37" s="914">
        <f t="shared" si="17"/>
        <v>1184.28</v>
      </c>
    </row>
    <row r="38" spans="1:40" ht="14.4" customHeight="1" thickBot="1" x14ac:dyDescent="0.35">
      <c r="C38" s="570"/>
      <c r="D38" s="570"/>
      <c r="E38" s="570"/>
      <c r="F38" s="570"/>
      <c r="G38" s="570"/>
      <c r="H38" s="570"/>
      <c r="I38" s="570"/>
      <c r="J38" s="570"/>
      <c r="K38" s="570"/>
      <c r="Q38" s="5"/>
      <c r="R38" s="5"/>
      <c r="S38" s="5"/>
      <c r="T38" s="5"/>
      <c r="U38" s="452"/>
      <c r="V38" s="452"/>
      <c r="W38" s="5"/>
      <c r="X38" s="5"/>
      <c r="Y38" s="921"/>
      <c r="Z38" s="923"/>
      <c r="AA38" s="915"/>
      <c r="AB38" s="915"/>
      <c r="AC38" s="915"/>
      <c r="AD38" s="915"/>
      <c r="AE38" s="915"/>
      <c r="AF38" s="915"/>
      <c r="AG38" s="915"/>
      <c r="AH38" s="915"/>
      <c r="AI38" s="915"/>
      <c r="AJ38" s="915"/>
      <c r="AK38" s="915"/>
      <c r="AL38" s="915"/>
      <c r="AM38" s="915"/>
      <c r="AN38" s="915"/>
    </row>
    <row r="39" spans="1:40" ht="40.200000000000003" customHeight="1" x14ac:dyDescent="0.3">
      <c r="A39" s="944" t="s">
        <v>666</v>
      </c>
      <c r="B39" s="945"/>
      <c r="C39" s="945"/>
      <c r="D39" s="945"/>
      <c r="E39" s="945"/>
      <c r="F39" s="945"/>
      <c r="G39" s="945"/>
      <c r="H39" s="945"/>
      <c r="I39" s="945"/>
      <c r="J39" s="945"/>
      <c r="K39" s="945"/>
      <c r="L39" s="945"/>
      <c r="M39" s="945"/>
      <c r="N39" s="945"/>
      <c r="O39" s="945"/>
      <c r="P39" s="945"/>
      <c r="Q39" s="945"/>
      <c r="R39" s="945"/>
      <c r="S39" s="945"/>
      <c r="T39" s="945"/>
      <c r="U39" s="946"/>
      <c r="V39" s="452"/>
      <c r="W39" s="5"/>
      <c r="X39" s="5"/>
      <c r="Y39" s="921"/>
      <c r="Z39" s="924" t="s">
        <v>557</v>
      </c>
      <c r="AA39" s="914">
        <f>AA37*1</f>
        <v>20334</v>
      </c>
      <c r="AB39" s="914">
        <f>AB37*2</f>
        <v>10167</v>
      </c>
      <c r="AC39" s="914">
        <f>AC37*1</f>
        <v>406.68</v>
      </c>
      <c r="AD39" s="914">
        <f>AD37*1</f>
        <v>203.34</v>
      </c>
      <c r="AE39" s="914">
        <f>AE37*1</f>
        <v>305.01</v>
      </c>
      <c r="AF39" s="914">
        <f>AF37*1</f>
        <v>1694.5</v>
      </c>
      <c r="AG39" s="914">
        <f>AG37*2</f>
        <v>1711.44</v>
      </c>
      <c r="AH39" s="914">
        <f t="shared" ref="AH39:AM39" si="18">AH37*2</f>
        <v>1677.12</v>
      </c>
      <c r="AI39" s="914">
        <f t="shared" si="18"/>
        <v>770.08</v>
      </c>
      <c r="AJ39" s="914">
        <f t="shared" si="18"/>
        <v>754.67</v>
      </c>
      <c r="AK39" s="914">
        <f t="shared" si="18"/>
        <v>427.83</v>
      </c>
      <c r="AL39" s="914">
        <f t="shared" si="18"/>
        <v>419.27</v>
      </c>
      <c r="AM39" s="914">
        <f t="shared" si="18"/>
        <v>419.27</v>
      </c>
      <c r="AN39" s="914">
        <f>AN37*1</f>
        <v>1184.28</v>
      </c>
    </row>
    <row r="40" spans="1:40" ht="15" customHeight="1" x14ac:dyDescent="0.3">
      <c r="A40" s="947"/>
      <c r="B40" s="948"/>
      <c r="C40" s="948"/>
      <c r="D40" s="948"/>
      <c r="E40" s="948"/>
      <c r="F40" s="948"/>
      <c r="G40" s="948"/>
      <c r="H40" s="948"/>
      <c r="I40" s="948"/>
      <c r="J40" s="948"/>
      <c r="K40" s="948"/>
      <c r="L40" s="948"/>
      <c r="M40" s="948"/>
      <c r="N40" s="948"/>
      <c r="O40" s="948"/>
      <c r="P40" s="948"/>
      <c r="Q40" s="948"/>
      <c r="R40" s="948"/>
      <c r="S40" s="948"/>
      <c r="T40" s="948"/>
      <c r="U40" s="949"/>
      <c r="V40" s="452"/>
      <c r="W40" s="5"/>
      <c r="X40" s="5"/>
      <c r="Y40" s="921"/>
      <c r="Z40" s="925"/>
      <c r="AA40" s="915"/>
      <c r="AB40" s="915"/>
      <c r="AC40" s="915"/>
      <c r="AD40" s="915"/>
      <c r="AE40" s="915"/>
      <c r="AF40" s="915"/>
      <c r="AG40" s="915"/>
      <c r="AH40" s="915"/>
      <c r="AI40" s="915"/>
      <c r="AJ40" s="915"/>
      <c r="AK40" s="915"/>
      <c r="AL40" s="915"/>
      <c r="AM40" s="915"/>
      <c r="AN40" s="915"/>
    </row>
    <row r="41" spans="1:40" ht="39" customHeight="1" thickBot="1" x14ac:dyDescent="0.35">
      <c r="A41" s="950"/>
      <c r="B41" s="951"/>
      <c r="C41" s="951"/>
      <c r="D41" s="951"/>
      <c r="E41" s="951"/>
      <c r="F41" s="951"/>
      <c r="G41" s="951"/>
      <c r="H41" s="951"/>
      <c r="I41" s="951"/>
      <c r="J41" s="951"/>
      <c r="K41" s="951"/>
      <c r="L41" s="951"/>
      <c r="M41" s="951"/>
      <c r="N41" s="951"/>
      <c r="O41" s="951"/>
      <c r="P41" s="951"/>
      <c r="Q41" s="951"/>
      <c r="R41" s="951"/>
      <c r="S41" s="951"/>
      <c r="T41" s="951"/>
      <c r="U41" s="952"/>
      <c r="V41" s="5"/>
      <c r="W41" s="5"/>
      <c r="X41" s="5"/>
      <c r="Y41" s="921"/>
      <c r="Z41" s="924" t="s">
        <v>496</v>
      </c>
      <c r="AA41" s="905">
        <f>SUM(AA39:AN40)</f>
        <v>40474.49</v>
      </c>
      <c r="AB41" s="905"/>
      <c r="AC41" s="905"/>
      <c r="AD41" s="905"/>
      <c r="AE41" s="905"/>
      <c r="AF41" s="905"/>
      <c r="AG41" s="905"/>
      <c r="AH41" s="905"/>
      <c r="AI41" s="905"/>
      <c r="AJ41" s="905"/>
      <c r="AK41" s="905"/>
      <c r="AL41" s="905"/>
      <c r="AM41" s="905"/>
      <c r="AN41" s="905"/>
    </row>
    <row r="42" spans="1:40" x14ac:dyDescent="0.3">
      <c r="V42" s="5"/>
      <c r="W42" s="5"/>
      <c r="X42" s="5"/>
      <c r="Y42" s="922"/>
      <c r="Z42" s="925"/>
      <c r="AA42" s="905"/>
      <c r="AB42" s="905"/>
      <c r="AC42" s="905"/>
      <c r="AD42" s="905"/>
      <c r="AE42" s="905"/>
      <c r="AF42" s="905"/>
      <c r="AG42" s="905"/>
      <c r="AH42" s="905"/>
      <c r="AI42" s="905"/>
      <c r="AJ42" s="905"/>
      <c r="AK42" s="905"/>
      <c r="AL42" s="905"/>
      <c r="AM42" s="905"/>
      <c r="AN42" s="905"/>
    </row>
    <row r="43" spans="1:40" ht="15.6" customHeight="1" thickBot="1" x14ac:dyDescent="0.35"/>
    <row r="44" spans="1:40" ht="14.4" customHeight="1" thickBot="1" x14ac:dyDescent="0.35">
      <c r="H44" s="540" t="s">
        <v>279</v>
      </c>
      <c r="I44" s="541" t="s">
        <v>284</v>
      </c>
      <c r="J44" s="542" t="s">
        <v>497</v>
      </c>
    </row>
    <row r="45" spans="1:40" x14ac:dyDescent="0.3">
      <c r="H45" s="538" t="s">
        <v>498</v>
      </c>
      <c r="I45" s="357" t="s">
        <v>499</v>
      </c>
      <c r="J45" s="539">
        <v>62.4</v>
      </c>
    </row>
    <row r="46" spans="1:40" ht="33.75" customHeight="1" thickBot="1" x14ac:dyDescent="0.35">
      <c r="H46" s="535" t="s">
        <v>498</v>
      </c>
      <c r="I46" s="354" t="s">
        <v>500</v>
      </c>
      <c r="J46" s="536">
        <v>72.8</v>
      </c>
      <c r="L46" s="943" t="s">
        <v>673</v>
      </c>
      <c r="M46" s="943"/>
      <c r="N46" s="943"/>
    </row>
    <row r="47" spans="1:40" ht="33.6" customHeight="1" thickBot="1" x14ac:dyDescent="0.35">
      <c r="H47" s="535" t="s">
        <v>499</v>
      </c>
      <c r="I47" s="354" t="s">
        <v>501</v>
      </c>
      <c r="J47" s="536">
        <v>15.2</v>
      </c>
      <c r="L47" s="943"/>
      <c r="M47" s="943"/>
      <c r="N47" s="943"/>
      <c r="AD47" s="801" t="s">
        <v>565</v>
      </c>
      <c r="AE47" s="802"/>
      <c r="AF47" s="802"/>
      <c r="AG47" s="802"/>
      <c r="AH47" s="802"/>
      <c r="AI47" s="802"/>
      <c r="AJ47" s="802"/>
      <c r="AK47" s="803"/>
    </row>
    <row r="48" spans="1:40" ht="30.6" customHeight="1" x14ac:dyDescent="0.3">
      <c r="H48" s="535" t="s">
        <v>500</v>
      </c>
      <c r="I48" s="354" t="s">
        <v>502</v>
      </c>
      <c r="J48" s="536">
        <v>18.5</v>
      </c>
      <c r="L48" s="943"/>
      <c r="M48" s="943"/>
      <c r="N48" s="943"/>
    </row>
    <row r="49" spans="1:40" ht="66" customHeight="1" x14ac:dyDescent="0.3">
      <c r="H49" s="535" t="s">
        <v>501</v>
      </c>
      <c r="I49" s="354" t="s">
        <v>503</v>
      </c>
      <c r="J49" s="536">
        <v>63.3</v>
      </c>
      <c r="Y49" s="590" t="s">
        <v>262</v>
      </c>
      <c r="Z49" s="590"/>
      <c r="AA49" s="360" t="s">
        <v>548</v>
      </c>
      <c r="AB49" s="360" t="s">
        <v>479</v>
      </c>
      <c r="AC49" s="360" t="s">
        <v>560</v>
      </c>
      <c r="AD49" s="360" t="s">
        <v>561</v>
      </c>
      <c r="AE49" s="360" t="s">
        <v>562</v>
      </c>
      <c r="AF49" s="360" t="s">
        <v>566</v>
      </c>
      <c r="AG49" s="360" t="s">
        <v>250</v>
      </c>
      <c r="AH49" s="360" t="s">
        <v>249</v>
      </c>
      <c r="AI49" s="360" t="s">
        <v>475</v>
      </c>
      <c r="AJ49" s="360" t="s">
        <v>477</v>
      </c>
      <c r="AK49" s="360" t="s">
        <v>476</v>
      </c>
      <c r="AL49" s="360" t="s">
        <v>478</v>
      </c>
      <c r="AM49" s="360" t="s">
        <v>567</v>
      </c>
      <c r="AN49" s="360" t="s">
        <v>564</v>
      </c>
    </row>
    <row r="50" spans="1:40" ht="20.399999999999999" customHeight="1" x14ac:dyDescent="0.3">
      <c r="H50" s="535" t="s">
        <v>502</v>
      </c>
      <c r="I50" s="354" t="s">
        <v>504</v>
      </c>
      <c r="J50" s="536">
        <v>121.9</v>
      </c>
      <c r="Y50" s="791" t="s">
        <v>484</v>
      </c>
      <c r="Z50" s="792"/>
      <c r="AA50" s="7" t="s">
        <v>485</v>
      </c>
      <c r="AB50" s="7" t="s">
        <v>230</v>
      </c>
      <c r="AC50" s="7" t="s">
        <v>473</v>
      </c>
      <c r="AD50" s="7" t="s">
        <v>473</v>
      </c>
      <c r="AE50" s="7" t="s">
        <v>473</v>
      </c>
      <c r="AF50" s="7" t="s">
        <v>473</v>
      </c>
      <c r="AG50" s="7" t="s">
        <v>247</v>
      </c>
      <c r="AH50" s="7" t="s">
        <v>241</v>
      </c>
      <c r="AI50" s="7" t="s">
        <v>247</v>
      </c>
      <c r="AJ50" s="7" t="s">
        <v>241</v>
      </c>
      <c r="AK50" s="7" t="s">
        <v>247</v>
      </c>
      <c r="AL50" s="7" t="s">
        <v>241</v>
      </c>
      <c r="AM50" s="7" t="s">
        <v>499</v>
      </c>
      <c r="AN50" s="7" t="s">
        <v>499</v>
      </c>
    </row>
    <row r="51" spans="1:40" ht="24.6" customHeight="1" x14ac:dyDescent="0.3">
      <c r="A51" s="953" t="s">
        <v>424</v>
      </c>
      <c r="B51" s="953"/>
      <c r="C51" s="954" t="s">
        <v>425</v>
      </c>
      <c r="D51" s="954"/>
      <c r="H51" s="535" t="s">
        <v>503</v>
      </c>
      <c r="I51" s="354" t="s">
        <v>505</v>
      </c>
      <c r="J51" s="536">
        <v>35.299999999999997</v>
      </c>
      <c r="Y51" s="912"/>
      <c r="Z51" s="913"/>
      <c r="AA51" s="7" t="s">
        <v>492</v>
      </c>
      <c r="AB51" s="7" t="s">
        <v>472</v>
      </c>
      <c r="AC51" s="7" t="s">
        <v>485</v>
      </c>
      <c r="AD51" s="7" t="s">
        <v>485</v>
      </c>
      <c r="AE51" s="7" t="s">
        <v>485</v>
      </c>
      <c r="AF51" s="7" t="s">
        <v>485</v>
      </c>
      <c r="AG51" s="7" t="s">
        <v>470</v>
      </c>
      <c r="AH51" s="7" t="s">
        <v>471</v>
      </c>
      <c r="AI51" s="7" t="s">
        <v>489</v>
      </c>
      <c r="AJ51" s="7" t="s">
        <v>471</v>
      </c>
      <c r="AK51" s="7" t="s">
        <v>489</v>
      </c>
      <c r="AL51" s="7" t="s">
        <v>471</v>
      </c>
      <c r="AM51" s="7" t="s">
        <v>230</v>
      </c>
      <c r="AN51" s="7" t="s">
        <v>247</v>
      </c>
    </row>
    <row r="52" spans="1:40" ht="24.6" customHeight="1" x14ac:dyDescent="0.4">
      <c r="A52" s="953" t="s">
        <v>426</v>
      </c>
      <c r="B52" s="953"/>
      <c r="C52" s="954" t="s">
        <v>427</v>
      </c>
      <c r="D52" s="954"/>
      <c r="E52" s="528"/>
      <c r="F52" s="528"/>
      <c r="G52" s="82"/>
      <c r="H52" s="535" t="s">
        <v>505</v>
      </c>
      <c r="I52" s="354" t="s">
        <v>506</v>
      </c>
      <c r="J52" s="536">
        <v>23.1</v>
      </c>
      <c r="K52" s="82"/>
      <c r="N52" s="82"/>
      <c r="O52" s="5"/>
      <c r="Q52" s="69"/>
      <c r="R52" s="69"/>
      <c r="S52" s="69"/>
      <c r="T52" s="69"/>
      <c r="U52" s="69"/>
      <c r="Y52" s="912"/>
      <c r="Z52" s="913"/>
      <c r="AA52" s="7"/>
      <c r="AB52" s="7" t="s">
        <v>485</v>
      </c>
      <c r="AC52" s="7"/>
      <c r="AD52" s="7"/>
      <c r="AE52" s="7"/>
      <c r="AF52" s="7"/>
      <c r="AG52" s="7" t="s">
        <v>241</v>
      </c>
      <c r="AH52" s="7" t="s">
        <v>230</v>
      </c>
      <c r="AI52" s="7" t="s">
        <v>241</v>
      </c>
      <c r="AJ52" s="7" t="s">
        <v>230</v>
      </c>
      <c r="AK52" s="7" t="s">
        <v>241</v>
      </c>
      <c r="AL52" s="7" t="s">
        <v>230</v>
      </c>
      <c r="AM52" s="7"/>
      <c r="AN52" s="7"/>
    </row>
    <row r="53" spans="1:40" ht="27" customHeight="1" x14ac:dyDescent="0.3">
      <c r="A53" s="953" t="s">
        <v>428</v>
      </c>
      <c r="B53" s="953"/>
      <c r="C53" s="954">
        <v>10000</v>
      </c>
      <c r="D53" s="954"/>
      <c r="H53" s="535" t="s">
        <v>506</v>
      </c>
      <c r="I53" s="354" t="s">
        <v>380</v>
      </c>
      <c r="J53" s="536">
        <v>22.9</v>
      </c>
      <c r="Y53" s="912"/>
      <c r="Z53" s="913"/>
      <c r="AA53" s="7"/>
      <c r="AB53" s="7"/>
      <c r="AC53" s="7"/>
      <c r="AD53" s="7"/>
      <c r="AE53" s="7"/>
      <c r="AF53" s="7"/>
      <c r="AG53" s="7"/>
      <c r="AH53" s="7"/>
      <c r="AI53" s="7"/>
      <c r="AJ53" s="7"/>
      <c r="AK53" s="7"/>
      <c r="AL53" s="7"/>
      <c r="AM53" s="7"/>
      <c r="AN53" s="7"/>
    </row>
    <row r="54" spans="1:40" ht="30" customHeight="1" x14ac:dyDescent="0.3">
      <c r="A54" s="953" t="s">
        <v>429</v>
      </c>
      <c r="B54" s="953"/>
      <c r="C54" s="968">
        <v>4000</v>
      </c>
      <c r="D54" s="968"/>
      <c r="E54" s="470"/>
      <c r="F54" s="470"/>
      <c r="G54" s="82"/>
      <c r="H54" s="535" t="s">
        <v>507</v>
      </c>
      <c r="I54" s="354" t="s">
        <v>92</v>
      </c>
      <c r="J54" s="536">
        <v>55.8</v>
      </c>
      <c r="K54" s="470"/>
      <c r="N54" s="470"/>
      <c r="Q54" s="470"/>
      <c r="R54" s="470"/>
      <c r="S54" s="470"/>
      <c r="T54" s="470"/>
      <c r="U54" s="470"/>
      <c r="Y54" s="912"/>
      <c r="Z54" s="913"/>
      <c r="AA54" s="7"/>
      <c r="AB54" s="7"/>
      <c r="AC54" s="7"/>
      <c r="AD54" s="7"/>
      <c r="AE54" s="7"/>
      <c r="AF54" s="7"/>
      <c r="AG54" s="7"/>
      <c r="AH54" s="7"/>
      <c r="AI54" s="7"/>
      <c r="AJ54" s="7"/>
      <c r="AK54" s="7"/>
      <c r="AL54" s="7"/>
      <c r="AM54" s="7"/>
      <c r="AN54" s="7"/>
    </row>
    <row r="55" spans="1:40" ht="25.2" customHeight="1" x14ac:dyDescent="0.3">
      <c r="A55" s="953" t="s">
        <v>430</v>
      </c>
      <c r="B55" s="953"/>
      <c r="C55" s="969">
        <f>((10+11)/2)/3.6</f>
        <v>2.9166666666666665</v>
      </c>
      <c r="D55" s="969" t="s">
        <v>431</v>
      </c>
      <c r="E55" s="465"/>
      <c r="F55" s="465"/>
      <c r="G55" s="465"/>
      <c r="H55" s="535" t="s">
        <v>508</v>
      </c>
      <c r="I55" s="354" t="s">
        <v>509</v>
      </c>
      <c r="J55" s="536">
        <v>58.5</v>
      </c>
      <c r="K55" s="465"/>
      <c r="N55" s="465"/>
      <c r="Q55" s="465"/>
      <c r="R55" s="465"/>
      <c r="S55" s="465"/>
      <c r="T55" s="465"/>
      <c r="U55" s="465"/>
      <c r="Y55" s="793"/>
      <c r="Z55" s="794"/>
      <c r="AA55" s="7"/>
      <c r="AB55" s="7"/>
      <c r="AC55" s="7"/>
      <c r="AD55" s="7"/>
      <c r="AE55" s="7"/>
      <c r="AF55" s="7"/>
      <c r="AG55" s="7"/>
      <c r="AH55" s="7"/>
      <c r="AI55" s="7"/>
      <c r="AJ55" s="7"/>
      <c r="AK55" s="7"/>
      <c r="AL55" s="7"/>
      <c r="AM55" s="7"/>
      <c r="AN55" s="7"/>
    </row>
    <row r="56" spans="1:40" ht="15" customHeight="1" x14ac:dyDescent="0.3">
      <c r="A56" s="953" t="s">
        <v>432</v>
      </c>
      <c r="B56" s="953"/>
      <c r="C56" s="954">
        <f>(0.38+0.68)/2</f>
        <v>0.53</v>
      </c>
      <c r="D56" s="954" t="s">
        <v>433</v>
      </c>
      <c r="E56" s="465"/>
      <c r="F56" s="465"/>
      <c r="G56" s="465"/>
      <c r="H56" s="535" t="s">
        <v>509</v>
      </c>
      <c r="I56" s="354" t="s">
        <v>504</v>
      </c>
      <c r="J56" s="536">
        <v>29</v>
      </c>
      <c r="K56" s="465"/>
      <c r="N56" s="465"/>
      <c r="Q56" s="465"/>
      <c r="R56" s="465"/>
      <c r="S56" s="465"/>
      <c r="T56" s="465"/>
      <c r="U56" s="465"/>
      <c r="Y56" s="791" t="s">
        <v>493</v>
      </c>
      <c r="Z56" s="792"/>
      <c r="AA56" s="896">
        <v>25650</v>
      </c>
      <c r="AB56" s="896">
        <v>25650</v>
      </c>
      <c r="AC56" s="896">
        <v>25650</v>
      </c>
      <c r="AD56" s="896">
        <v>51300</v>
      </c>
      <c r="AE56" s="896">
        <v>76950</v>
      </c>
      <c r="AF56" s="896">
        <v>25650</v>
      </c>
      <c r="AG56" s="896">
        <v>26984</v>
      </c>
      <c r="AH56" s="896">
        <v>26444</v>
      </c>
      <c r="AI56" s="896">
        <v>58285</v>
      </c>
      <c r="AJ56" s="896">
        <v>57118</v>
      </c>
      <c r="AK56" s="896">
        <v>53967</v>
      </c>
      <c r="AL56" s="896">
        <v>52887</v>
      </c>
      <c r="AM56" s="896">
        <v>25650</v>
      </c>
      <c r="AN56" s="896">
        <v>22025</v>
      </c>
    </row>
    <row r="57" spans="1:40" ht="21" x14ac:dyDescent="0.3">
      <c r="A57" s="953" t="s">
        <v>434</v>
      </c>
      <c r="B57" s="953"/>
      <c r="C57" s="954">
        <f>(0.55+0.59)/2</f>
        <v>0.57000000000000006</v>
      </c>
      <c r="D57" s="954" t="s">
        <v>433</v>
      </c>
      <c r="E57" s="465"/>
      <c r="F57" s="465"/>
      <c r="G57" s="465"/>
      <c r="H57" s="535" t="s">
        <v>504</v>
      </c>
      <c r="I57" s="354" t="s">
        <v>510</v>
      </c>
      <c r="J57" s="536">
        <v>39.5</v>
      </c>
      <c r="K57" s="465"/>
      <c r="N57" s="465"/>
      <c r="Q57" s="465"/>
      <c r="R57" s="465"/>
      <c r="S57" s="465"/>
      <c r="T57" s="465"/>
      <c r="U57" s="465"/>
      <c r="Y57" s="793"/>
      <c r="Z57" s="794"/>
      <c r="AA57" s="897"/>
      <c r="AB57" s="897"/>
      <c r="AC57" s="897"/>
      <c r="AD57" s="897"/>
      <c r="AE57" s="897"/>
      <c r="AF57" s="897"/>
      <c r="AG57" s="897"/>
      <c r="AH57" s="897"/>
      <c r="AI57" s="897"/>
      <c r="AJ57" s="897"/>
      <c r="AK57" s="897"/>
      <c r="AL57" s="897"/>
      <c r="AM57" s="897"/>
      <c r="AN57" s="897"/>
    </row>
    <row r="58" spans="1:40" ht="21" x14ac:dyDescent="0.3">
      <c r="A58" s="953" t="s">
        <v>435</v>
      </c>
      <c r="B58" s="953"/>
      <c r="C58" s="954">
        <v>30</v>
      </c>
      <c r="D58" s="954"/>
      <c r="E58" s="465"/>
      <c r="F58" s="465"/>
      <c r="G58" s="465"/>
      <c r="H58" s="535" t="s">
        <v>510</v>
      </c>
      <c r="I58" s="354" t="s">
        <v>511</v>
      </c>
      <c r="J58" s="536">
        <v>28.5</v>
      </c>
      <c r="K58" s="465"/>
      <c r="N58" s="465"/>
      <c r="Q58" s="465"/>
      <c r="R58" s="465"/>
      <c r="S58" s="465"/>
      <c r="T58" s="465"/>
      <c r="U58" s="465"/>
      <c r="Y58" s="791" t="s">
        <v>347</v>
      </c>
      <c r="Z58" s="792"/>
      <c r="AA58" s="896">
        <v>1</v>
      </c>
      <c r="AB58" s="896">
        <v>4</v>
      </c>
      <c r="AC58" s="896">
        <v>50</v>
      </c>
      <c r="AD58" s="896">
        <v>200</v>
      </c>
      <c r="AE58" s="896">
        <v>200</v>
      </c>
      <c r="AF58" s="896">
        <v>12</v>
      </c>
      <c r="AG58" s="896">
        <v>25</v>
      </c>
      <c r="AH58" s="896">
        <v>25</v>
      </c>
      <c r="AI58" s="896">
        <v>200</v>
      </c>
      <c r="AJ58" s="896">
        <v>200</v>
      </c>
      <c r="AK58" s="896">
        <v>200</v>
      </c>
      <c r="AL58" s="896">
        <v>200</v>
      </c>
      <c r="AM58" s="896">
        <v>12</v>
      </c>
      <c r="AN58" s="896">
        <v>25</v>
      </c>
    </row>
    <row r="59" spans="1:40" ht="35.4" customHeight="1" thickBot="1" x14ac:dyDescent="0.35">
      <c r="A59" s="953" t="s">
        <v>436</v>
      </c>
      <c r="B59" s="953"/>
      <c r="C59" s="954">
        <v>0.9</v>
      </c>
      <c r="D59" s="954"/>
      <c r="E59" s="465"/>
      <c r="F59" s="465"/>
      <c r="G59" s="465"/>
      <c r="H59" s="537" t="s">
        <v>511</v>
      </c>
      <c r="I59" s="355" t="s">
        <v>512</v>
      </c>
      <c r="J59" s="358">
        <v>58.5</v>
      </c>
      <c r="K59" s="465"/>
      <c r="N59" s="465"/>
      <c r="Q59" s="465"/>
      <c r="R59" s="465"/>
      <c r="S59" s="465"/>
      <c r="T59" s="465"/>
      <c r="U59" s="465"/>
      <c r="Y59" s="793"/>
      <c r="Z59" s="794"/>
      <c r="AA59" s="897"/>
      <c r="AB59" s="897"/>
      <c r="AC59" s="897"/>
      <c r="AD59" s="897"/>
      <c r="AE59" s="897"/>
      <c r="AF59" s="897"/>
      <c r="AG59" s="897"/>
      <c r="AH59" s="897"/>
      <c r="AI59" s="897"/>
      <c r="AJ59" s="897"/>
      <c r="AK59" s="897"/>
      <c r="AL59" s="897"/>
      <c r="AM59" s="897"/>
      <c r="AN59" s="897"/>
    </row>
    <row r="60" spans="1:40" ht="21.6" thickBot="1" x14ac:dyDescent="0.35">
      <c r="A60" s="470"/>
      <c r="B60" s="470"/>
      <c r="C60" s="465"/>
      <c r="D60" s="465"/>
      <c r="E60" s="465"/>
      <c r="G60" s="465"/>
      <c r="H60" s="537" t="s">
        <v>513</v>
      </c>
      <c r="I60" s="355" t="s">
        <v>92</v>
      </c>
      <c r="J60" s="358">
        <v>102.9</v>
      </c>
      <c r="K60" s="465"/>
      <c r="N60" s="465"/>
      <c r="Q60" s="465"/>
      <c r="R60" s="465"/>
      <c r="S60" s="465"/>
      <c r="T60" s="465"/>
      <c r="U60" s="465"/>
      <c r="Y60" s="816" t="s">
        <v>494</v>
      </c>
      <c r="Z60" s="816" t="s">
        <v>495</v>
      </c>
      <c r="AA60" s="930">
        <v>25650</v>
      </c>
      <c r="AB60" s="930">
        <v>6413</v>
      </c>
      <c r="AC60" s="930">
        <v>513</v>
      </c>
      <c r="AD60" s="930">
        <v>257</v>
      </c>
      <c r="AE60" s="930">
        <v>385</v>
      </c>
      <c r="AF60" s="930">
        <v>2138</v>
      </c>
      <c r="AG60" s="930">
        <v>1080</v>
      </c>
      <c r="AH60" s="930">
        <v>1058</v>
      </c>
      <c r="AI60" s="930">
        <v>292</v>
      </c>
      <c r="AJ60" s="930">
        <v>286</v>
      </c>
      <c r="AK60" s="930">
        <v>270</v>
      </c>
      <c r="AL60" s="930">
        <v>265</v>
      </c>
      <c r="AM60" s="930">
        <v>2138</v>
      </c>
      <c r="AN60" s="930">
        <v>881</v>
      </c>
    </row>
    <row r="61" spans="1:40" ht="14.4" customHeight="1" thickBot="1" x14ac:dyDescent="0.45">
      <c r="A61" s="470"/>
      <c r="B61" s="470"/>
      <c r="C61" s="524"/>
      <c r="D61" s="524"/>
      <c r="E61" s="524"/>
      <c r="F61" s="524"/>
      <c r="G61" s="465"/>
      <c r="H61" s="537" t="s">
        <v>502</v>
      </c>
      <c r="I61" s="355" t="s">
        <v>92</v>
      </c>
      <c r="J61" s="358">
        <v>80.5</v>
      </c>
      <c r="K61" s="465"/>
      <c r="N61" s="465"/>
      <c r="Q61" s="465"/>
      <c r="R61" s="465"/>
      <c r="S61" s="465"/>
      <c r="T61" s="465"/>
      <c r="U61" s="465"/>
      <c r="Y61" s="929"/>
      <c r="Z61" s="928"/>
      <c r="AA61" s="931"/>
      <c r="AB61" s="931"/>
      <c r="AC61" s="931"/>
      <c r="AD61" s="931"/>
      <c r="AE61" s="931"/>
      <c r="AF61" s="931"/>
      <c r="AG61" s="931"/>
      <c r="AH61" s="931"/>
      <c r="AI61" s="931"/>
      <c r="AJ61" s="931"/>
      <c r="AK61" s="931"/>
      <c r="AL61" s="931"/>
      <c r="AM61" s="931"/>
      <c r="AN61" s="931"/>
    </row>
    <row r="62" spans="1:40" ht="14.4" customHeight="1" x14ac:dyDescent="0.4">
      <c r="A62" s="470"/>
      <c r="B62" s="470"/>
      <c r="C62" s="524"/>
      <c r="D62" s="524"/>
      <c r="E62" s="524"/>
      <c r="F62" s="524"/>
      <c r="G62" s="465"/>
      <c r="H62" s="465"/>
      <c r="J62" s="465"/>
      <c r="K62" s="465"/>
      <c r="N62" s="465"/>
      <c r="Q62" s="465"/>
      <c r="R62" s="465"/>
      <c r="S62" s="465"/>
      <c r="T62" s="465"/>
      <c r="U62" s="465"/>
      <c r="Y62" s="929"/>
      <c r="Z62" s="816" t="s">
        <v>557</v>
      </c>
      <c r="AA62" s="930">
        <v>25650</v>
      </c>
      <c r="AB62" s="930">
        <v>12826</v>
      </c>
      <c r="AC62" s="930">
        <v>513</v>
      </c>
      <c r="AD62" s="930">
        <v>257</v>
      </c>
      <c r="AE62" s="930">
        <v>385</v>
      </c>
      <c r="AF62" s="930">
        <v>2138</v>
      </c>
      <c r="AG62" s="930">
        <v>2160</v>
      </c>
      <c r="AH62" s="930">
        <v>2116</v>
      </c>
      <c r="AI62" s="930">
        <v>584</v>
      </c>
      <c r="AJ62" s="930">
        <v>572</v>
      </c>
      <c r="AK62" s="930">
        <v>540</v>
      </c>
      <c r="AL62" s="930">
        <v>530</v>
      </c>
      <c r="AM62" s="930">
        <v>2138</v>
      </c>
      <c r="AN62" s="930">
        <v>881</v>
      </c>
    </row>
    <row r="63" spans="1:40" ht="15" customHeight="1" x14ac:dyDescent="0.4">
      <c r="A63" s="470"/>
      <c r="B63" s="470"/>
      <c r="C63" s="524"/>
      <c r="D63" s="524"/>
      <c r="E63" s="524"/>
      <c r="F63" s="524"/>
      <c r="G63" s="465"/>
      <c r="H63" s="465"/>
      <c r="J63" s="465"/>
      <c r="K63" s="465"/>
      <c r="N63" s="465"/>
      <c r="Q63" s="465"/>
      <c r="R63" s="465"/>
      <c r="S63" s="465"/>
      <c r="T63" s="465"/>
      <c r="U63" s="465"/>
      <c r="Y63" s="929"/>
      <c r="Z63" s="928"/>
      <c r="AA63" s="931"/>
      <c r="AB63" s="931"/>
      <c r="AC63" s="931"/>
      <c r="AD63" s="931"/>
      <c r="AE63" s="931"/>
      <c r="AF63" s="931"/>
      <c r="AG63" s="931"/>
      <c r="AH63" s="931"/>
      <c r="AI63" s="931"/>
      <c r="AJ63" s="931"/>
      <c r="AK63" s="931"/>
      <c r="AL63" s="931"/>
      <c r="AM63" s="931"/>
      <c r="AN63" s="931"/>
    </row>
    <row r="64" spans="1:40" ht="11.4" customHeight="1" x14ac:dyDescent="0.4">
      <c r="A64" s="470"/>
      <c r="B64" s="470"/>
      <c r="C64" s="524"/>
      <c r="D64" s="524"/>
      <c r="E64" s="524"/>
      <c r="F64" s="524"/>
      <c r="G64" s="465"/>
      <c r="H64" s="465"/>
      <c r="J64" s="465"/>
      <c r="K64" s="465"/>
      <c r="N64" s="465"/>
      <c r="Q64" s="465"/>
      <c r="R64" s="465"/>
      <c r="S64" s="465"/>
      <c r="T64" s="465"/>
      <c r="U64" s="573"/>
      <c r="Y64" s="929"/>
      <c r="Z64" s="816" t="s">
        <v>496</v>
      </c>
      <c r="AA64" s="932">
        <v>51290</v>
      </c>
      <c r="AB64" s="933"/>
      <c r="AC64" s="933"/>
      <c r="AD64" s="933"/>
      <c r="AE64" s="933"/>
      <c r="AF64" s="933"/>
      <c r="AG64" s="933"/>
      <c r="AH64" s="933"/>
      <c r="AI64" s="933"/>
      <c r="AJ64" s="933"/>
      <c r="AK64" s="933"/>
      <c r="AL64" s="933"/>
      <c r="AM64" s="933"/>
      <c r="AN64" s="934"/>
    </row>
    <row r="65" spans="1:40" ht="3" hidden="1" customHeight="1" x14ac:dyDescent="0.4">
      <c r="A65" s="470"/>
      <c r="B65" s="470"/>
      <c r="C65" s="524"/>
      <c r="D65" s="524"/>
      <c r="E65" s="524"/>
      <c r="F65" s="524"/>
      <c r="G65" s="465"/>
      <c r="H65" s="465"/>
      <c r="J65" s="465"/>
      <c r="K65" s="465"/>
      <c r="N65" s="465"/>
      <c r="Q65" s="465"/>
      <c r="R65" s="465"/>
      <c r="S65" s="465"/>
      <c r="T65" s="465"/>
      <c r="U65" s="465"/>
      <c r="Y65" s="928"/>
      <c r="Z65" s="928"/>
      <c r="AA65" s="935"/>
      <c r="AB65" s="936"/>
      <c r="AC65" s="936"/>
      <c r="AD65" s="936"/>
      <c r="AE65" s="936"/>
      <c r="AF65" s="936"/>
      <c r="AG65" s="936"/>
      <c r="AH65" s="936"/>
      <c r="AI65" s="936"/>
      <c r="AJ65" s="936"/>
      <c r="AK65" s="936"/>
      <c r="AL65" s="936"/>
      <c r="AM65" s="936"/>
      <c r="AN65" s="937"/>
    </row>
    <row r="66" spans="1:40" ht="21" hidden="1" x14ac:dyDescent="0.4">
      <c r="A66" s="470"/>
      <c r="B66" s="470"/>
      <c r="C66" s="524"/>
      <c r="D66" s="524"/>
      <c r="E66" s="524"/>
      <c r="F66" s="524"/>
      <c r="G66" s="465"/>
      <c r="H66" s="465"/>
      <c r="J66" s="465"/>
      <c r="K66" s="465"/>
      <c r="N66" s="465"/>
      <c r="Q66" s="465"/>
      <c r="R66" s="465"/>
      <c r="S66" s="465"/>
      <c r="T66" s="465"/>
      <c r="U66" s="465"/>
    </row>
    <row r="67" spans="1:40" ht="32.4" customHeight="1" x14ac:dyDescent="0.3">
      <c r="A67" s="635" t="s">
        <v>378</v>
      </c>
      <c r="B67" s="636"/>
      <c r="C67" s="636"/>
      <c r="D67" s="637"/>
      <c r="G67" s="590" t="s">
        <v>379</v>
      </c>
      <c r="H67" s="590"/>
      <c r="J67" s="590" t="s">
        <v>380</v>
      </c>
      <c r="K67" s="590"/>
      <c r="N67" s="6" t="s">
        <v>381</v>
      </c>
      <c r="O67" s="5"/>
      <c r="P67" s="5"/>
      <c r="Q67" s="590" t="s">
        <v>382</v>
      </c>
      <c r="R67" s="590"/>
      <c r="S67" s="590"/>
      <c r="T67" s="590"/>
      <c r="U67" s="590"/>
    </row>
    <row r="68" spans="1:40" ht="64.2" customHeight="1" thickBot="1" x14ac:dyDescent="0.35">
      <c r="A68" s="690"/>
      <c r="B68" s="690"/>
      <c r="C68" s="807" t="s">
        <v>383</v>
      </c>
      <c r="D68" s="808"/>
      <c r="E68" s="515"/>
      <c r="F68" s="470"/>
      <c r="G68" s="552" t="s">
        <v>384</v>
      </c>
      <c r="H68" s="547" t="s">
        <v>385</v>
      </c>
      <c r="I68" s="69"/>
      <c r="J68" s="552" t="s">
        <v>384</v>
      </c>
      <c r="K68" s="547" t="s">
        <v>386</v>
      </c>
      <c r="N68" s="547" t="s">
        <v>387</v>
      </c>
      <c r="O68" s="5"/>
      <c r="P68" s="5"/>
      <c r="Q68" s="547" t="s">
        <v>388</v>
      </c>
      <c r="R68" s="547" t="s">
        <v>389</v>
      </c>
      <c r="S68" s="547" t="s">
        <v>390</v>
      </c>
      <c r="T68" s="547" t="s">
        <v>391</v>
      </c>
      <c r="U68" s="547" t="s">
        <v>392</v>
      </c>
    </row>
    <row r="69" spans="1:40" x14ac:dyDescent="0.3">
      <c r="A69" s="617" t="s">
        <v>438</v>
      </c>
      <c r="B69" s="618"/>
      <c r="C69" s="987">
        <f>(((DIM_MAG_TOTALE!C20-1)/2)*DIM_MAG_TOTALE!C16)/1000</f>
        <v>4.8</v>
      </c>
      <c r="D69" s="981"/>
      <c r="E69" s="621" t="s">
        <v>438</v>
      </c>
      <c r="F69" s="989"/>
      <c r="G69" s="987">
        <f>(((DIM_MAG_TOTALE!G20-1)/2)*DIM_MAG_TOTALE!G16)/1000</f>
        <v>5</v>
      </c>
      <c r="H69" s="981">
        <f>(((DIM_MAG_TOTALE!H20-1)/2)*DIM_MAG_TOTALE!H16)/1000</f>
        <v>5</v>
      </c>
      <c r="I69" s="621" t="s">
        <v>438</v>
      </c>
      <c r="J69" s="987">
        <f>(((DIM_MAG_TOTALE!J20-1)/2)*DIM_MAG_TOTALE!J16)/1000</f>
        <v>5</v>
      </c>
      <c r="K69" s="981">
        <f>(((DIM_MAG_TOTALE!K20-1)/2)*DIM_MAG_TOTALE!K16)/1000</f>
        <v>5</v>
      </c>
      <c r="L69" s="617" t="s">
        <v>438</v>
      </c>
      <c r="M69" s="618"/>
      <c r="N69" s="981">
        <f>(((DIM_MAG_TOTALE!N20-1)/2)*DIM_MAG_TOTALE!N16)/1000</f>
        <v>4.4000000000000004</v>
      </c>
      <c r="O69" s="617" t="s">
        <v>438</v>
      </c>
      <c r="P69" s="618"/>
      <c r="Q69" s="983">
        <f>(((DIM_MAG_TOTALE!Q20-1)/2)*DIM_MAG_TOTALE!Q16)/1000</f>
        <v>4.8</v>
      </c>
      <c r="R69" s="985">
        <f>(((DIM_MAG_TOTALE!R20-1)/2)*DIM_MAG_TOTALE!R16)/1000</f>
        <v>5</v>
      </c>
      <c r="S69" s="987">
        <f>(((DIM_MAG_TOTALE!S20-1)/2)*DIM_MAG_TOTALE!S16)/1000</f>
        <v>4.8</v>
      </c>
      <c r="T69" s="987">
        <f>(((DIM_MAG_TOTALE!T20-1)/2)*DIM_MAG_TOTALE!T16)/1000</f>
        <v>5</v>
      </c>
      <c r="U69" s="981">
        <f>(((DIM_MAG_TOTALE!U20-1)/2)*DIM_MAG_TOTALE!U16)/1000</f>
        <v>4.8</v>
      </c>
    </row>
    <row r="70" spans="1:40" x14ac:dyDescent="0.3">
      <c r="A70" s="599"/>
      <c r="B70" s="600"/>
      <c r="C70" s="988"/>
      <c r="D70" s="982"/>
      <c r="E70" s="601"/>
      <c r="F70" s="590"/>
      <c r="G70" s="988"/>
      <c r="H70" s="982"/>
      <c r="I70" s="601"/>
      <c r="J70" s="988"/>
      <c r="K70" s="982"/>
      <c r="L70" s="599"/>
      <c r="M70" s="600"/>
      <c r="N70" s="982"/>
      <c r="O70" s="599"/>
      <c r="P70" s="600"/>
      <c r="Q70" s="984"/>
      <c r="R70" s="986"/>
      <c r="S70" s="988"/>
      <c r="T70" s="988"/>
      <c r="U70" s="982"/>
    </row>
    <row r="71" spans="1:40" ht="14.4" customHeight="1" x14ac:dyDescent="0.3">
      <c r="A71" s="599" t="s">
        <v>439</v>
      </c>
      <c r="B71" s="600"/>
      <c r="C71" s="959">
        <v>39.5</v>
      </c>
      <c r="D71" s="964"/>
      <c r="E71" s="599" t="s">
        <v>440</v>
      </c>
      <c r="F71" s="600"/>
      <c r="G71" s="959">
        <v>35.299999999999997</v>
      </c>
      <c r="H71" s="964"/>
      <c r="I71" s="599" t="s">
        <v>441</v>
      </c>
      <c r="J71" s="959">
        <v>22.9</v>
      </c>
      <c r="K71" s="964"/>
      <c r="L71" s="599" t="s">
        <v>442</v>
      </c>
      <c r="M71" s="600"/>
      <c r="N71" s="964">
        <v>58.5</v>
      </c>
      <c r="O71" s="599" t="s">
        <v>443</v>
      </c>
      <c r="P71" s="600"/>
      <c r="Q71" s="961">
        <v>62.4</v>
      </c>
      <c r="R71" s="970">
        <v>72.8</v>
      </c>
      <c r="S71" s="959"/>
      <c r="T71" s="959"/>
      <c r="U71" s="964"/>
    </row>
    <row r="72" spans="1:40" x14ac:dyDescent="0.3">
      <c r="A72" s="599"/>
      <c r="B72" s="600"/>
      <c r="C72" s="959"/>
      <c r="D72" s="964"/>
      <c r="E72" s="599"/>
      <c r="F72" s="600"/>
      <c r="G72" s="959"/>
      <c r="H72" s="964"/>
      <c r="I72" s="599"/>
      <c r="J72" s="959"/>
      <c r="K72" s="964"/>
      <c r="L72" s="599"/>
      <c r="M72" s="600"/>
      <c r="N72" s="964"/>
      <c r="O72" s="599"/>
      <c r="P72" s="600"/>
      <c r="Q72" s="961"/>
      <c r="R72" s="970"/>
      <c r="S72" s="959"/>
      <c r="T72" s="959"/>
      <c r="U72" s="964"/>
    </row>
    <row r="73" spans="1:40" ht="28.8" x14ac:dyDescent="0.55000000000000004">
      <c r="A73" s="599"/>
      <c r="B73" s="600"/>
      <c r="C73" s="959"/>
      <c r="D73" s="964"/>
      <c r="E73" s="599"/>
      <c r="F73" s="600"/>
      <c r="G73" s="959"/>
      <c r="H73" s="964"/>
      <c r="I73" s="599"/>
      <c r="J73" s="959"/>
      <c r="K73" s="964"/>
      <c r="L73" s="599"/>
      <c r="M73" s="600"/>
      <c r="N73" s="964"/>
      <c r="O73" s="599"/>
      <c r="P73" s="600"/>
      <c r="Q73" s="961"/>
      <c r="R73" s="970"/>
      <c r="S73" s="959"/>
      <c r="T73" s="959"/>
      <c r="U73" s="964"/>
      <c r="AB73" s="464"/>
      <c r="AC73" s="464"/>
      <c r="AD73" s="464"/>
      <c r="AE73" s="464"/>
      <c r="AF73" s="464"/>
      <c r="AG73" s="464"/>
      <c r="AH73" s="464"/>
      <c r="AI73" s="464"/>
      <c r="AJ73" s="464"/>
      <c r="AK73" s="464"/>
    </row>
    <row r="74" spans="1:40" ht="28.8" customHeight="1" x14ac:dyDescent="0.55000000000000004">
      <c r="A74" s="599" t="s">
        <v>444</v>
      </c>
      <c r="B74" s="600"/>
      <c r="C74" s="959">
        <f>(2*C71/$C$55) + (C69/$C$56) + (C69/$C$57)+(2*$C$58)</f>
        <v>104.56337069087814</v>
      </c>
      <c r="D74" s="964"/>
      <c r="E74" s="599" t="s">
        <v>445</v>
      </c>
      <c r="F74" s="600"/>
      <c r="G74" s="959">
        <f>(2*G71/$C$55) + (G69/$C$56) + (G69/$C$57)+(2*$C$58)</f>
        <v>102.41160637442664</v>
      </c>
      <c r="H74" s="964">
        <f>(2*G71/$C$55) + (H69/$C$56) + (H69/$C$57)+(2*$C$58)</f>
        <v>102.41160637442664</v>
      </c>
      <c r="I74" s="599" t="s">
        <v>446</v>
      </c>
      <c r="J74" s="959">
        <f>(2*J71/$C$55) + (J69/$C$56) + (J69/$C$57)+(2*$C$58)</f>
        <v>93.908749231569487</v>
      </c>
      <c r="K74" s="964">
        <f>(2*J71/$C$55) + (K69/$C$56) + (K69/$C$57)+(2*$C$58)</f>
        <v>93.908749231569487</v>
      </c>
      <c r="L74" s="599" t="s">
        <v>447</v>
      </c>
      <c r="M74" s="600"/>
      <c r="N74" s="964">
        <f>(2*N71/$C$55) + (N69/$C$56) + (N69/$C$57)+(2*$C$58)</f>
        <v>116.13547075235257</v>
      </c>
      <c r="O74" s="599" t="s">
        <v>448</v>
      </c>
      <c r="P74" s="600"/>
      <c r="Q74" s="961">
        <f>(2*Q71/$C$55) + (Q69/$C$56) + (Q69/$C$57)+(2*$C$58)</f>
        <v>120.26622783373529</v>
      </c>
      <c r="R74" s="970">
        <f t="shared" ref="R74" si="19">(2*R71/$C$55) + (R69/$C$56) + (R69/$C$57)+(2*$C$58)</f>
        <v>128.12589208871236</v>
      </c>
      <c r="S74" s="959">
        <f>(2*R71/$C$55) + (S69/$C$56) + (S69/$C$57)+(2*$C$58)</f>
        <v>127.39765640516386</v>
      </c>
      <c r="T74" s="959">
        <f>(2*R71/$C$55) + (T69/$C$56) + (T69/$C$57)+(2*$C$58)</f>
        <v>128.12589208871236</v>
      </c>
      <c r="U74" s="964">
        <f>(2*R71/$C$55) + (U69/$C$56) + (U69/$C$57)+(2*$C$58)</f>
        <v>127.39765640516386</v>
      </c>
      <c r="AB74" s="464"/>
      <c r="AC74" s="464"/>
      <c r="AD74" s="464"/>
      <c r="AE74" s="464"/>
      <c r="AF74" s="464"/>
      <c r="AG74" s="464"/>
      <c r="AH74" s="464"/>
      <c r="AI74" s="464"/>
      <c r="AJ74" s="464"/>
      <c r="AK74" s="464"/>
    </row>
    <row r="75" spans="1:40" ht="28.8" x14ac:dyDescent="0.55000000000000004">
      <c r="A75" s="599"/>
      <c r="B75" s="600"/>
      <c r="C75" s="959"/>
      <c r="D75" s="964"/>
      <c r="E75" s="599"/>
      <c r="F75" s="600"/>
      <c r="G75" s="959"/>
      <c r="H75" s="964"/>
      <c r="I75" s="599"/>
      <c r="J75" s="959"/>
      <c r="K75" s="964"/>
      <c r="L75" s="599"/>
      <c r="M75" s="600"/>
      <c r="N75" s="964"/>
      <c r="O75" s="599"/>
      <c r="P75" s="600"/>
      <c r="Q75" s="961"/>
      <c r="R75" s="970"/>
      <c r="S75" s="959"/>
      <c r="T75" s="959"/>
      <c r="U75" s="964"/>
      <c r="AB75" s="464"/>
      <c r="AC75" s="464"/>
      <c r="AD75" s="464"/>
      <c r="AE75" s="464"/>
      <c r="AF75" s="464"/>
      <c r="AG75" s="464"/>
      <c r="AH75" s="464"/>
      <c r="AI75" s="464"/>
      <c r="AJ75" s="464"/>
      <c r="AK75" s="464"/>
    </row>
    <row r="76" spans="1:40" ht="28.8" x14ac:dyDescent="0.55000000000000004">
      <c r="A76" s="599"/>
      <c r="B76" s="600"/>
      <c r="C76" s="959"/>
      <c r="D76" s="964"/>
      <c r="E76" s="599"/>
      <c r="F76" s="600"/>
      <c r="G76" s="959"/>
      <c r="H76" s="964"/>
      <c r="I76" s="599"/>
      <c r="J76" s="959"/>
      <c r="K76" s="964"/>
      <c r="L76" s="599"/>
      <c r="M76" s="600"/>
      <c r="N76" s="964"/>
      <c r="O76" s="599"/>
      <c r="P76" s="600"/>
      <c r="Q76" s="961"/>
      <c r="R76" s="970"/>
      <c r="S76" s="959"/>
      <c r="T76" s="959"/>
      <c r="U76" s="964"/>
      <c r="AB76" s="464"/>
      <c r="AC76" s="464"/>
      <c r="AD76" s="464"/>
      <c r="AE76" s="464"/>
      <c r="AF76" s="464"/>
      <c r="AG76" s="464"/>
      <c r="AH76" s="464"/>
      <c r="AI76" s="464"/>
      <c r="AJ76" s="464"/>
      <c r="AK76" s="464"/>
    </row>
    <row r="77" spans="1:40" ht="28.8" x14ac:dyDescent="0.55000000000000004">
      <c r="A77" s="599" t="s">
        <v>449</v>
      </c>
      <c r="B77" s="600"/>
      <c r="C77" s="959">
        <f>_xlfn.CEILING.MATH($AA$16/22/15)</f>
        <v>140</v>
      </c>
      <c r="D77" s="964"/>
      <c r="E77" s="599" t="s">
        <v>449</v>
      </c>
      <c r="F77" s="600"/>
      <c r="G77" s="959">
        <f>_xlfn.CEILING.MATH(AB16/22/15)</f>
        <v>6</v>
      </c>
      <c r="H77" s="964">
        <f>_xlfn.CEILING.MATH(SUM(AC16:AE17)/22/15)</f>
        <v>5</v>
      </c>
      <c r="I77" s="599" t="s">
        <v>449</v>
      </c>
      <c r="J77" s="959">
        <f>_xlfn.CEILING.MATH(AF16/22/15)</f>
        <v>6</v>
      </c>
      <c r="K77" s="964">
        <f>_xlfn.CEILING.MATH(SUM(AG16:AH17)/22/15)</f>
        <v>4</v>
      </c>
      <c r="L77" s="599" t="s">
        <v>449</v>
      </c>
      <c r="M77" s="600"/>
      <c r="N77" s="964">
        <f>_xlfn.CEILING.MATH(AI16/22/15)</f>
        <v>35</v>
      </c>
      <c r="O77" s="599" t="s">
        <v>449</v>
      </c>
      <c r="P77" s="600"/>
      <c r="Q77" s="961">
        <f>_xlfn.CEILING.MATH(SUM('$_MAG_BUFFER_TOTALE'!S6:S8)/15)</f>
        <v>82</v>
      </c>
      <c r="R77" s="970">
        <f>_xlfn.CEILING.MATH(SUM('$_MAG_BUFFER_TOTALE'!S13:S14)/15)</f>
        <v>14</v>
      </c>
      <c r="S77" s="959">
        <f>_xlfn.CEILING.MATH(SUM(SUM('$_MAG_BUFFER_TOTALE'!S9:S10),SUM('$_MAG_BUFFER_TOTALE'!S17:S18))/15)</f>
        <v>75</v>
      </c>
      <c r="T77" s="959">
        <f>_xlfn.CEILING.MATH(SUM(SUM('$_MAG_BUFFER_TOTALE'!S11:S12),SUM('$_MAG_BUFFER_TOTALE'!S15:S16))/15)</f>
        <v>37</v>
      </c>
      <c r="U77" s="964">
        <f>_xlfn.CEILING.MATH(SUM('$_MAG_BUFFER_TOTALE'!S19:S20)/15)</f>
        <v>85</v>
      </c>
      <c r="AB77" s="464"/>
      <c r="AC77" s="464"/>
      <c r="AD77" s="464"/>
      <c r="AE77" s="464"/>
      <c r="AF77" s="464"/>
      <c r="AG77" s="464"/>
      <c r="AH77" s="464"/>
      <c r="AI77" s="464"/>
      <c r="AJ77" s="464"/>
      <c r="AK77" s="464"/>
    </row>
    <row r="78" spans="1:40" ht="28.8" x14ac:dyDescent="0.55000000000000004">
      <c r="A78" s="599"/>
      <c r="B78" s="600"/>
      <c r="C78" s="959"/>
      <c r="D78" s="964"/>
      <c r="E78" s="599"/>
      <c r="F78" s="600"/>
      <c r="G78" s="959"/>
      <c r="H78" s="964"/>
      <c r="I78" s="599"/>
      <c r="J78" s="959"/>
      <c r="K78" s="964"/>
      <c r="L78" s="599"/>
      <c r="M78" s="600"/>
      <c r="N78" s="964"/>
      <c r="O78" s="599"/>
      <c r="P78" s="600"/>
      <c r="Q78" s="961"/>
      <c r="R78" s="970"/>
      <c r="S78" s="959"/>
      <c r="T78" s="959"/>
      <c r="U78" s="964"/>
      <c r="AB78" s="464"/>
      <c r="AC78" s="464"/>
      <c r="AD78" s="464"/>
      <c r="AE78" s="464"/>
      <c r="AF78" s="464"/>
      <c r="AG78" s="464"/>
      <c r="AH78" s="464"/>
      <c r="AI78" s="464"/>
      <c r="AJ78" s="464"/>
      <c r="AK78" s="464"/>
    </row>
    <row r="79" spans="1:40" ht="28.8" x14ac:dyDescent="0.55000000000000004">
      <c r="A79" s="599"/>
      <c r="B79" s="600"/>
      <c r="C79" s="959"/>
      <c r="D79" s="964"/>
      <c r="E79" s="599"/>
      <c r="F79" s="600"/>
      <c r="G79" s="959"/>
      <c r="H79" s="964"/>
      <c r="I79" s="599"/>
      <c r="J79" s="959"/>
      <c r="K79" s="964"/>
      <c r="L79" s="599"/>
      <c r="M79" s="600"/>
      <c r="N79" s="964"/>
      <c r="O79" s="599"/>
      <c r="P79" s="600"/>
      <c r="Q79" s="961"/>
      <c r="R79" s="970"/>
      <c r="S79" s="959"/>
      <c r="T79" s="959"/>
      <c r="U79" s="964"/>
      <c r="AB79" s="464"/>
      <c r="AC79" s="464"/>
      <c r="AD79" s="464"/>
      <c r="AE79" s="464"/>
      <c r="AF79" s="464"/>
      <c r="AG79" s="464"/>
      <c r="AH79" s="464"/>
      <c r="AI79" s="464"/>
      <c r="AJ79" s="464"/>
      <c r="AK79" s="464"/>
    </row>
    <row r="80" spans="1:40" ht="28.8" customHeight="1" x14ac:dyDescent="0.55000000000000004">
      <c r="A80" s="599" t="s">
        <v>450</v>
      </c>
      <c r="B80" s="600"/>
      <c r="C80" s="959">
        <f>C59*3600/C74</f>
        <v>30.985994221422413</v>
      </c>
      <c r="D80" s="964"/>
      <c r="E80" s="599" t="s">
        <v>450</v>
      </c>
      <c r="F80" s="600"/>
      <c r="G80" s="959">
        <f>C59*3600/G74</f>
        <v>31.637039147245183</v>
      </c>
      <c r="H80" s="964">
        <f>$C$59*3600/H74</f>
        <v>31.637039147245183</v>
      </c>
      <c r="I80" s="599" t="s">
        <v>450</v>
      </c>
      <c r="J80" s="959">
        <f>$C$59*3600/J74</f>
        <v>34.501577611373435</v>
      </c>
      <c r="K80" s="964">
        <f>$C$59*3600/K74</f>
        <v>34.501577611373435</v>
      </c>
      <c r="L80" s="599" t="s">
        <v>450</v>
      </c>
      <c r="M80" s="600"/>
      <c r="N80" s="964">
        <f>$C$59*3600/N74</f>
        <v>27.898453237503812</v>
      </c>
      <c r="O80" s="599" t="s">
        <v>450</v>
      </c>
      <c r="P80" s="600"/>
      <c r="Q80" s="961">
        <f>$C$59*3600/Q74</f>
        <v>26.940231338087777</v>
      </c>
      <c r="R80" s="970">
        <f>$C$59*3600/R74</f>
        <v>25.287628809301673</v>
      </c>
      <c r="S80" s="959">
        <f>$C$59*3600/S74</f>
        <v>25.432178985269559</v>
      </c>
      <c r="T80" s="959">
        <f>$C$59*3600/T74</f>
        <v>25.287628809301673</v>
      </c>
      <c r="U80" s="964">
        <f>$C$59*3600/U74</f>
        <v>25.432178985269559</v>
      </c>
      <c r="AB80" s="464"/>
      <c r="AC80" s="464"/>
      <c r="AD80" s="464"/>
      <c r="AE80" s="464"/>
      <c r="AF80" s="464"/>
      <c r="AG80" s="464"/>
      <c r="AH80" s="464"/>
      <c r="AI80" s="464"/>
      <c r="AJ80" s="464"/>
      <c r="AK80" s="464"/>
    </row>
    <row r="81" spans="1:37" ht="28.8" x14ac:dyDescent="0.55000000000000004">
      <c r="A81" s="599"/>
      <c r="B81" s="600"/>
      <c r="C81" s="959"/>
      <c r="D81" s="964"/>
      <c r="E81" s="599"/>
      <c r="F81" s="600"/>
      <c r="G81" s="959"/>
      <c r="H81" s="964"/>
      <c r="I81" s="599"/>
      <c r="J81" s="959"/>
      <c r="K81" s="964"/>
      <c r="L81" s="599"/>
      <c r="M81" s="600"/>
      <c r="N81" s="964"/>
      <c r="O81" s="599"/>
      <c r="P81" s="600"/>
      <c r="Q81" s="961"/>
      <c r="R81" s="970"/>
      <c r="S81" s="959"/>
      <c r="T81" s="959"/>
      <c r="U81" s="964"/>
      <c r="AB81" s="464"/>
      <c r="AC81" s="464"/>
      <c r="AD81" s="464"/>
      <c r="AE81" s="464"/>
      <c r="AF81" s="464"/>
      <c r="AG81" s="464"/>
      <c r="AH81" s="464"/>
      <c r="AI81" s="464"/>
      <c r="AJ81" s="464"/>
      <c r="AK81" s="464"/>
    </row>
    <row r="82" spans="1:37" ht="28.8" x14ac:dyDescent="0.55000000000000004">
      <c r="A82" s="599"/>
      <c r="B82" s="600"/>
      <c r="C82" s="959"/>
      <c r="D82" s="964"/>
      <c r="E82" s="599"/>
      <c r="F82" s="600"/>
      <c r="G82" s="959"/>
      <c r="H82" s="964"/>
      <c r="I82" s="599"/>
      <c r="J82" s="959"/>
      <c r="K82" s="964"/>
      <c r="L82" s="599"/>
      <c r="M82" s="600"/>
      <c r="N82" s="964"/>
      <c r="O82" s="599"/>
      <c r="P82" s="600"/>
      <c r="Q82" s="961"/>
      <c r="R82" s="970"/>
      <c r="S82" s="959"/>
      <c r="T82" s="959"/>
      <c r="U82" s="964"/>
      <c r="AB82" s="464"/>
      <c r="AC82" s="464"/>
      <c r="AD82" s="464"/>
      <c r="AE82" s="464"/>
      <c r="AF82" s="464"/>
      <c r="AG82" s="464"/>
      <c r="AH82" s="464"/>
      <c r="AI82" s="464"/>
      <c r="AJ82" s="464"/>
      <c r="AK82" s="464"/>
    </row>
    <row r="83" spans="1:37" ht="28.8" customHeight="1" x14ac:dyDescent="0.55000000000000004">
      <c r="A83" s="599" t="s">
        <v>451</v>
      </c>
      <c r="B83" s="600"/>
      <c r="C83" s="959">
        <f>C77/C80</f>
        <v>4.5181703384947349</v>
      </c>
      <c r="D83" s="964"/>
      <c r="E83" s="599" t="s">
        <v>451</v>
      </c>
      <c r="F83" s="600"/>
      <c r="G83" s="959">
        <f>G77/G80</f>
        <v>0.1896511229156049</v>
      </c>
      <c r="H83" s="964">
        <f>H77/H80</f>
        <v>0.15804260242967075</v>
      </c>
      <c r="I83" s="599" t="s">
        <v>451</v>
      </c>
      <c r="J83" s="959">
        <f>J77/J80</f>
        <v>0.17390509116957312</v>
      </c>
      <c r="K83" s="964">
        <f>K77/K80</f>
        <v>0.11593672744638209</v>
      </c>
      <c r="L83" s="599" t="s">
        <v>451</v>
      </c>
      <c r="M83" s="600"/>
      <c r="N83" s="964">
        <f>N77/N80</f>
        <v>1.2545498383741791</v>
      </c>
      <c r="O83" s="599" t="s">
        <v>451</v>
      </c>
      <c r="P83" s="600"/>
      <c r="Q83" s="961">
        <f>Q77/Q80</f>
        <v>3.0437749019649054</v>
      </c>
      <c r="R83" s="970">
        <f>R77/R80</f>
        <v>0.55363039791418922</v>
      </c>
      <c r="S83" s="959">
        <f>S77/S80</f>
        <v>2.9490198241936079</v>
      </c>
      <c r="T83" s="959">
        <f>T77/T80</f>
        <v>1.4631660516303573</v>
      </c>
      <c r="U83" s="964">
        <f>U77/U80</f>
        <v>3.3422224674194223</v>
      </c>
      <c r="AB83" s="464"/>
      <c r="AC83" s="464"/>
      <c r="AD83" s="464"/>
      <c r="AE83" s="464"/>
      <c r="AF83" s="464"/>
      <c r="AG83" s="464"/>
      <c r="AH83" s="464"/>
      <c r="AI83" s="464"/>
      <c r="AJ83" s="464"/>
      <c r="AK83" s="464"/>
    </row>
    <row r="84" spans="1:37" ht="28.8" x14ac:dyDescent="0.55000000000000004">
      <c r="A84" s="599"/>
      <c r="B84" s="600"/>
      <c r="C84" s="959"/>
      <c r="D84" s="964"/>
      <c r="E84" s="599"/>
      <c r="F84" s="600"/>
      <c r="G84" s="959"/>
      <c r="H84" s="964"/>
      <c r="I84" s="599"/>
      <c r="J84" s="959"/>
      <c r="K84" s="964"/>
      <c r="L84" s="599"/>
      <c r="M84" s="600"/>
      <c r="N84" s="964"/>
      <c r="O84" s="599"/>
      <c r="P84" s="600"/>
      <c r="Q84" s="961"/>
      <c r="R84" s="970"/>
      <c r="S84" s="959"/>
      <c r="T84" s="959"/>
      <c r="U84" s="964"/>
      <c r="AB84" s="464"/>
      <c r="AC84" s="464"/>
      <c r="AD84" s="464"/>
      <c r="AE84" s="464"/>
      <c r="AF84" s="464"/>
      <c r="AG84" s="464"/>
      <c r="AH84" s="464"/>
      <c r="AI84" s="464"/>
      <c r="AJ84" s="464"/>
      <c r="AK84" s="464"/>
    </row>
    <row r="85" spans="1:37" ht="28.8" x14ac:dyDescent="0.55000000000000004">
      <c r="A85" s="599"/>
      <c r="B85" s="600"/>
      <c r="C85" s="959"/>
      <c r="D85" s="964"/>
      <c r="E85" s="599"/>
      <c r="F85" s="600"/>
      <c r="G85" s="959"/>
      <c r="H85" s="964"/>
      <c r="I85" s="599"/>
      <c r="J85" s="959"/>
      <c r="K85" s="964"/>
      <c r="L85" s="599"/>
      <c r="M85" s="600"/>
      <c r="N85" s="964"/>
      <c r="O85" s="599"/>
      <c r="P85" s="600"/>
      <c r="Q85" s="961"/>
      <c r="R85" s="970"/>
      <c r="S85" s="959"/>
      <c r="T85" s="959"/>
      <c r="U85" s="964"/>
      <c r="AB85" s="464"/>
      <c r="AC85" s="464"/>
      <c r="AD85" s="464"/>
      <c r="AE85" s="464"/>
      <c r="AF85" s="464"/>
      <c r="AG85" s="464"/>
      <c r="AH85" s="464"/>
      <c r="AI85" s="464"/>
      <c r="AJ85" s="464"/>
      <c r="AK85" s="464"/>
    </row>
    <row r="86" spans="1:37" ht="28.8" x14ac:dyDescent="0.55000000000000004">
      <c r="A86" s="599" t="s">
        <v>452</v>
      </c>
      <c r="B86" s="600"/>
      <c r="C86" s="959">
        <f>(C83*3600)/C74</f>
        <v>155.55555555555557</v>
      </c>
      <c r="D86" s="964"/>
      <c r="E86" s="599" t="s">
        <v>452</v>
      </c>
      <c r="F86" s="600"/>
      <c r="G86" s="959">
        <f>(G83*3600)/G74</f>
        <v>6.666666666666667</v>
      </c>
      <c r="H86" s="964">
        <f>(H83*3600)/H74</f>
        <v>5.5555555555555562</v>
      </c>
      <c r="I86" s="599" t="s">
        <v>452</v>
      </c>
      <c r="J86" s="959">
        <f>(J83*3600)/J74</f>
        <v>6.6666666666666661</v>
      </c>
      <c r="K86" s="964">
        <f>(K83*3600)/K74</f>
        <v>4.4444444444444446</v>
      </c>
      <c r="L86" s="599" t="s">
        <v>452</v>
      </c>
      <c r="M86" s="600"/>
      <c r="N86" s="964">
        <f>(N83*3600)/N74</f>
        <v>38.888888888888893</v>
      </c>
      <c r="O86" s="599" t="s">
        <v>452</v>
      </c>
      <c r="P86" s="600"/>
      <c r="Q86" s="961">
        <f>(Q83*3600)/Q74</f>
        <v>91.1111111111111</v>
      </c>
      <c r="R86" s="970">
        <f>(R83*3600)/R74</f>
        <v>15.555555555555555</v>
      </c>
      <c r="S86" s="959">
        <f>(S83*3600)/S74</f>
        <v>83.333333333333343</v>
      </c>
      <c r="T86" s="959">
        <f>(T83*3600)/T74</f>
        <v>41.111111111111114</v>
      </c>
      <c r="U86" s="964">
        <f>(U83*3600)/U74</f>
        <v>94.444444444444457</v>
      </c>
      <c r="AB86" s="464"/>
      <c r="AC86" s="464"/>
      <c r="AD86" s="464"/>
      <c r="AE86" s="464"/>
      <c r="AF86" s="464"/>
      <c r="AG86" s="464"/>
      <c r="AH86" s="464"/>
      <c r="AI86" s="464"/>
      <c r="AJ86" s="464"/>
      <c r="AK86" s="464"/>
    </row>
    <row r="87" spans="1:37" ht="28.8" x14ac:dyDescent="0.55000000000000004">
      <c r="A87" s="599"/>
      <c r="B87" s="600"/>
      <c r="C87" s="959"/>
      <c r="D87" s="964"/>
      <c r="E87" s="599"/>
      <c r="F87" s="600"/>
      <c r="G87" s="959"/>
      <c r="H87" s="964"/>
      <c r="I87" s="599"/>
      <c r="J87" s="959"/>
      <c r="K87" s="964"/>
      <c r="L87" s="599"/>
      <c r="M87" s="600"/>
      <c r="N87" s="964"/>
      <c r="O87" s="599"/>
      <c r="P87" s="600"/>
      <c r="Q87" s="961"/>
      <c r="R87" s="970"/>
      <c r="S87" s="959"/>
      <c r="T87" s="959"/>
      <c r="U87" s="964"/>
      <c r="AB87" s="464"/>
      <c r="AC87" s="464"/>
      <c r="AD87" s="464"/>
      <c r="AE87" s="464"/>
      <c r="AF87" s="464"/>
      <c r="AG87" s="464"/>
      <c r="AH87" s="464"/>
      <c r="AI87" s="464"/>
      <c r="AJ87" s="464"/>
      <c r="AK87" s="464"/>
    </row>
    <row r="88" spans="1:37" ht="29.4" thickBot="1" x14ac:dyDescent="0.6">
      <c r="A88" s="962"/>
      <c r="B88" s="963"/>
      <c r="C88" s="966"/>
      <c r="D88" s="965"/>
      <c r="E88" s="962"/>
      <c r="F88" s="963"/>
      <c r="G88" s="966"/>
      <c r="H88" s="965"/>
      <c r="I88" s="962"/>
      <c r="J88" s="966"/>
      <c r="K88" s="965"/>
      <c r="L88" s="962"/>
      <c r="M88" s="963"/>
      <c r="N88" s="965"/>
      <c r="O88" s="962"/>
      <c r="P88" s="963"/>
      <c r="Q88" s="971"/>
      <c r="R88" s="980"/>
      <c r="S88" s="966"/>
      <c r="T88" s="966"/>
      <c r="U88" s="965"/>
      <c r="Z88" s="464"/>
      <c r="AA88" s="464"/>
      <c r="AB88" s="464"/>
      <c r="AC88" s="464"/>
      <c r="AD88" s="464"/>
      <c r="AE88" s="464"/>
      <c r="AF88" s="464"/>
      <c r="AG88" s="464"/>
      <c r="AH88" s="464"/>
      <c r="AI88" s="464"/>
      <c r="AJ88" s="464"/>
      <c r="AK88" s="464"/>
    </row>
    <row r="89" spans="1:37" ht="28.8" x14ac:dyDescent="0.55000000000000004">
      <c r="A89" s="617" t="s">
        <v>453</v>
      </c>
      <c r="B89" s="618"/>
      <c r="C89" s="972">
        <v>28.5</v>
      </c>
      <c r="D89" s="973"/>
      <c r="E89" s="617" t="s">
        <v>454</v>
      </c>
      <c r="F89" s="618"/>
      <c r="G89" s="972">
        <v>23.1</v>
      </c>
      <c r="H89" s="973"/>
      <c r="I89" s="617" t="s">
        <v>455</v>
      </c>
      <c r="J89" s="975">
        <v>55.8</v>
      </c>
      <c r="K89" s="976"/>
      <c r="L89" s="617" t="s">
        <v>456</v>
      </c>
      <c r="M89" s="618"/>
      <c r="N89" s="973">
        <v>29</v>
      </c>
      <c r="O89" s="617" t="s">
        <v>457</v>
      </c>
      <c r="P89" s="618"/>
      <c r="Q89" s="974">
        <v>15.2</v>
      </c>
      <c r="R89" s="979">
        <v>18.5</v>
      </c>
      <c r="S89" s="972"/>
      <c r="T89" s="972"/>
      <c r="U89" s="973"/>
      <c r="Z89" s="464"/>
      <c r="AA89" s="464"/>
      <c r="AB89" s="464"/>
      <c r="AC89" s="464"/>
      <c r="AD89" s="464"/>
      <c r="AE89" s="464"/>
      <c r="AF89" s="464"/>
      <c r="AG89" s="464"/>
      <c r="AH89" s="464"/>
      <c r="AI89" s="464"/>
      <c r="AJ89" s="464"/>
      <c r="AK89" s="464"/>
    </row>
    <row r="90" spans="1:37" x14ac:dyDescent="0.3">
      <c r="A90" s="599"/>
      <c r="B90" s="600"/>
      <c r="C90" s="959"/>
      <c r="D90" s="964"/>
      <c r="E90" s="599"/>
      <c r="F90" s="600"/>
      <c r="G90" s="959"/>
      <c r="H90" s="964"/>
      <c r="I90" s="599"/>
      <c r="J90" s="977"/>
      <c r="K90" s="978"/>
      <c r="L90" s="599"/>
      <c r="M90" s="600"/>
      <c r="N90" s="964"/>
      <c r="O90" s="599"/>
      <c r="P90" s="600"/>
      <c r="Q90" s="961"/>
      <c r="R90" s="970"/>
      <c r="S90" s="959"/>
      <c r="T90" s="959"/>
      <c r="U90" s="964"/>
    </row>
    <row r="91" spans="1:37" ht="36" customHeight="1" x14ac:dyDescent="0.3">
      <c r="A91" s="599"/>
      <c r="B91" s="600"/>
      <c r="C91" s="959"/>
      <c r="D91" s="964"/>
      <c r="E91" s="599"/>
      <c r="F91" s="600"/>
      <c r="G91" s="959"/>
      <c r="H91" s="964"/>
      <c r="I91" s="599"/>
      <c r="J91" s="977"/>
      <c r="K91" s="978"/>
      <c r="L91" s="599"/>
      <c r="M91" s="600"/>
      <c r="N91" s="964"/>
      <c r="O91" s="599"/>
      <c r="P91" s="600"/>
      <c r="Q91" s="961"/>
      <c r="R91" s="970"/>
      <c r="S91" s="959"/>
      <c r="T91" s="959"/>
      <c r="U91" s="964"/>
      <c r="Z91" s="217"/>
      <c r="AA91" s="217"/>
      <c r="AB91" s="481"/>
      <c r="AC91" s="481"/>
    </row>
    <row r="92" spans="1:37" ht="15.6" customHeight="1" x14ac:dyDescent="0.3">
      <c r="A92" s="599" t="s">
        <v>458</v>
      </c>
      <c r="B92" s="600"/>
      <c r="C92" s="959">
        <f>(2*C89/$C$55)+(2*$C$58)</f>
        <v>79.542857142857144</v>
      </c>
      <c r="D92" s="964"/>
      <c r="E92" s="599" t="s">
        <v>459</v>
      </c>
      <c r="F92" s="600"/>
      <c r="G92" s="959">
        <f>(2*G89/$C$55) + (G69/$C$56) + (G69/$C$57)+(2*$C$58)</f>
        <v>94.04589208871235</v>
      </c>
      <c r="H92" s="964">
        <f>(2*G89/$C$55) + (H69/$C$56) + (H69/$C$57)+(2*$C$58)</f>
        <v>94.04589208871235</v>
      </c>
      <c r="I92" s="599" t="s">
        <v>444</v>
      </c>
      <c r="J92" s="959">
        <f>(2*J89/$C$55) + (J69/$C$56) + (J69/$C$57)+(2*$C$58)</f>
        <v>116.46874923156949</v>
      </c>
      <c r="K92" s="961">
        <f>(2*J89/$C$55) + (K69/$C$56) + (K69/$C$57)+(2*$C$58)</f>
        <v>116.46874923156949</v>
      </c>
      <c r="L92" s="599" t="s">
        <v>460</v>
      </c>
      <c r="M92" s="600"/>
      <c r="N92" s="964">
        <f>(2*N89/$C$55) + (N69/$C$56) + (N69/$C$57)+(2*$C$58)</f>
        <v>95.906899323781147</v>
      </c>
      <c r="O92" s="599" t="s">
        <v>461</v>
      </c>
      <c r="P92" s="600"/>
      <c r="Q92" s="961">
        <f>(2*Q89/$C$55) + (Q69/$C$56) + (Q69/$C$57)+(2*$C$58)</f>
        <v>87.900513548020996</v>
      </c>
      <c r="R92" s="970">
        <f>(2*R89/$C$55) + (R69/$C$56) + (R69/$C$57)+(2*$C$58)</f>
        <v>90.89160637442663</v>
      </c>
      <c r="S92" s="959">
        <f>(2*R89/$C$55) + (S69/$C$56) + (S69/$C$57)+(2*$C$58)</f>
        <v>90.163370690878139</v>
      </c>
      <c r="T92" s="959">
        <f>(2*R89/$C$55) + (T69/$C$56) + (T69/$C$57)+(2*$C$58)</f>
        <v>90.89160637442663</v>
      </c>
      <c r="U92" s="964">
        <f>(2*R89/$C$55) + (U69/$C$56) + (U69/$C$57)+(2*$C$58)</f>
        <v>90.163370690878139</v>
      </c>
      <c r="Z92" s="217"/>
      <c r="AA92" s="217"/>
      <c r="AB92" s="481"/>
      <c r="AC92" s="481"/>
    </row>
    <row r="93" spans="1:37" ht="15.6" x14ac:dyDescent="0.3">
      <c r="A93" s="599"/>
      <c r="B93" s="600"/>
      <c r="C93" s="959"/>
      <c r="D93" s="964"/>
      <c r="E93" s="599"/>
      <c r="F93" s="600"/>
      <c r="G93" s="959"/>
      <c r="H93" s="964"/>
      <c r="I93" s="599"/>
      <c r="J93" s="959"/>
      <c r="K93" s="961"/>
      <c r="L93" s="599"/>
      <c r="M93" s="600"/>
      <c r="N93" s="964"/>
      <c r="O93" s="599"/>
      <c r="P93" s="600"/>
      <c r="Q93" s="961"/>
      <c r="R93" s="970"/>
      <c r="S93" s="959"/>
      <c r="T93" s="959"/>
      <c r="U93" s="964"/>
      <c r="Z93" s="569"/>
      <c r="AA93" s="569"/>
      <c r="AB93" s="481"/>
      <c r="AC93" s="481"/>
    </row>
    <row r="94" spans="1:37" ht="61.8" customHeight="1" x14ac:dyDescent="0.3">
      <c r="A94" s="599"/>
      <c r="B94" s="600"/>
      <c r="C94" s="959"/>
      <c r="D94" s="964"/>
      <c r="E94" s="599"/>
      <c r="F94" s="600"/>
      <c r="G94" s="959"/>
      <c r="H94" s="964"/>
      <c r="I94" s="599"/>
      <c r="J94" s="959"/>
      <c r="K94" s="961"/>
      <c r="L94" s="599"/>
      <c r="M94" s="600"/>
      <c r="N94" s="964"/>
      <c r="O94" s="599"/>
      <c r="P94" s="600"/>
      <c r="Q94" s="961"/>
      <c r="R94" s="970"/>
      <c r="S94" s="959"/>
      <c r="T94" s="959"/>
      <c r="U94" s="964"/>
      <c r="Z94" s="569"/>
      <c r="AA94" s="569"/>
      <c r="AB94" s="481"/>
      <c r="AC94" s="481"/>
    </row>
    <row r="95" spans="1:37" ht="15.6" customHeight="1" x14ac:dyDescent="0.3">
      <c r="A95" s="599" t="s">
        <v>449</v>
      </c>
      <c r="B95" s="600"/>
      <c r="C95" s="959">
        <f>_xlfn.CEILING.MATH($AA$16/22/15)</f>
        <v>140</v>
      </c>
      <c r="D95" s="964"/>
      <c r="E95" s="599" t="s">
        <v>449</v>
      </c>
      <c r="F95" s="600"/>
      <c r="G95" s="959">
        <f>G77</f>
        <v>6</v>
      </c>
      <c r="H95" s="964">
        <f>H77</f>
        <v>5</v>
      </c>
      <c r="I95" s="599" t="s">
        <v>449</v>
      </c>
      <c r="J95" s="959">
        <f>J77</f>
        <v>6</v>
      </c>
      <c r="K95" s="961">
        <f>K77</f>
        <v>4</v>
      </c>
      <c r="L95" s="599" t="s">
        <v>449</v>
      </c>
      <c r="M95" s="600"/>
      <c r="N95" s="964">
        <f>N77</f>
        <v>35</v>
      </c>
      <c r="O95" s="599" t="s">
        <v>449</v>
      </c>
      <c r="P95" s="600"/>
      <c r="Q95" s="961">
        <f>_xlfn.CEILING.MATH(AJ16/22/15)</f>
        <v>7</v>
      </c>
      <c r="R95" s="970">
        <f>_xlfn.CEILING.MATH(AK16/22/15)</f>
        <v>4</v>
      </c>
      <c r="S95" s="959">
        <f>_xlfn.CEILING.MATH(AL16/22/15)</f>
        <v>12</v>
      </c>
      <c r="T95" s="959">
        <f>_xlfn.CEILING.MATH(AM16/22/15)</f>
        <v>3</v>
      </c>
      <c r="U95" s="964">
        <f>_xlfn.CEILING.MATH(AN16/22/15)</f>
        <v>7</v>
      </c>
      <c r="Z95" s="569"/>
      <c r="AA95" s="569"/>
      <c r="AB95" s="571"/>
      <c r="AC95" s="571"/>
    </row>
    <row r="96" spans="1:37" ht="34.950000000000003" customHeight="1" x14ac:dyDescent="0.3">
      <c r="A96" s="599"/>
      <c r="B96" s="600"/>
      <c r="C96" s="959"/>
      <c r="D96" s="964"/>
      <c r="E96" s="599"/>
      <c r="F96" s="600"/>
      <c r="G96" s="959"/>
      <c r="H96" s="964"/>
      <c r="I96" s="599"/>
      <c r="J96" s="959"/>
      <c r="K96" s="961"/>
      <c r="L96" s="599"/>
      <c r="M96" s="600"/>
      <c r="N96" s="964"/>
      <c r="O96" s="599"/>
      <c r="P96" s="600"/>
      <c r="Q96" s="961"/>
      <c r="R96" s="970"/>
      <c r="S96" s="959"/>
      <c r="T96" s="959"/>
      <c r="U96" s="964"/>
      <c r="Z96" s="569"/>
      <c r="AA96" s="569"/>
      <c r="AB96" s="481"/>
      <c r="AC96" s="481"/>
    </row>
    <row r="97" spans="1:29" ht="15.6" x14ac:dyDescent="0.3">
      <c r="A97" s="599"/>
      <c r="B97" s="600"/>
      <c r="C97" s="959"/>
      <c r="D97" s="964"/>
      <c r="E97" s="599"/>
      <c r="F97" s="600"/>
      <c r="G97" s="959"/>
      <c r="H97" s="964"/>
      <c r="I97" s="599"/>
      <c r="J97" s="959"/>
      <c r="K97" s="961"/>
      <c r="L97" s="599"/>
      <c r="M97" s="600"/>
      <c r="N97" s="964"/>
      <c r="O97" s="599"/>
      <c r="P97" s="600"/>
      <c r="Q97" s="961"/>
      <c r="R97" s="970"/>
      <c r="S97" s="959"/>
      <c r="T97" s="959"/>
      <c r="U97" s="964"/>
      <c r="Z97" s="217"/>
      <c r="AA97" s="217"/>
      <c r="AB97" s="481"/>
      <c r="AC97" s="481"/>
    </row>
    <row r="98" spans="1:29" ht="33" customHeight="1" x14ac:dyDescent="0.3">
      <c r="A98" s="599" t="s">
        <v>450</v>
      </c>
      <c r="B98" s="600"/>
      <c r="C98" s="959">
        <f>0.9*3600/C92</f>
        <v>40.732758620689651</v>
      </c>
      <c r="D98" s="964"/>
      <c r="E98" s="599" t="s">
        <v>450</v>
      </c>
      <c r="F98" s="600"/>
      <c r="G98" s="959">
        <f>0.9*3600/G92</f>
        <v>34.451265526236355</v>
      </c>
      <c r="H98" s="964">
        <f>0.9*3600/H92</f>
        <v>34.451265526236355</v>
      </c>
      <c r="I98" s="599" t="s">
        <v>450</v>
      </c>
      <c r="J98" s="959">
        <f>0.9*3600/J92</f>
        <v>27.818621058238172</v>
      </c>
      <c r="K98" s="961">
        <f>0.9*3600/K92</f>
        <v>27.818621058238172</v>
      </c>
      <c r="L98" s="599" t="s">
        <v>450</v>
      </c>
      <c r="M98" s="600"/>
      <c r="N98" s="964">
        <f>0.9*3600/N92</f>
        <v>33.782762479493563</v>
      </c>
      <c r="O98" s="599" t="s">
        <v>450</v>
      </c>
      <c r="P98" s="600"/>
      <c r="Q98" s="961">
        <f>0.9*3600/Q92</f>
        <v>36.859852908936112</v>
      </c>
      <c r="R98" s="970">
        <f>0.9*3600/R92</f>
        <v>35.646855955574907</v>
      </c>
      <c r="S98" s="959">
        <f>0.9*3600/S92</f>
        <v>35.934770130857494</v>
      </c>
      <c r="T98" s="959">
        <f>0.9*3600/T92</f>
        <v>35.646855955574907</v>
      </c>
      <c r="U98" s="964">
        <f>0.9*3600/U92</f>
        <v>35.934770130857494</v>
      </c>
      <c r="Z98" s="217"/>
      <c r="AA98" s="217"/>
      <c r="AB98" s="481"/>
      <c r="AC98" s="481"/>
    </row>
    <row r="99" spans="1:29" ht="15.6" customHeight="1" x14ac:dyDescent="0.3">
      <c r="A99" s="599"/>
      <c r="B99" s="600"/>
      <c r="C99" s="959"/>
      <c r="D99" s="964"/>
      <c r="E99" s="599"/>
      <c r="F99" s="600"/>
      <c r="G99" s="959"/>
      <c r="H99" s="964"/>
      <c r="I99" s="599"/>
      <c r="J99" s="959"/>
      <c r="K99" s="961"/>
      <c r="L99" s="599"/>
      <c r="M99" s="600"/>
      <c r="N99" s="964"/>
      <c r="O99" s="599"/>
      <c r="P99" s="600"/>
      <c r="Q99" s="961"/>
      <c r="R99" s="970"/>
      <c r="S99" s="959"/>
      <c r="T99" s="959"/>
      <c r="U99" s="964"/>
      <c r="Z99" s="217"/>
      <c r="AA99" s="217"/>
      <c r="AB99" s="481"/>
      <c r="AC99" s="481"/>
    </row>
    <row r="100" spans="1:29" ht="36" customHeight="1" x14ac:dyDescent="0.3">
      <c r="A100" s="599"/>
      <c r="B100" s="600"/>
      <c r="C100" s="959"/>
      <c r="D100" s="964"/>
      <c r="E100" s="599"/>
      <c r="F100" s="600"/>
      <c r="G100" s="959"/>
      <c r="H100" s="964"/>
      <c r="I100" s="599"/>
      <c r="J100" s="959"/>
      <c r="K100" s="961"/>
      <c r="L100" s="599"/>
      <c r="M100" s="600"/>
      <c r="N100" s="964"/>
      <c r="O100" s="599"/>
      <c r="P100" s="600"/>
      <c r="Q100" s="961"/>
      <c r="R100" s="970"/>
      <c r="S100" s="959"/>
      <c r="T100" s="959"/>
      <c r="U100" s="964"/>
    </row>
    <row r="101" spans="1:29" ht="20.399999999999999" customHeight="1" x14ac:dyDescent="0.3">
      <c r="A101" s="599" t="s">
        <v>451</v>
      </c>
      <c r="B101" s="600"/>
      <c r="C101" s="959">
        <f>C95/C98</f>
        <v>3.4370370370370376</v>
      </c>
      <c r="D101" s="964"/>
      <c r="E101" s="599" t="s">
        <v>451</v>
      </c>
      <c r="F101" s="600"/>
      <c r="G101" s="959">
        <f>G95/G98</f>
        <v>0.17415905942354137</v>
      </c>
      <c r="H101" s="964">
        <f>H95/H98</f>
        <v>0.14513254951961782</v>
      </c>
      <c r="I101" s="599" t="s">
        <v>451</v>
      </c>
      <c r="J101" s="959">
        <f>J95/J98</f>
        <v>0.21568286894735092</v>
      </c>
      <c r="K101" s="961">
        <f>K95/K98</f>
        <v>0.14378857929823394</v>
      </c>
      <c r="L101" s="599" t="s">
        <v>451</v>
      </c>
      <c r="M101" s="600"/>
      <c r="N101" s="964">
        <f>N95/N98</f>
        <v>1.0360313198556605</v>
      </c>
      <c r="O101" s="599" t="s">
        <v>451</v>
      </c>
      <c r="P101" s="600"/>
      <c r="Q101" s="961">
        <f>Q95/Q98</f>
        <v>0.18990851692473673</v>
      </c>
      <c r="R101" s="970">
        <f>R95/R98</f>
        <v>0.11221185972151436</v>
      </c>
      <c r="S101" s="959">
        <f>S95/S98</f>
        <v>0.33393840996621538</v>
      </c>
      <c r="T101" s="959">
        <f>T95/T98</f>
        <v>8.4158894791135766E-2</v>
      </c>
      <c r="U101" s="964">
        <f>U95/U98</f>
        <v>0.19479740581362562</v>
      </c>
    </row>
    <row r="102" spans="1:29" ht="20.399999999999999" customHeight="1" x14ac:dyDescent="0.3">
      <c r="A102" s="599"/>
      <c r="B102" s="600"/>
      <c r="C102" s="959"/>
      <c r="D102" s="964"/>
      <c r="E102" s="599"/>
      <c r="F102" s="600"/>
      <c r="G102" s="959"/>
      <c r="H102" s="964"/>
      <c r="I102" s="599"/>
      <c r="J102" s="959"/>
      <c r="K102" s="961"/>
      <c r="L102" s="599"/>
      <c r="M102" s="600"/>
      <c r="N102" s="964"/>
      <c r="O102" s="599"/>
      <c r="P102" s="600"/>
      <c r="Q102" s="961"/>
      <c r="R102" s="970"/>
      <c r="S102" s="959"/>
      <c r="T102" s="959"/>
      <c r="U102" s="964"/>
    </row>
    <row r="103" spans="1:29" ht="14.4" customHeight="1" thickBot="1" x14ac:dyDescent="0.35">
      <c r="A103" s="599"/>
      <c r="B103" s="600"/>
      <c r="C103" s="959"/>
      <c r="D103" s="964"/>
      <c r="E103" s="599"/>
      <c r="F103" s="600"/>
      <c r="G103" s="959"/>
      <c r="H103" s="964"/>
      <c r="I103" s="962"/>
      <c r="J103" s="966"/>
      <c r="K103" s="971"/>
      <c r="L103" s="599"/>
      <c r="M103" s="600"/>
      <c r="N103" s="964"/>
      <c r="O103" s="599"/>
      <c r="P103" s="600"/>
      <c r="Q103" s="961"/>
      <c r="R103" s="970"/>
      <c r="S103" s="959"/>
      <c r="T103" s="959"/>
      <c r="U103" s="964"/>
    </row>
    <row r="104" spans="1:29" x14ac:dyDescent="0.3">
      <c r="A104" s="599" t="s">
        <v>452</v>
      </c>
      <c r="B104" s="600"/>
      <c r="C104" s="959">
        <f>(C101*3600)/C92</f>
        <v>155.55555555555557</v>
      </c>
      <c r="D104" s="964"/>
      <c r="E104" s="599" t="s">
        <v>452</v>
      </c>
      <c r="F104" s="600"/>
      <c r="G104" s="959">
        <f>(G101*3600)/G92</f>
        <v>6.666666666666667</v>
      </c>
      <c r="H104" s="964">
        <f>(H101*3600)/H92</f>
        <v>5.5555555555555554</v>
      </c>
      <c r="I104" s="778" t="s">
        <v>452</v>
      </c>
      <c r="J104" s="958">
        <f>(J101*3600)/J92</f>
        <v>6.666666666666667</v>
      </c>
      <c r="K104" s="960">
        <f>(K101*3600)/K92</f>
        <v>4.4444444444444446</v>
      </c>
      <c r="L104" s="599" t="s">
        <v>452</v>
      </c>
      <c r="M104" s="600"/>
      <c r="N104" s="964">
        <f>(N101*3600)/N92</f>
        <v>38.888888888888886</v>
      </c>
      <c r="O104" s="599" t="s">
        <v>452</v>
      </c>
      <c r="P104" s="600"/>
      <c r="Q104" s="961">
        <f>(Q101*3600)/Q92</f>
        <v>7.7777777777777786</v>
      </c>
      <c r="R104" s="970">
        <f>(R101*3600)/R92</f>
        <v>4.4444444444444446</v>
      </c>
      <c r="S104" s="959">
        <f>(S101*3600)/S92</f>
        <v>13.333333333333336</v>
      </c>
      <c r="T104" s="959">
        <f>(T101*3600)/T92</f>
        <v>3.3333333333333335</v>
      </c>
      <c r="U104" s="964">
        <f>(U101*3600)/U92</f>
        <v>7.7777777777777786</v>
      </c>
    </row>
    <row r="105" spans="1:29" x14ac:dyDescent="0.3">
      <c r="A105" s="599"/>
      <c r="B105" s="600"/>
      <c r="C105" s="959"/>
      <c r="D105" s="964"/>
      <c r="E105" s="599"/>
      <c r="F105" s="600"/>
      <c r="G105" s="959"/>
      <c r="H105" s="964"/>
      <c r="I105" s="967"/>
      <c r="J105" s="959"/>
      <c r="K105" s="961"/>
      <c r="L105" s="599"/>
      <c r="M105" s="600"/>
      <c r="N105" s="964"/>
      <c r="O105" s="599"/>
      <c r="P105" s="600"/>
      <c r="Q105" s="961"/>
      <c r="R105" s="970"/>
      <c r="S105" s="959"/>
      <c r="T105" s="959"/>
      <c r="U105" s="964"/>
    </row>
    <row r="106" spans="1:29" ht="15" thickBot="1" x14ac:dyDescent="0.35">
      <c r="A106" s="962"/>
      <c r="B106" s="963"/>
      <c r="C106" s="966"/>
      <c r="D106" s="965"/>
      <c r="E106" s="962"/>
      <c r="F106" s="963"/>
      <c r="G106" s="966"/>
      <c r="H106" s="965"/>
      <c r="I106" s="967"/>
      <c r="J106" s="959"/>
      <c r="K106" s="961"/>
      <c r="L106" s="962"/>
      <c r="M106" s="963"/>
      <c r="N106" s="965"/>
      <c r="O106" s="962"/>
      <c r="P106" s="963"/>
      <c r="Q106" s="971"/>
      <c r="R106" s="980"/>
      <c r="S106" s="966"/>
      <c r="T106" s="966"/>
      <c r="U106" s="965"/>
    </row>
    <row r="107" spans="1:29" x14ac:dyDescent="0.3">
      <c r="A107" s="617" t="s">
        <v>462</v>
      </c>
      <c r="B107" s="618"/>
      <c r="C107" s="972">
        <v>58.5</v>
      </c>
      <c r="D107" s="973"/>
      <c r="E107" s="617" t="s">
        <v>463</v>
      </c>
      <c r="F107" s="618"/>
      <c r="G107" s="972">
        <v>102.9</v>
      </c>
      <c r="H107" s="973"/>
      <c r="I107" s="967"/>
      <c r="J107" s="600"/>
      <c r="K107" s="600"/>
      <c r="L107" s="928"/>
      <c r="M107" s="928"/>
      <c r="N107" s="774"/>
      <c r="O107" s="617" t="s">
        <v>464</v>
      </c>
      <c r="P107" s="618"/>
      <c r="Q107" s="974">
        <v>63.3</v>
      </c>
      <c r="R107" s="979">
        <v>80.5</v>
      </c>
      <c r="S107" s="972"/>
      <c r="T107" s="973"/>
      <c r="U107" s="990">
        <v>121.9</v>
      </c>
    </row>
    <row r="108" spans="1:29" x14ac:dyDescent="0.3">
      <c r="A108" s="599"/>
      <c r="B108" s="600"/>
      <c r="C108" s="959"/>
      <c r="D108" s="964"/>
      <c r="E108" s="599"/>
      <c r="F108" s="600"/>
      <c r="G108" s="959"/>
      <c r="H108" s="964"/>
      <c r="I108" s="967"/>
      <c r="J108" s="600"/>
      <c r="K108" s="600"/>
      <c r="L108" s="600"/>
      <c r="M108" s="600"/>
      <c r="N108" s="683"/>
      <c r="O108" s="599"/>
      <c r="P108" s="600"/>
      <c r="Q108" s="961"/>
      <c r="R108" s="970"/>
      <c r="S108" s="959"/>
      <c r="T108" s="964"/>
      <c r="U108" s="991"/>
    </row>
    <row r="109" spans="1:29" ht="40.799999999999997" customHeight="1" x14ac:dyDescent="0.3">
      <c r="A109" s="599"/>
      <c r="B109" s="600"/>
      <c r="C109" s="959"/>
      <c r="D109" s="964"/>
      <c r="E109" s="599"/>
      <c r="F109" s="600"/>
      <c r="G109" s="959"/>
      <c r="H109" s="964"/>
      <c r="I109" s="967"/>
      <c r="J109" s="600"/>
      <c r="K109" s="600"/>
      <c r="L109" s="600"/>
      <c r="M109" s="600"/>
      <c r="N109" s="683"/>
      <c r="O109" s="599"/>
      <c r="P109" s="600"/>
      <c r="Q109" s="961"/>
      <c r="R109" s="970"/>
      <c r="S109" s="959"/>
      <c r="T109" s="964"/>
      <c r="U109" s="991"/>
    </row>
    <row r="110" spans="1:29" x14ac:dyDescent="0.3">
      <c r="A110" s="599" t="s">
        <v>465</v>
      </c>
      <c r="B110" s="600"/>
      <c r="C110" s="959">
        <f>(2*C107/$C$55)+(2*$C$58)</f>
        <v>100.11428571428571</v>
      </c>
      <c r="D110" s="964"/>
      <c r="E110" s="599" t="s">
        <v>459</v>
      </c>
      <c r="F110" s="600"/>
      <c r="G110" s="959">
        <f>(2*G107/$C$55) + (H69/$C$56) + (H69/$C$57)+(2*$C$58)</f>
        <v>148.76589208871235</v>
      </c>
      <c r="H110" s="964">
        <f t="shared" ref="H110" si="20">(2*H107/$C$55) + (H87/$C$56) + (H87/$C$57)+(2*$C$58)</f>
        <v>60</v>
      </c>
      <c r="I110" s="967"/>
      <c r="J110" s="600"/>
      <c r="K110" s="600"/>
      <c r="L110" s="600"/>
      <c r="M110" s="600"/>
      <c r="N110" s="683"/>
      <c r="O110" s="599" t="s">
        <v>466</v>
      </c>
      <c r="P110" s="600"/>
      <c r="Q110" s="961">
        <f>(2*Q107/$C$55) + (Q69/$C$56) + (Q69/$C$57)+(2*$C$58)</f>
        <v>120.88337069087814</v>
      </c>
      <c r="R110" s="970">
        <f>(2*R107/$C$55) + (R69/$C$56) + (R69/$C$57)+(2*$C$58)</f>
        <v>133.40589208871233</v>
      </c>
      <c r="S110" s="959">
        <f>(2*R107/$C$55) + (S69/$C$56) + (S69/$C$57)+(2*$C$58)</f>
        <v>132.67765640516387</v>
      </c>
      <c r="T110" s="964">
        <f>(2*R107/$C$55) + (T69/$C$56) + (T69/$C$57)+(2*$C$58)</f>
        <v>133.40589208871233</v>
      </c>
      <c r="U110" s="991">
        <f>(2*U107/$C$55) + (U69/$C$56) + (U69/$C$57)+(2*$C$58)</f>
        <v>161.0662278337353</v>
      </c>
    </row>
    <row r="111" spans="1:29" x14ac:dyDescent="0.3">
      <c r="A111" s="599"/>
      <c r="B111" s="600"/>
      <c r="C111" s="959"/>
      <c r="D111" s="964"/>
      <c r="E111" s="599"/>
      <c r="F111" s="600"/>
      <c r="G111" s="959"/>
      <c r="H111" s="964"/>
      <c r="I111" s="967"/>
      <c r="J111" s="600"/>
      <c r="K111" s="600"/>
      <c r="L111" s="600"/>
      <c r="M111" s="600"/>
      <c r="N111" s="683"/>
      <c r="O111" s="599"/>
      <c r="P111" s="600"/>
      <c r="Q111" s="961"/>
      <c r="R111" s="970"/>
      <c r="S111" s="959"/>
      <c r="T111" s="964"/>
      <c r="U111" s="991"/>
    </row>
    <row r="112" spans="1:29" ht="49.8" customHeight="1" x14ac:dyDescent="0.3">
      <c r="A112" s="599"/>
      <c r="B112" s="600"/>
      <c r="C112" s="959"/>
      <c r="D112" s="964"/>
      <c r="E112" s="599"/>
      <c r="F112" s="600"/>
      <c r="G112" s="959"/>
      <c r="H112" s="964"/>
      <c r="I112" s="967"/>
      <c r="J112" s="600"/>
      <c r="K112" s="600"/>
      <c r="L112" s="600"/>
      <c r="M112" s="600"/>
      <c r="N112" s="683"/>
      <c r="O112" s="599"/>
      <c r="P112" s="600"/>
      <c r="Q112" s="961"/>
      <c r="R112" s="970"/>
      <c r="S112" s="959"/>
      <c r="T112" s="964"/>
      <c r="U112" s="991"/>
    </row>
    <row r="113" spans="1:21" x14ac:dyDescent="0.3">
      <c r="A113" s="599" t="s">
        <v>467</v>
      </c>
      <c r="B113" s="600"/>
      <c r="C113" s="959">
        <f>_xlfn.CEILING.MATH($AA$16/22/15)</f>
        <v>140</v>
      </c>
      <c r="D113" s="964"/>
      <c r="E113" s="599" t="s">
        <v>449</v>
      </c>
      <c r="F113" s="600"/>
      <c r="G113" s="959">
        <f>_xlfn.CEILING.MATH(AE16/22/15)</f>
        <v>1</v>
      </c>
      <c r="H113" s="964"/>
      <c r="I113" s="967"/>
      <c r="J113" s="600"/>
      <c r="K113" s="600"/>
      <c r="L113" s="600"/>
      <c r="M113" s="600"/>
      <c r="N113" s="683"/>
      <c r="O113" s="599" t="s">
        <v>449</v>
      </c>
      <c r="P113" s="600"/>
      <c r="Q113" s="961">
        <f>_xlfn.CEILING.MATH(AJ16/22/15)</f>
        <v>7</v>
      </c>
      <c r="R113" s="970">
        <f>_xlfn.CEILING.MATH(AK16/22/15)</f>
        <v>4</v>
      </c>
      <c r="S113" s="959">
        <f>_xlfn.CEILING.MATH(AL16/22/15)</f>
        <v>12</v>
      </c>
      <c r="T113" s="964">
        <f>_xlfn.CEILING.MATH(AM16/22/15)</f>
        <v>3</v>
      </c>
      <c r="U113" s="991">
        <f>_xlfn.CEILING.MATH(AN16/22/15)</f>
        <v>7</v>
      </c>
    </row>
    <row r="114" spans="1:21" x14ac:dyDescent="0.3">
      <c r="A114" s="599"/>
      <c r="B114" s="600"/>
      <c r="C114" s="959"/>
      <c r="D114" s="964"/>
      <c r="E114" s="599"/>
      <c r="F114" s="600"/>
      <c r="G114" s="959"/>
      <c r="H114" s="964"/>
      <c r="I114" s="967"/>
      <c r="J114" s="600"/>
      <c r="K114" s="600"/>
      <c r="L114" s="600"/>
      <c r="M114" s="600"/>
      <c r="N114" s="683"/>
      <c r="O114" s="599"/>
      <c r="P114" s="600"/>
      <c r="Q114" s="961"/>
      <c r="R114" s="970"/>
      <c r="S114" s="959"/>
      <c r="T114" s="964"/>
      <c r="U114" s="991"/>
    </row>
    <row r="115" spans="1:21" x14ac:dyDescent="0.3">
      <c r="A115" s="599"/>
      <c r="B115" s="600"/>
      <c r="C115" s="959"/>
      <c r="D115" s="964"/>
      <c r="E115" s="599"/>
      <c r="F115" s="600"/>
      <c r="G115" s="959"/>
      <c r="H115" s="964"/>
      <c r="I115" s="967"/>
      <c r="J115" s="600"/>
      <c r="K115" s="600"/>
      <c r="L115" s="600"/>
      <c r="M115" s="600"/>
      <c r="N115" s="683"/>
      <c r="O115" s="599"/>
      <c r="P115" s="600"/>
      <c r="Q115" s="961"/>
      <c r="R115" s="970"/>
      <c r="S115" s="959"/>
      <c r="T115" s="964"/>
      <c r="U115" s="991"/>
    </row>
    <row r="116" spans="1:21" x14ac:dyDescent="0.3">
      <c r="A116" s="599" t="s">
        <v>450</v>
      </c>
      <c r="B116" s="600"/>
      <c r="C116" s="959">
        <f>0.9*3600/C110</f>
        <v>32.363013698630134</v>
      </c>
      <c r="D116" s="964"/>
      <c r="E116" s="599" t="s">
        <v>450</v>
      </c>
      <c r="F116" s="600"/>
      <c r="G116" s="959">
        <f>0.9*3600/G110</f>
        <v>21.779185769732198</v>
      </c>
      <c r="H116" s="964"/>
      <c r="I116" s="967"/>
      <c r="J116" s="600"/>
      <c r="K116" s="600"/>
      <c r="L116" s="600"/>
      <c r="M116" s="600"/>
      <c r="N116" s="683"/>
      <c r="O116" s="599" t="s">
        <v>450</v>
      </c>
      <c r="P116" s="600"/>
      <c r="Q116" s="961">
        <f>0.9*3600/Q110</f>
        <v>26.802694047019077</v>
      </c>
      <c r="R116" s="970">
        <f>0.9*3600/R110</f>
        <v>24.286783359204726</v>
      </c>
      <c r="S116" s="959">
        <f>0.9*3600/S110</f>
        <v>24.420087660471349</v>
      </c>
      <c r="T116" s="964">
        <f>0.9*3600/T110</f>
        <v>24.286783359204726</v>
      </c>
      <c r="U116" s="991">
        <f>0.9*3600/U110</f>
        <v>20.115948846486752</v>
      </c>
    </row>
    <row r="117" spans="1:21" x14ac:dyDescent="0.3">
      <c r="A117" s="599"/>
      <c r="B117" s="600"/>
      <c r="C117" s="959"/>
      <c r="D117" s="964"/>
      <c r="E117" s="599"/>
      <c r="F117" s="600"/>
      <c r="G117" s="959"/>
      <c r="H117" s="964"/>
      <c r="I117" s="967"/>
      <c r="J117" s="600"/>
      <c r="K117" s="600"/>
      <c r="L117" s="600"/>
      <c r="M117" s="600"/>
      <c r="N117" s="683"/>
      <c r="O117" s="599"/>
      <c r="P117" s="600"/>
      <c r="Q117" s="961"/>
      <c r="R117" s="970"/>
      <c r="S117" s="959"/>
      <c r="T117" s="964"/>
      <c r="U117" s="991"/>
    </row>
    <row r="118" spans="1:21" x14ac:dyDescent="0.3">
      <c r="A118" s="599"/>
      <c r="B118" s="600"/>
      <c r="C118" s="959"/>
      <c r="D118" s="964"/>
      <c r="E118" s="599"/>
      <c r="F118" s="600"/>
      <c r="G118" s="959"/>
      <c r="H118" s="964"/>
      <c r="I118" s="967"/>
      <c r="J118" s="600"/>
      <c r="K118" s="600"/>
      <c r="L118" s="600"/>
      <c r="M118" s="600"/>
      <c r="N118" s="683"/>
      <c r="O118" s="599"/>
      <c r="P118" s="600"/>
      <c r="Q118" s="961"/>
      <c r="R118" s="970"/>
      <c r="S118" s="959"/>
      <c r="T118" s="964"/>
      <c r="U118" s="991"/>
    </row>
    <row r="119" spans="1:21" x14ac:dyDescent="0.3">
      <c r="A119" s="599" t="s">
        <v>451</v>
      </c>
      <c r="B119" s="600"/>
      <c r="C119" s="959">
        <f>C113/C116</f>
        <v>4.325925925925926</v>
      </c>
      <c r="D119" s="964"/>
      <c r="E119" s="599" t="s">
        <v>451</v>
      </c>
      <c r="F119" s="600"/>
      <c r="G119" s="959">
        <f>G113/G116</f>
        <v>4.5915398792812458E-2</v>
      </c>
      <c r="H119" s="964"/>
      <c r="I119" s="967"/>
      <c r="J119" s="600"/>
      <c r="K119" s="600"/>
      <c r="L119" s="600"/>
      <c r="M119" s="600"/>
      <c r="N119" s="683"/>
      <c r="O119" s="599" t="s">
        <v>451</v>
      </c>
      <c r="P119" s="600"/>
      <c r="Q119" s="961">
        <f>Q113/Q116</f>
        <v>0.261167776183996</v>
      </c>
      <c r="R119" s="970">
        <f>R113/R116</f>
        <v>0.16469863220828682</v>
      </c>
      <c r="S119" s="959">
        <f>S113/S116</f>
        <v>0.4913987274265329</v>
      </c>
      <c r="T119" s="964">
        <f>T113/T116</f>
        <v>0.12352397415621512</v>
      </c>
      <c r="U119" s="991">
        <f>U113/U116</f>
        <v>0.34798259099881085</v>
      </c>
    </row>
    <row r="120" spans="1:21" x14ac:dyDescent="0.3">
      <c r="A120" s="599"/>
      <c r="B120" s="600"/>
      <c r="C120" s="959"/>
      <c r="D120" s="964"/>
      <c r="E120" s="599"/>
      <c r="F120" s="600"/>
      <c r="G120" s="959"/>
      <c r="H120" s="964"/>
      <c r="I120" s="967"/>
      <c r="J120" s="600"/>
      <c r="K120" s="600"/>
      <c r="L120" s="600"/>
      <c r="M120" s="600"/>
      <c r="N120" s="683"/>
      <c r="O120" s="599"/>
      <c r="P120" s="600"/>
      <c r="Q120" s="961"/>
      <c r="R120" s="970"/>
      <c r="S120" s="959"/>
      <c r="T120" s="964"/>
      <c r="U120" s="991"/>
    </row>
    <row r="121" spans="1:21" x14ac:dyDescent="0.3">
      <c r="A121" s="599"/>
      <c r="B121" s="600"/>
      <c r="C121" s="959"/>
      <c r="D121" s="964"/>
      <c r="E121" s="599"/>
      <c r="F121" s="600"/>
      <c r="G121" s="959"/>
      <c r="H121" s="964"/>
      <c r="I121" s="967"/>
      <c r="J121" s="600"/>
      <c r="K121" s="600"/>
      <c r="L121" s="600"/>
      <c r="M121" s="600"/>
      <c r="N121" s="683"/>
      <c r="O121" s="599"/>
      <c r="P121" s="600"/>
      <c r="Q121" s="961"/>
      <c r="R121" s="970"/>
      <c r="S121" s="959"/>
      <c r="T121" s="964"/>
      <c r="U121" s="991"/>
    </row>
    <row r="122" spans="1:21" x14ac:dyDescent="0.3">
      <c r="A122" s="599" t="s">
        <v>452</v>
      </c>
      <c r="B122" s="600"/>
      <c r="C122" s="959">
        <f>(C119*3600)/C110</f>
        <v>155.55555555555557</v>
      </c>
      <c r="D122" s="964"/>
      <c r="E122" s="599" t="s">
        <v>452</v>
      </c>
      <c r="F122" s="600"/>
      <c r="G122" s="959">
        <f>(G119*3600)/G110</f>
        <v>1.1111111111111112</v>
      </c>
      <c r="H122" s="964"/>
      <c r="I122" s="967"/>
      <c r="J122" s="600"/>
      <c r="K122" s="600"/>
      <c r="L122" s="600"/>
      <c r="M122" s="600"/>
      <c r="N122" s="683"/>
      <c r="O122" s="599" t="s">
        <v>452</v>
      </c>
      <c r="P122" s="600"/>
      <c r="Q122" s="961">
        <f>(Q119*3600)/Q110</f>
        <v>7.7777777777777786</v>
      </c>
      <c r="R122" s="970">
        <f>(R119*3600)/R110</f>
        <v>4.4444444444444438</v>
      </c>
      <c r="S122" s="959">
        <f>(S119*3600)/S110</f>
        <v>13.333333333333336</v>
      </c>
      <c r="T122" s="964">
        <f>(T119*3600)/T110</f>
        <v>3.333333333333333</v>
      </c>
      <c r="U122" s="991">
        <f>(U119*3600)/U110</f>
        <v>7.7777777777777786</v>
      </c>
    </row>
    <row r="123" spans="1:21" x14ac:dyDescent="0.3">
      <c r="A123" s="599"/>
      <c r="B123" s="600"/>
      <c r="C123" s="959"/>
      <c r="D123" s="964"/>
      <c r="E123" s="599"/>
      <c r="F123" s="600"/>
      <c r="G123" s="959"/>
      <c r="H123" s="964"/>
      <c r="I123" s="967"/>
      <c r="J123" s="600"/>
      <c r="K123" s="600"/>
      <c r="L123" s="600"/>
      <c r="M123" s="600"/>
      <c r="N123" s="683"/>
      <c r="O123" s="599"/>
      <c r="P123" s="600"/>
      <c r="Q123" s="961"/>
      <c r="R123" s="970"/>
      <c r="S123" s="959"/>
      <c r="T123" s="964"/>
      <c r="U123" s="991"/>
    </row>
    <row r="124" spans="1:21" ht="15" thickBot="1" x14ac:dyDescent="0.35">
      <c r="A124" s="962"/>
      <c r="B124" s="963"/>
      <c r="C124" s="966"/>
      <c r="D124" s="965"/>
      <c r="E124" s="962"/>
      <c r="F124" s="963"/>
      <c r="G124" s="966"/>
      <c r="H124" s="965"/>
      <c r="I124" s="967"/>
      <c r="J124" s="600"/>
      <c r="K124" s="600"/>
      <c r="L124" s="600"/>
      <c r="M124" s="600"/>
      <c r="N124" s="683"/>
      <c r="O124" s="962"/>
      <c r="P124" s="963"/>
      <c r="Q124" s="971"/>
      <c r="R124" s="980"/>
      <c r="S124" s="966"/>
      <c r="T124" s="965"/>
      <c r="U124" s="1007"/>
    </row>
    <row r="125" spans="1:21" x14ac:dyDescent="0.3">
      <c r="C125" s="65"/>
      <c r="D125" s="65"/>
    </row>
    <row r="126" spans="1:21" x14ac:dyDescent="0.3">
      <c r="A126" s="600" t="s">
        <v>668</v>
      </c>
      <c r="B126" s="600"/>
      <c r="C126" s="789">
        <f>SUM(C119,C101,C83)</f>
        <v>12.281133301457698</v>
      </c>
      <c r="D126" s="789"/>
      <c r="E126" s="600" t="s">
        <v>667</v>
      </c>
      <c r="F126" s="600"/>
      <c r="G126" s="1008">
        <f>SUM(G83,G101)+SUM(H83,H101)+G119</f>
        <v>0.71290073308124735</v>
      </c>
      <c r="H126" s="1008"/>
      <c r="I126" s="816" t="s">
        <v>669</v>
      </c>
      <c r="J126" s="1008">
        <f>SUM(J83,J101)+SUM(K83,K101)</f>
        <v>0.64931326686154001</v>
      </c>
      <c r="K126" s="1008"/>
      <c r="L126" s="600" t="s">
        <v>671</v>
      </c>
      <c r="M126" s="600"/>
      <c r="N126" s="1008">
        <f>SUM(N83,N101)</f>
        <v>2.2905811582298394</v>
      </c>
      <c r="O126" s="590" t="s">
        <v>672</v>
      </c>
      <c r="P126" s="590"/>
      <c r="Q126" s="1009">
        <f>SUM(Q83,Q101,Q119)+SUM(R83,R101,R119)+SUM(S83,S101,S119)+SUM(T83,T101,T119)+SUM(U83,U101,U119)</f>
        <v>13.65560043131355</v>
      </c>
      <c r="R126" s="919"/>
      <c r="S126" s="919"/>
      <c r="T126" s="919"/>
      <c r="U126" s="919"/>
    </row>
    <row r="127" spans="1:21" x14ac:dyDescent="0.3">
      <c r="A127" s="600"/>
      <c r="B127" s="600"/>
      <c r="C127" s="789"/>
      <c r="D127" s="789"/>
      <c r="E127" s="600"/>
      <c r="F127" s="600"/>
      <c r="G127" s="1008"/>
      <c r="H127" s="1008"/>
      <c r="I127" s="928"/>
      <c r="J127" s="1008"/>
      <c r="K127" s="1008"/>
      <c r="L127" s="600"/>
      <c r="M127" s="600"/>
      <c r="N127" s="1008"/>
      <c r="O127" s="590"/>
      <c r="P127" s="590"/>
      <c r="Q127" s="919"/>
      <c r="R127" s="919"/>
      <c r="S127" s="919"/>
      <c r="T127" s="919"/>
      <c r="U127" s="919"/>
    </row>
    <row r="128" spans="1:21" ht="14.4" customHeight="1" x14ac:dyDescent="0.3">
      <c r="A128" s="992" t="s">
        <v>670</v>
      </c>
      <c r="B128" s="992"/>
      <c r="C128" s="992"/>
      <c r="D128" s="992"/>
      <c r="E128" s="992"/>
      <c r="F128" s="992"/>
      <c r="G128" s="992"/>
      <c r="H128" s="992"/>
      <c r="I128" s="992"/>
      <c r="J128" s="992"/>
      <c r="K128" s="993"/>
      <c r="L128" s="998">
        <f>_xlfn.CEILING.MATH(SUM(C126,G126,J126,N126,Q126))</f>
        <v>30</v>
      </c>
      <c r="M128" s="999"/>
      <c r="N128" s="999"/>
      <c r="O128" s="999"/>
      <c r="P128" s="999"/>
      <c r="Q128" s="999"/>
      <c r="R128" s="999"/>
      <c r="S128" s="999"/>
      <c r="T128" s="999"/>
      <c r="U128" s="1000"/>
    </row>
    <row r="129" spans="1:21" ht="14.4" customHeight="1" x14ac:dyDescent="0.3">
      <c r="A129" s="994"/>
      <c r="B129" s="994"/>
      <c r="C129" s="994"/>
      <c r="D129" s="994"/>
      <c r="E129" s="994"/>
      <c r="F129" s="994"/>
      <c r="G129" s="994"/>
      <c r="H129" s="994"/>
      <c r="I129" s="994"/>
      <c r="J129" s="994"/>
      <c r="K129" s="995"/>
      <c r="L129" s="1001"/>
      <c r="M129" s="1002"/>
      <c r="N129" s="1002"/>
      <c r="O129" s="1002"/>
      <c r="P129" s="1002"/>
      <c r="Q129" s="1002"/>
      <c r="R129" s="1002"/>
      <c r="S129" s="1002"/>
      <c r="T129" s="1002"/>
      <c r="U129" s="1003"/>
    </row>
    <row r="130" spans="1:21" ht="14.4" customHeight="1" x14ac:dyDescent="0.3">
      <c r="A130" s="996"/>
      <c r="B130" s="996"/>
      <c r="C130" s="996"/>
      <c r="D130" s="996"/>
      <c r="E130" s="996"/>
      <c r="F130" s="996"/>
      <c r="G130" s="996"/>
      <c r="H130" s="996"/>
      <c r="I130" s="996"/>
      <c r="J130" s="996"/>
      <c r="K130" s="997"/>
      <c r="L130" s="1004"/>
      <c r="M130" s="1005"/>
      <c r="N130" s="1005"/>
      <c r="O130" s="1005"/>
      <c r="P130" s="1005"/>
      <c r="Q130" s="1005"/>
      <c r="R130" s="1005"/>
      <c r="S130" s="1005"/>
      <c r="T130" s="1005"/>
      <c r="U130" s="1006"/>
    </row>
  </sheetData>
  <mergeCells count="726">
    <mergeCell ref="A128:K130"/>
    <mergeCell ref="L128:U130"/>
    <mergeCell ref="U122:U124"/>
    <mergeCell ref="A126:B127"/>
    <mergeCell ref="C126:D127"/>
    <mergeCell ref="E126:F127"/>
    <mergeCell ref="G126:H127"/>
    <mergeCell ref="I126:I127"/>
    <mergeCell ref="J126:K127"/>
    <mergeCell ref="L126:M127"/>
    <mergeCell ref="N126:N127"/>
    <mergeCell ref="O126:P127"/>
    <mergeCell ref="Q126:U127"/>
    <mergeCell ref="A122:B124"/>
    <mergeCell ref="C122:D124"/>
    <mergeCell ref="E122:F124"/>
    <mergeCell ref="G122:H124"/>
    <mergeCell ref="O122:P124"/>
    <mergeCell ref="Q122:Q124"/>
    <mergeCell ref="R122:R124"/>
    <mergeCell ref="S122:S124"/>
    <mergeCell ref="T122:T124"/>
    <mergeCell ref="U116:U118"/>
    <mergeCell ref="A119:B121"/>
    <mergeCell ref="C119:D121"/>
    <mergeCell ref="E119:F121"/>
    <mergeCell ref="G119:H121"/>
    <mergeCell ref="O119:P121"/>
    <mergeCell ref="Q119:Q121"/>
    <mergeCell ref="R119:R121"/>
    <mergeCell ref="S119:S121"/>
    <mergeCell ref="T119:T121"/>
    <mergeCell ref="U119:U121"/>
    <mergeCell ref="A116:B118"/>
    <mergeCell ref="C116:D118"/>
    <mergeCell ref="E116:F118"/>
    <mergeCell ref="G116:H118"/>
    <mergeCell ref="O116:P118"/>
    <mergeCell ref="Q116:Q118"/>
    <mergeCell ref="R116:R118"/>
    <mergeCell ref="S116:S118"/>
    <mergeCell ref="T116:T118"/>
    <mergeCell ref="U110:U112"/>
    <mergeCell ref="A113:B115"/>
    <mergeCell ref="C113:D115"/>
    <mergeCell ref="E113:F115"/>
    <mergeCell ref="G113:H115"/>
    <mergeCell ref="O113:P115"/>
    <mergeCell ref="Q113:Q115"/>
    <mergeCell ref="R113:R115"/>
    <mergeCell ref="S113:S115"/>
    <mergeCell ref="T113:T115"/>
    <mergeCell ref="U113:U115"/>
    <mergeCell ref="Q104:Q106"/>
    <mergeCell ref="R104:R106"/>
    <mergeCell ref="S104:S106"/>
    <mergeCell ref="T104:T106"/>
    <mergeCell ref="U104:U106"/>
    <mergeCell ref="A107:B109"/>
    <mergeCell ref="C107:D109"/>
    <mergeCell ref="E107:F109"/>
    <mergeCell ref="G107:H109"/>
    <mergeCell ref="I107:K124"/>
    <mergeCell ref="L107:N124"/>
    <mergeCell ref="O107:P109"/>
    <mergeCell ref="Q107:Q109"/>
    <mergeCell ref="R107:T109"/>
    <mergeCell ref="U107:U109"/>
    <mergeCell ref="A110:B112"/>
    <mergeCell ref="C110:D112"/>
    <mergeCell ref="E110:F112"/>
    <mergeCell ref="G110:H112"/>
    <mergeCell ref="O110:P112"/>
    <mergeCell ref="Q110:Q112"/>
    <mergeCell ref="R110:R112"/>
    <mergeCell ref="S110:S112"/>
    <mergeCell ref="T110:T112"/>
    <mergeCell ref="O98:P100"/>
    <mergeCell ref="Q98:Q100"/>
    <mergeCell ref="R98:R100"/>
    <mergeCell ref="S98:S100"/>
    <mergeCell ref="T98:T100"/>
    <mergeCell ref="U98:U100"/>
    <mergeCell ref="A101:B103"/>
    <mergeCell ref="C101:D103"/>
    <mergeCell ref="E101:F103"/>
    <mergeCell ref="G101:G103"/>
    <mergeCell ref="H101:H103"/>
    <mergeCell ref="I101:I103"/>
    <mergeCell ref="J101:J103"/>
    <mergeCell ref="K101:K103"/>
    <mergeCell ref="L101:M103"/>
    <mergeCell ref="N101:N103"/>
    <mergeCell ref="O101:P103"/>
    <mergeCell ref="Q101:Q103"/>
    <mergeCell ref="R101:R103"/>
    <mergeCell ref="S101:S103"/>
    <mergeCell ref="T101:T103"/>
    <mergeCell ref="U101:U103"/>
    <mergeCell ref="N95:N97"/>
    <mergeCell ref="A98:B100"/>
    <mergeCell ref="C98:D100"/>
    <mergeCell ref="E98:F100"/>
    <mergeCell ref="G98:G100"/>
    <mergeCell ref="H98:H100"/>
    <mergeCell ref="I98:I100"/>
    <mergeCell ref="J98:J100"/>
    <mergeCell ref="K98:K100"/>
    <mergeCell ref="L98:M100"/>
    <mergeCell ref="N98:N100"/>
    <mergeCell ref="J95:J97"/>
    <mergeCell ref="K95:K97"/>
    <mergeCell ref="L95:M97"/>
    <mergeCell ref="R71:U73"/>
    <mergeCell ref="G80:G82"/>
    <mergeCell ref="H80:H82"/>
    <mergeCell ref="I80:I82"/>
    <mergeCell ref="J80:J82"/>
    <mergeCell ref="K80:K82"/>
    <mergeCell ref="L80:M82"/>
    <mergeCell ref="N80:N82"/>
    <mergeCell ref="R80:R82"/>
    <mergeCell ref="S80:S82"/>
    <mergeCell ref="T80:T82"/>
    <mergeCell ref="G71:H73"/>
    <mergeCell ref="U80:U82"/>
    <mergeCell ref="N71:N73"/>
    <mergeCell ref="O71:P73"/>
    <mergeCell ref="Q71:Q73"/>
    <mergeCell ref="N74:N76"/>
    <mergeCell ref="O74:P76"/>
    <mergeCell ref="Q74:Q76"/>
    <mergeCell ref="R74:R76"/>
    <mergeCell ref="O80:P82"/>
    <mergeCell ref="Q80:Q82"/>
    <mergeCell ref="S74:S76"/>
    <mergeCell ref="T74:T76"/>
    <mergeCell ref="N69:N70"/>
    <mergeCell ref="O69:P70"/>
    <mergeCell ref="Q69:Q70"/>
    <mergeCell ref="R69:R70"/>
    <mergeCell ref="S69:S70"/>
    <mergeCell ref="T69:T70"/>
    <mergeCell ref="U69:U70"/>
    <mergeCell ref="A59:B59"/>
    <mergeCell ref="C59:D59"/>
    <mergeCell ref="A69:B70"/>
    <mergeCell ref="C69:D70"/>
    <mergeCell ref="E69:F70"/>
    <mergeCell ref="G69:G70"/>
    <mergeCell ref="H69:H70"/>
    <mergeCell ref="I69:I70"/>
    <mergeCell ref="J69:J70"/>
    <mergeCell ref="K69:K70"/>
    <mergeCell ref="L69:M70"/>
    <mergeCell ref="A67:D67"/>
    <mergeCell ref="G67:H67"/>
    <mergeCell ref="J67:K67"/>
    <mergeCell ref="Q67:U67"/>
    <mergeCell ref="A68:B68"/>
    <mergeCell ref="C68:D68"/>
    <mergeCell ref="R92:R94"/>
    <mergeCell ref="S92:S94"/>
    <mergeCell ref="T92:T94"/>
    <mergeCell ref="U92:U94"/>
    <mergeCell ref="A95:B97"/>
    <mergeCell ref="C95:D97"/>
    <mergeCell ref="E95:F97"/>
    <mergeCell ref="O95:P97"/>
    <mergeCell ref="Q95:Q97"/>
    <mergeCell ref="R95:R97"/>
    <mergeCell ref="S95:S97"/>
    <mergeCell ref="T95:T97"/>
    <mergeCell ref="U95:U97"/>
    <mergeCell ref="G92:G94"/>
    <mergeCell ref="H92:H94"/>
    <mergeCell ref="I92:I94"/>
    <mergeCell ref="J92:J94"/>
    <mergeCell ref="K92:K94"/>
    <mergeCell ref="L92:M94"/>
    <mergeCell ref="N92:N94"/>
    <mergeCell ref="G95:G97"/>
    <mergeCell ref="H95:H97"/>
    <mergeCell ref="I95:I97"/>
    <mergeCell ref="A92:B94"/>
    <mergeCell ref="U86:U88"/>
    <mergeCell ref="A89:B91"/>
    <mergeCell ref="C89:D91"/>
    <mergeCell ref="E89:F91"/>
    <mergeCell ref="G89:H91"/>
    <mergeCell ref="O89:P91"/>
    <mergeCell ref="Q89:Q91"/>
    <mergeCell ref="G86:G88"/>
    <mergeCell ref="H86:H88"/>
    <mergeCell ref="I86:I88"/>
    <mergeCell ref="J86:J88"/>
    <mergeCell ref="K86:K88"/>
    <mergeCell ref="L86:M88"/>
    <mergeCell ref="N86:N88"/>
    <mergeCell ref="I89:I91"/>
    <mergeCell ref="J89:K91"/>
    <mergeCell ref="L89:M91"/>
    <mergeCell ref="N89:N91"/>
    <mergeCell ref="R89:U91"/>
    <mergeCell ref="R86:R88"/>
    <mergeCell ref="S86:S88"/>
    <mergeCell ref="T86:T88"/>
    <mergeCell ref="A86:B88"/>
    <mergeCell ref="C86:D88"/>
    <mergeCell ref="R83:R85"/>
    <mergeCell ref="S83:S85"/>
    <mergeCell ref="T83:T85"/>
    <mergeCell ref="U83:U85"/>
    <mergeCell ref="G83:G85"/>
    <mergeCell ref="H83:H85"/>
    <mergeCell ref="I83:I85"/>
    <mergeCell ref="J83:J85"/>
    <mergeCell ref="K83:K85"/>
    <mergeCell ref="L83:M85"/>
    <mergeCell ref="N83:N85"/>
    <mergeCell ref="E86:F88"/>
    <mergeCell ref="O86:P88"/>
    <mergeCell ref="Q86:Q88"/>
    <mergeCell ref="A83:B85"/>
    <mergeCell ref="C83:D85"/>
    <mergeCell ref="E83:F85"/>
    <mergeCell ref="O83:P85"/>
    <mergeCell ref="Q83:Q85"/>
    <mergeCell ref="O92:P94"/>
    <mergeCell ref="Q92:Q94"/>
    <mergeCell ref="C92:D94"/>
    <mergeCell ref="E92:F94"/>
    <mergeCell ref="U74:U76"/>
    <mergeCell ref="A77:B79"/>
    <mergeCell ref="C77:D79"/>
    <mergeCell ref="E77:F79"/>
    <mergeCell ref="G77:G79"/>
    <mergeCell ref="H77:H79"/>
    <mergeCell ref="I77:I79"/>
    <mergeCell ref="J77:J79"/>
    <mergeCell ref="K77:K79"/>
    <mergeCell ref="L77:M79"/>
    <mergeCell ref="N77:N79"/>
    <mergeCell ref="O77:P79"/>
    <mergeCell ref="Q77:Q79"/>
    <mergeCell ref="R77:R79"/>
    <mergeCell ref="S77:S79"/>
    <mergeCell ref="T77:T79"/>
    <mergeCell ref="U77:U79"/>
    <mergeCell ref="A74:B76"/>
    <mergeCell ref="A80:B82"/>
    <mergeCell ref="C80:D82"/>
    <mergeCell ref="L74:M76"/>
    <mergeCell ref="A71:B73"/>
    <mergeCell ref="C71:D73"/>
    <mergeCell ref="E71:F73"/>
    <mergeCell ref="I71:I73"/>
    <mergeCell ref="L71:M73"/>
    <mergeCell ref="J71:K73"/>
    <mergeCell ref="E80:F82"/>
    <mergeCell ref="C55:D55"/>
    <mergeCell ref="C57:D57"/>
    <mergeCell ref="C74:D76"/>
    <mergeCell ref="E74:F76"/>
    <mergeCell ref="G74:G76"/>
    <mergeCell ref="H74:H76"/>
    <mergeCell ref="I74:I76"/>
    <mergeCell ref="J74:J76"/>
    <mergeCell ref="K74:K76"/>
    <mergeCell ref="M32:M33"/>
    <mergeCell ref="N32:N33"/>
    <mergeCell ref="N30:N31"/>
    <mergeCell ref="J104:J106"/>
    <mergeCell ref="K104:K106"/>
    <mergeCell ref="L104:M106"/>
    <mergeCell ref="N104:N106"/>
    <mergeCell ref="O104:P106"/>
    <mergeCell ref="A104:B106"/>
    <mergeCell ref="C104:D106"/>
    <mergeCell ref="E104:F106"/>
    <mergeCell ref="G104:G106"/>
    <mergeCell ref="H104:H106"/>
    <mergeCell ref="I104:I106"/>
    <mergeCell ref="A57:B57"/>
    <mergeCell ref="A51:B51"/>
    <mergeCell ref="C51:D51"/>
    <mergeCell ref="A52:B52"/>
    <mergeCell ref="C52:D52"/>
    <mergeCell ref="A53:B53"/>
    <mergeCell ref="C53:D53"/>
    <mergeCell ref="A54:B54"/>
    <mergeCell ref="C54:D54"/>
    <mergeCell ref="A55:B55"/>
    <mergeCell ref="L30:L31"/>
    <mergeCell ref="M30:M31"/>
    <mergeCell ref="L32:L33"/>
    <mergeCell ref="A58:B58"/>
    <mergeCell ref="C58:D58"/>
    <mergeCell ref="P30:P31"/>
    <mergeCell ref="A34:B35"/>
    <mergeCell ref="C34:C35"/>
    <mergeCell ref="D34:D35"/>
    <mergeCell ref="E34:E35"/>
    <mergeCell ref="J30:J31"/>
    <mergeCell ref="C32:C33"/>
    <mergeCell ref="D32:D33"/>
    <mergeCell ref="E32:E33"/>
    <mergeCell ref="F32:F33"/>
    <mergeCell ref="I30:I31"/>
    <mergeCell ref="K30:K31"/>
    <mergeCell ref="O30:O31"/>
    <mergeCell ref="O32:O33"/>
    <mergeCell ref="L34:L35"/>
    <mergeCell ref="M34:M35"/>
    <mergeCell ref="A32:B33"/>
    <mergeCell ref="A56:B56"/>
    <mergeCell ref="C56:D56"/>
    <mergeCell ref="L46:N48"/>
    <mergeCell ref="A39:U41"/>
    <mergeCell ref="N34:N35"/>
    <mergeCell ref="F34:F35"/>
    <mergeCell ref="G34:G35"/>
    <mergeCell ref="H34:H35"/>
    <mergeCell ref="I34:I35"/>
    <mergeCell ref="J34:J35"/>
    <mergeCell ref="K34:K35"/>
    <mergeCell ref="O8:O9"/>
    <mergeCell ref="M10:M11"/>
    <mergeCell ref="N10:N11"/>
    <mergeCell ref="O10:O11"/>
    <mergeCell ref="M12:M13"/>
    <mergeCell ref="N12:N13"/>
    <mergeCell ref="O12:O13"/>
    <mergeCell ref="O20:O21"/>
    <mergeCell ref="O22:O23"/>
    <mergeCell ref="N16:N17"/>
    <mergeCell ref="N18:N19"/>
    <mergeCell ref="O14:O15"/>
    <mergeCell ref="M22:M23"/>
    <mergeCell ref="N20:N21"/>
    <mergeCell ref="N22:N23"/>
    <mergeCell ref="C28:C29"/>
    <mergeCell ref="D28:D29"/>
    <mergeCell ref="E28:E29"/>
    <mergeCell ref="F28:F29"/>
    <mergeCell ref="G28:G29"/>
    <mergeCell ref="H28:H29"/>
    <mergeCell ref="O16:O17"/>
    <mergeCell ref="O18:O19"/>
    <mergeCell ref="M20:M21"/>
    <mergeCell ref="M26:M27"/>
    <mergeCell ref="N26:N27"/>
    <mergeCell ref="O26:O27"/>
    <mergeCell ref="N28:N29"/>
    <mergeCell ref="O28:O29"/>
    <mergeCell ref="M28:M29"/>
    <mergeCell ref="M24:M25"/>
    <mergeCell ref="N24:N25"/>
    <mergeCell ref="O24:O25"/>
    <mergeCell ref="L28:L29"/>
    <mergeCell ref="H8:H9"/>
    <mergeCell ref="I8:I9"/>
    <mergeCell ref="J8:J9"/>
    <mergeCell ref="N6:N7"/>
    <mergeCell ref="A26:B27"/>
    <mergeCell ref="M14:M15"/>
    <mergeCell ref="M16:M17"/>
    <mergeCell ref="M18:M19"/>
    <mergeCell ref="N14:N15"/>
    <mergeCell ref="L6:L7"/>
    <mergeCell ref="M6:M7"/>
    <mergeCell ref="C12:C13"/>
    <mergeCell ref="D12:D13"/>
    <mergeCell ref="M8:M9"/>
    <mergeCell ref="N8:N9"/>
    <mergeCell ref="O6:O7"/>
    <mergeCell ref="K22:K23"/>
    <mergeCell ref="L22:L23"/>
    <mergeCell ref="I26:I27"/>
    <mergeCell ref="J12:J13"/>
    <mergeCell ref="K12:K13"/>
    <mergeCell ref="L12:L13"/>
    <mergeCell ref="A8:B9"/>
    <mergeCell ref="C8:C9"/>
    <mergeCell ref="D8:D9"/>
    <mergeCell ref="E8:E9"/>
    <mergeCell ref="F8:F9"/>
    <mergeCell ref="G8:G9"/>
    <mergeCell ref="J10:J11"/>
    <mergeCell ref="K10:K11"/>
    <mergeCell ref="L10:L11"/>
    <mergeCell ref="K8:K9"/>
    <mergeCell ref="L8:L9"/>
    <mergeCell ref="A10:B11"/>
    <mergeCell ref="C10:C11"/>
    <mergeCell ref="D10:D11"/>
    <mergeCell ref="E10:E11"/>
    <mergeCell ref="F10:F11"/>
    <mergeCell ref="A12:B13"/>
    <mergeCell ref="AC14:AC15"/>
    <mergeCell ref="AG14:AG15"/>
    <mergeCell ref="AD14:AD15"/>
    <mergeCell ref="AH14:AH15"/>
    <mergeCell ref="AE14:AE15"/>
    <mergeCell ref="AN12:AN13"/>
    <mergeCell ref="AD47:AK47"/>
    <mergeCell ref="R6:R7"/>
    <mergeCell ref="S6:S7"/>
    <mergeCell ref="AH18:AH19"/>
    <mergeCell ref="AE18:AE19"/>
    <mergeCell ref="AJ18:AJ19"/>
    <mergeCell ref="Z20:Z21"/>
    <mergeCell ref="Z18:Z19"/>
    <mergeCell ref="AC16:AC17"/>
    <mergeCell ref="AG16:AG17"/>
    <mergeCell ref="Y16:Y21"/>
    <mergeCell ref="Z16:Z17"/>
    <mergeCell ref="AA16:AA17"/>
    <mergeCell ref="AI16:AI17"/>
    <mergeCell ref="AK16:AK17"/>
    <mergeCell ref="Y14:Z15"/>
    <mergeCell ref="AA14:AA15"/>
    <mergeCell ref="AB14:AB15"/>
    <mergeCell ref="P6:P7"/>
    <mergeCell ref="Q6:Q7"/>
    <mergeCell ref="P8:P9"/>
    <mergeCell ref="P10:P11"/>
    <mergeCell ref="P12:P13"/>
    <mergeCell ref="P14:P15"/>
    <mergeCell ref="P16:P17"/>
    <mergeCell ref="P18:P19"/>
    <mergeCell ref="AB16:AB17"/>
    <mergeCell ref="AN14:AN15"/>
    <mergeCell ref="AN16:AN17"/>
    <mergeCell ref="AF18:AF19"/>
    <mergeCell ref="AC18:AC19"/>
    <mergeCell ref="AG18:AG19"/>
    <mergeCell ref="AD18:AD19"/>
    <mergeCell ref="AD16:AD17"/>
    <mergeCell ref="AH16:AH17"/>
    <mergeCell ref="AE16:AE17"/>
    <mergeCell ref="AJ16:AJ17"/>
    <mergeCell ref="AI18:AI19"/>
    <mergeCell ref="AI14:AI15"/>
    <mergeCell ref="AM14:AM15"/>
    <mergeCell ref="AK14:AK15"/>
    <mergeCell ref="AL14:AL15"/>
    <mergeCell ref="AF14:AF15"/>
    <mergeCell ref="AN18:AN19"/>
    <mergeCell ref="AL18:AL19"/>
    <mergeCell ref="AM18:AM19"/>
    <mergeCell ref="AK18:AK19"/>
    <mergeCell ref="AL16:AL17"/>
    <mergeCell ref="AM16:AM17"/>
    <mergeCell ref="AJ14:AJ15"/>
    <mergeCell ref="AF16:AF17"/>
    <mergeCell ref="AD2:AK2"/>
    <mergeCell ref="Y5:Z5"/>
    <mergeCell ref="Y6:Z11"/>
    <mergeCell ref="Y12:Z13"/>
    <mergeCell ref="AA12:AA13"/>
    <mergeCell ref="AI12:AI13"/>
    <mergeCell ref="AM12:AM13"/>
    <mergeCell ref="AK12:AK13"/>
    <mergeCell ref="AL12:AL13"/>
    <mergeCell ref="AB12:AB13"/>
    <mergeCell ref="AJ12:AJ13"/>
    <mergeCell ref="AF12:AF13"/>
    <mergeCell ref="AC12:AC13"/>
    <mergeCell ref="AG12:AG13"/>
    <mergeCell ref="AD12:AD13"/>
    <mergeCell ref="AH12:AH13"/>
    <mergeCell ref="AE12:AE13"/>
    <mergeCell ref="AI58:AI59"/>
    <mergeCell ref="AJ58:AJ59"/>
    <mergeCell ref="AK58:AK59"/>
    <mergeCell ref="AL58:AL59"/>
    <mergeCell ref="AM58:AM59"/>
    <mergeCell ref="AN60:AN61"/>
    <mergeCell ref="Z62:Z63"/>
    <mergeCell ref="AA62:AA63"/>
    <mergeCell ref="AB62:AB63"/>
    <mergeCell ref="AC62:AC63"/>
    <mergeCell ref="AD62:AD63"/>
    <mergeCell ref="AE62:AE63"/>
    <mergeCell ref="AF62:AF63"/>
    <mergeCell ref="AG62:AG63"/>
    <mergeCell ref="AH62:AH63"/>
    <mergeCell ref="AH60:AH61"/>
    <mergeCell ref="AI60:AI61"/>
    <mergeCell ref="AJ60:AJ61"/>
    <mergeCell ref="AK60:AK61"/>
    <mergeCell ref="AL60:AL61"/>
    <mergeCell ref="AM60:AM61"/>
    <mergeCell ref="AI62:AI63"/>
    <mergeCell ref="AJ62:AJ63"/>
    <mergeCell ref="AK62:AK63"/>
    <mergeCell ref="Y60:Y65"/>
    <mergeCell ref="Z60:Z61"/>
    <mergeCell ref="AA60:AA61"/>
    <mergeCell ref="AB60:AB61"/>
    <mergeCell ref="AC60:AC61"/>
    <mergeCell ref="AD60:AD61"/>
    <mergeCell ref="AE60:AE61"/>
    <mergeCell ref="AF60:AF61"/>
    <mergeCell ref="AG60:AG61"/>
    <mergeCell ref="AA64:AN65"/>
    <mergeCell ref="AL62:AL63"/>
    <mergeCell ref="AM62:AM63"/>
    <mergeCell ref="AN62:AN63"/>
    <mergeCell ref="AM56:AM57"/>
    <mergeCell ref="AN56:AN57"/>
    <mergeCell ref="Y58:Z59"/>
    <mergeCell ref="AA58:AA59"/>
    <mergeCell ref="AB58:AB59"/>
    <mergeCell ref="AC58:AC59"/>
    <mergeCell ref="AD58:AD59"/>
    <mergeCell ref="AE58:AE59"/>
    <mergeCell ref="AF58:AF59"/>
    <mergeCell ref="AG58:AG59"/>
    <mergeCell ref="AG56:AG57"/>
    <mergeCell ref="AH56:AH57"/>
    <mergeCell ref="AI56:AI57"/>
    <mergeCell ref="AJ56:AJ57"/>
    <mergeCell ref="AK56:AK57"/>
    <mergeCell ref="AL56:AL57"/>
    <mergeCell ref="AA56:AA57"/>
    <mergeCell ref="AB56:AB57"/>
    <mergeCell ref="AC56:AC57"/>
    <mergeCell ref="AD56:AD57"/>
    <mergeCell ref="AE56:AE57"/>
    <mergeCell ref="AF56:AF57"/>
    <mergeCell ref="AN58:AN59"/>
    <mergeCell ref="AH58:AH59"/>
    <mergeCell ref="Y49:Z49"/>
    <mergeCell ref="Y50:Z55"/>
    <mergeCell ref="Y56:Z57"/>
    <mergeCell ref="Z64:Z65"/>
    <mergeCell ref="A28:B29"/>
    <mergeCell ref="A30:B31"/>
    <mergeCell ref="Z41:Z42"/>
    <mergeCell ref="AA41:AN42"/>
    <mergeCell ref="A22:B23"/>
    <mergeCell ref="C22:C23"/>
    <mergeCell ref="D22:D23"/>
    <mergeCell ref="E22:E23"/>
    <mergeCell ref="F22:F23"/>
    <mergeCell ref="G22:G23"/>
    <mergeCell ref="AN39:AN40"/>
    <mergeCell ref="G24:G25"/>
    <mergeCell ref="H24:H25"/>
    <mergeCell ref="I24:I25"/>
    <mergeCell ref="J24:J25"/>
    <mergeCell ref="K24:K25"/>
    <mergeCell ref="L24:L25"/>
    <mergeCell ref="H22:H23"/>
    <mergeCell ref="I22:I23"/>
    <mergeCell ref="J22:J23"/>
    <mergeCell ref="AL35:AL36"/>
    <mergeCell ref="AM33:AM34"/>
    <mergeCell ref="A24:B25"/>
    <mergeCell ref="C24:C25"/>
    <mergeCell ref="D24:D25"/>
    <mergeCell ref="E24:E25"/>
    <mergeCell ref="F24:F25"/>
    <mergeCell ref="K20:K21"/>
    <mergeCell ref="L20:L21"/>
    <mergeCell ref="A20:B21"/>
    <mergeCell ref="C20:C21"/>
    <mergeCell ref="D20:D21"/>
    <mergeCell ref="E20:E21"/>
    <mergeCell ref="F20:F21"/>
    <mergeCell ref="G20:G21"/>
    <mergeCell ref="H20:H21"/>
    <mergeCell ref="I20:I21"/>
    <mergeCell ref="J26:J27"/>
    <mergeCell ref="K26:K27"/>
    <mergeCell ref="L26:L27"/>
    <mergeCell ref="C26:C27"/>
    <mergeCell ref="D26:D27"/>
    <mergeCell ref="E26:E27"/>
    <mergeCell ref="F26:F27"/>
    <mergeCell ref="AC37:AC38"/>
    <mergeCell ref="AD37:AD38"/>
    <mergeCell ref="AE37:AE38"/>
    <mergeCell ref="AF37:AF38"/>
    <mergeCell ref="AG37:AG38"/>
    <mergeCell ref="AM35:AM36"/>
    <mergeCell ref="AN35:AN36"/>
    <mergeCell ref="J20:J21"/>
    <mergeCell ref="AH39:AH40"/>
    <mergeCell ref="AI39:AI40"/>
    <mergeCell ref="AJ39:AJ40"/>
    <mergeCell ref="AK39:AK40"/>
    <mergeCell ref="AL39:AL40"/>
    <mergeCell ref="AM39:AM40"/>
    <mergeCell ref="AB39:AB40"/>
    <mergeCell ref="AC39:AC40"/>
    <mergeCell ref="AD39:AD40"/>
    <mergeCell ref="AE39:AE40"/>
    <mergeCell ref="AF39:AF40"/>
    <mergeCell ref="AG39:AG40"/>
    <mergeCell ref="AH35:AH36"/>
    <mergeCell ref="AI35:AI36"/>
    <mergeCell ref="AJ35:AJ36"/>
    <mergeCell ref="AK35:AK36"/>
    <mergeCell ref="Y37:Y42"/>
    <mergeCell ref="Z37:Z38"/>
    <mergeCell ref="AA37:AA38"/>
    <mergeCell ref="K18:K19"/>
    <mergeCell ref="L18:L19"/>
    <mergeCell ref="Z39:Z40"/>
    <mergeCell ref="AA39:AA40"/>
    <mergeCell ref="AN37:AN38"/>
    <mergeCell ref="A18:B19"/>
    <mergeCell ref="C18:C19"/>
    <mergeCell ref="D18:D19"/>
    <mergeCell ref="E18:E19"/>
    <mergeCell ref="F18:F19"/>
    <mergeCell ref="G18:G19"/>
    <mergeCell ref="H18:H19"/>
    <mergeCell ref="I18:I19"/>
    <mergeCell ref="J18:J19"/>
    <mergeCell ref="AH37:AH38"/>
    <mergeCell ref="AI37:AI38"/>
    <mergeCell ref="AJ37:AJ38"/>
    <mergeCell ref="AK37:AK38"/>
    <mergeCell ref="AL37:AL38"/>
    <mergeCell ref="AM37:AM38"/>
    <mergeCell ref="AB37:AB38"/>
    <mergeCell ref="AG35:AG36"/>
    <mergeCell ref="AA35:AA36"/>
    <mergeCell ref="AB35:AB36"/>
    <mergeCell ref="AC35:AC36"/>
    <mergeCell ref="AD35:AD36"/>
    <mergeCell ref="AE35:AE36"/>
    <mergeCell ref="AF35:AF36"/>
    <mergeCell ref="Y35:Z36"/>
    <mergeCell ref="J16:J17"/>
    <mergeCell ref="K16:K17"/>
    <mergeCell ref="L16:L17"/>
    <mergeCell ref="AA18:AA19"/>
    <mergeCell ref="J32:J33"/>
    <mergeCell ref="J28:J29"/>
    <mergeCell ref="K28:K29"/>
    <mergeCell ref="K32:K33"/>
    <mergeCell ref="P34:P35"/>
    <mergeCell ref="O34:O35"/>
    <mergeCell ref="P32:P33"/>
    <mergeCell ref="P20:P21"/>
    <mergeCell ref="P22:P23"/>
    <mergeCell ref="P24:P25"/>
    <mergeCell ref="P26:P27"/>
    <mergeCell ref="P28:P29"/>
    <mergeCell ref="AD33:AD34"/>
    <mergeCell ref="AE33:AE34"/>
    <mergeCell ref="AF33:AF34"/>
    <mergeCell ref="A16:B17"/>
    <mergeCell ref="C16:C17"/>
    <mergeCell ref="D16:D17"/>
    <mergeCell ref="E16:E17"/>
    <mergeCell ref="F16:F17"/>
    <mergeCell ref="G16:G17"/>
    <mergeCell ref="H16:H17"/>
    <mergeCell ref="I16:I17"/>
    <mergeCell ref="G26:G27"/>
    <mergeCell ref="H26:H27"/>
    <mergeCell ref="G32:G33"/>
    <mergeCell ref="H32:H33"/>
    <mergeCell ref="I32:I33"/>
    <mergeCell ref="I28:I29"/>
    <mergeCell ref="C30:C31"/>
    <mergeCell ref="D30:D31"/>
    <mergeCell ref="E30:E31"/>
    <mergeCell ref="F30:F31"/>
    <mergeCell ref="G30:G31"/>
    <mergeCell ref="H30:H31"/>
    <mergeCell ref="AB18:AB19"/>
    <mergeCell ref="Y33:Z34"/>
    <mergeCell ref="J14:J15"/>
    <mergeCell ref="K14:K15"/>
    <mergeCell ref="L14:L15"/>
    <mergeCell ref="AN33:AN34"/>
    <mergeCell ref="A14:B15"/>
    <mergeCell ref="C14:C15"/>
    <mergeCell ref="D14:D15"/>
    <mergeCell ref="E14:E15"/>
    <mergeCell ref="F14:F15"/>
    <mergeCell ref="G14:G15"/>
    <mergeCell ref="H14:H15"/>
    <mergeCell ref="I14:I15"/>
    <mergeCell ref="AG33:AG34"/>
    <mergeCell ref="AH33:AH34"/>
    <mergeCell ref="AI33:AI34"/>
    <mergeCell ref="AJ33:AJ34"/>
    <mergeCell ref="AK33:AK34"/>
    <mergeCell ref="AL33:AL34"/>
    <mergeCell ref="AA33:AA34"/>
    <mergeCell ref="AB33:AB34"/>
    <mergeCell ref="Y26:Z26"/>
    <mergeCell ref="Y27:Z32"/>
    <mergeCell ref="AC33:AC34"/>
    <mergeCell ref="C4:K5"/>
    <mergeCell ref="AD24:AK24"/>
    <mergeCell ref="A6:B7"/>
    <mergeCell ref="C6:C7"/>
    <mergeCell ref="D6:D7"/>
    <mergeCell ref="E6:E7"/>
    <mergeCell ref="F6:F7"/>
    <mergeCell ref="G6:G7"/>
    <mergeCell ref="H6:H7"/>
    <mergeCell ref="I6:I7"/>
    <mergeCell ref="AA20:AN21"/>
    <mergeCell ref="AB4:AE4"/>
    <mergeCell ref="AF4:AH4"/>
    <mergeCell ref="AJ4:AN4"/>
    <mergeCell ref="J6:J7"/>
    <mergeCell ref="K6:K7"/>
    <mergeCell ref="E12:E13"/>
    <mergeCell ref="F12:F13"/>
    <mergeCell ref="G12:G13"/>
    <mergeCell ref="G10:G11"/>
    <mergeCell ref="H10:H11"/>
    <mergeCell ref="I10:I11"/>
    <mergeCell ref="H12:H13"/>
    <mergeCell ref="I12:I13"/>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63"/>
  <sheetViews>
    <sheetView zoomScale="43" zoomScaleNormal="50" workbookViewId="0">
      <selection activeCell="S42" sqref="S42"/>
    </sheetView>
  </sheetViews>
  <sheetFormatPr defaultRowHeight="14.4" x14ac:dyDescent="0.3"/>
  <cols>
    <col min="2" max="2" width="14" customWidth="1"/>
    <col min="3" max="4" width="11.88671875" customWidth="1"/>
    <col min="5" max="5" width="23.109375" customWidth="1"/>
    <col min="6" max="6" width="14.5546875" customWidth="1"/>
    <col min="7" max="7" width="23" customWidth="1"/>
    <col min="8" max="8" width="14.88671875" customWidth="1"/>
    <col min="9" max="9" width="19.88671875" customWidth="1"/>
    <col min="10" max="10" width="11.88671875" customWidth="1"/>
    <col min="11" max="11" width="18" customWidth="1"/>
    <col min="12" max="12" width="11.5546875" customWidth="1"/>
    <col min="13" max="13" width="13.33203125" customWidth="1"/>
    <col min="14" max="14" width="13.6640625" customWidth="1"/>
    <col min="15" max="15" width="10.88671875" customWidth="1"/>
    <col min="16" max="17" width="13.33203125" customWidth="1"/>
    <col min="18" max="18" width="18.88671875" customWidth="1"/>
    <col min="19" max="19" width="14.33203125" customWidth="1"/>
    <col min="20" max="20" width="13.6640625" customWidth="1"/>
    <col min="21" max="21" width="15" customWidth="1"/>
    <col min="22" max="22" width="17.5546875" customWidth="1"/>
    <col min="23" max="23" width="14.109375" customWidth="1"/>
    <col min="24" max="24" width="16.109375" customWidth="1"/>
    <col min="25" max="25" width="19.33203125" customWidth="1"/>
    <col min="26" max="26" width="16.6640625" customWidth="1"/>
    <col min="27" max="27" width="19.44140625" customWidth="1"/>
    <col min="28" max="28" width="20.33203125" customWidth="1"/>
    <col min="29" max="29" width="18.33203125" customWidth="1"/>
    <col min="30" max="30" width="24.5546875" customWidth="1"/>
    <col min="31" max="31" width="20.6640625" customWidth="1"/>
    <col min="32" max="32" width="20.5546875" customWidth="1"/>
    <col min="33" max="33" width="19.44140625" customWidth="1"/>
    <col min="34" max="34" width="11.5546875" customWidth="1"/>
  </cols>
  <sheetData>
    <row r="1" spans="1:36" ht="19.2" customHeight="1" x14ac:dyDescent="0.3">
      <c r="A1" s="144"/>
      <c r="B1" s="137"/>
      <c r="C1" s="137"/>
      <c r="D1" s="137"/>
      <c r="E1" s="137"/>
      <c r="F1" s="137"/>
      <c r="G1" s="137"/>
      <c r="H1" s="137"/>
      <c r="I1" s="137"/>
      <c r="J1" s="137"/>
      <c r="K1" s="137"/>
      <c r="L1" s="137"/>
      <c r="M1" s="137"/>
      <c r="N1" s="137"/>
      <c r="O1" s="137"/>
      <c r="P1" s="137"/>
      <c r="Q1" s="137"/>
      <c r="R1" s="137"/>
      <c r="S1" s="137"/>
      <c r="T1" s="137"/>
      <c r="U1" s="137"/>
      <c r="V1" s="137"/>
      <c r="W1" s="137"/>
      <c r="X1" s="137"/>
      <c r="Y1" s="137"/>
      <c r="Z1" s="137"/>
      <c r="AA1" s="137"/>
      <c r="AB1" s="137"/>
      <c r="AC1" s="137"/>
      <c r="AD1" s="137"/>
      <c r="AE1" s="137"/>
      <c r="AF1" s="137"/>
      <c r="AG1" s="137"/>
      <c r="AH1" s="137"/>
      <c r="AI1" s="137"/>
      <c r="AJ1" s="142"/>
    </row>
    <row r="2" spans="1:36" ht="22.95" customHeight="1" x14ac:dyDescent="0.5">
      <c r="A2" s="138"/>
      <c r="C2" s="994" t="s">
        <v>549</v>
      </c>
      <c r="D2" s="994"/>
      <c r="E2" s="994"/>
      <c r="F2" s="994"/>
      <c r="G2" s="994"/>
      <c r="H2" s="994"/>
      <c r="I2" s="994"/>
      <c r="J2" s="994"/>
      <c r="K2" s="994"/>
      <c r="S2" s="1010" t="s">
        <v>468</v>
      </c>
      <c r="T2" s="1010"/>
      <c r="U2" s="1010"/>
      <c r="V2" s="1010"/>
      <c r="W2" s="1010"/>
      <c r="X2" s="1010"/>
      <c r="Y2" s="1010"/>
      <c r="Z2" s="1010"/>
      <c r="AJ2" s="139"/>
    </row>
    <row r="3" spans="1:36" ht="24" customHeight="1" x14ac:dyDescent="0.3">
      <c r="A3" s="138"/>
      <c r="C3" s="994"/>
      <c r="D3" s="994"/>
      <c r="E3" s="994"/>
      <c r="F3" s="994"/>
      <c r="G3" s="994"/>
      <c r="H3" s="994"/>
      <c r="I3" s="994"/>
      <c r="J3" s="994"/>
      <c r="K3" s="994"/>
      <c r="AI3" s="25"/>
      <c r="AJ3" s="139"/>
    </row>
    <row r="4" spans="1:36" ht="54" customHeight="1" x14ac:dyDescent="0.3">
      <c r="A4" s="903" t="s">
        <v>550</v>
      </c>
      <c r="B4" s="904"/>
      <c r="C4" s="600" t="s">
        <v>473</v>
      </c>
      <c r="D4" s="600" t="s">
        <v>551</v>
      </c>
      <c r="E4" s="600" t="s">
        <v>38</v>
      </c>
      <c r="F4" s="600" t="s">
        <v>552</v>
      </c>
      <c r="G4" s="600" t="s">
        <v>42</v>
      </c>
      <c r="H4" s="600" t="s">
        <v>553</v>
      </c>
      <c r="I4" s="600" t="s">
        <v>554</v>
      </c>
      <c r="J4" s="600" t="s">
        <v>555</v>
      </c>
      <c r="K4" s="600" t="s">
        <v>46</v>
      </c>
      <c r="N4" s="635" t="s">
        <v>262</v>
      </c>
      <c r="O4" s="637"/>
      <c r="P4" s="6" t="s">
        <v>474</v>
      </c>
      <c r="Q4" s="6" t="s">
        <v>479</v>
      </c>
      <c r="R4" s="360" t="s">
        <v>560</v>
      </c>
      <c r="S4" s="360" t="s">
        <v>561</v>
      </c>
      <c r="T4" s="360" t="s">
        <v>562</v>
      </c>
      <c r="U4" s="360" t="s">
        <v>563</v>
      </c>
      <c r="V4" s="360" t="s">
        <v>250</v>
      </c>
      <c r="W4" s="360" t="s">
        <v>249</v>
      </c>
      <c r="X4" s="360" t="s">
        <v>475</v>
      </c>
      <c r="Y4" s="360" t="s">
        <v>477</v>
      </c>
      <c r="Z4" s="360" t="s">
        <v>476</v>
      </c>
      <c r="AA4" s="360" t="s">
        <v>478</v>
      </c>
      <c r="AB4" s="360" t="s">
        <v>251</v>
      </c>
      <c r="AC4" s="360" t="s">
        <v>564</v>
      </c>
      <c r="AJ4" s="139"/>
    </row>
    <row r="5" spans="1:36" ht="21.6" customHeight="1" x14ac:dyDescent="0.3">
      <c r="A5" s="903"/>
      <c r="B5" s="904"/>
      <c r="C5" s="600"/>
      <c r="D5" s="600"/>
      <c r="E5" s="600"/>
      <c r="F5" s="600"/>
      <c r="G5" s="600"/>
      <c r="H5" s="600"/>
      <c r="I5" s="600"/>
      <c r="J5" s="600"/>
      <c r="K5" s="600"/>
      <c r="N5" s="791" t="s">
        <v>484</v>
      </c>
      <c r="O5" s="792"/>
      <c r="P5" s="11" t="s">
        <v>485</v>
      </c>
      <c r="Q5" t="s">
        <v>230</v>
      </c>
      <c r="R5" s="11" t="s">
        <v>473</v>
      </c>
      <c r="S5" s="11" t="s">
        <v>473</v>
      </c>
      <c r="T5" s="11" t="s">
        <v>473</v>
      </c>
      <c r="U5" s="11" t="s">
        <v>473</v>
      </c>
      <c r="V5" s="361" t="s">
        <v>247</v>
      </c>
      <c r="W5" s="361" t="s">
        <v>241</v>
      </c>
      <c r="X5" s="361" t="s">
        <v>247</v>
      </c>
      <c r="Y5" s="361" t="s">
        <v>241</v>
      </c>
      <c r="Z5" s="361" t="s">
        <v>247</v>
      </c>
      <c r="AA5" s="361" t="s">
        <v>241</v>
      </c>
      <c r="AB5" s="361" t="s">
        <v>247</v>
      </c>
      <c r="AC5" s="11" t="s">
        <v>499</v>
      </c>
      <c r="AJ5" s="139"/>
    </row>
    <row r="6" spans="1:36" ht="14.4" customHeight="1" x14ac:dyDescent="0.3">
      <c r="A6" s="599" t="s">
        <v>473</v>
      </c>
      <c r="B6" s="600"/>
      <c r="C6" s="1045"/>
      <c r="D6" s="1043"/>
      <c r="E6" s="907">
        <f>R17+S17+T17+U17</f>
        <v>2609.5299999999997</v>
      </c>
      <c r="F6" s="907"/>
      <c r="G6" s="907"/>
      <c r="H6" s="907"/>
      <c r="I6" s="907"/>
      <c r="J6" s="907"/>
      <c r="K6" s="907">
        <f>AC17</f>
        <v>1184.28</v>
      </c>
      <c r="L6" s="918">
        <f>SUM(C6:K7)</f>
        <v>3793.8099999999995</v>
      </c>
      <c r="N6" s="912"/>
      <c r="O6" s="913"/>
      <c r="P6" s="11" t="s">
        <v>492</v>
      </c>
      <c r="Q6" s="11" t="s">
        <v>472</v>
      </c>
      <c r="R6" s="11" t="s">
        <v>485</v>
      </c>
      <c r="S6" s="11" t="s">
        <v>485</v>
      </c>
      <c r="T6" s="11" t="s">
        <v>485</v>
      </c>
      <c r="U6" s="11" t="s">
        <v>485</v>
      </c>
      <c r="V6" s="359" t="s">
        <v>470</v>
      </c>
      <c r="W6" s="11" t="s">
        <v>471</v>
      </c>
      <c r="X6" s="11" t="s">
        <v>489</v>
      </c>
      <c r="Y6" s="11" t="s">
        <v>471</v>
      </c>
      <c r="Z6" s="11" t="s">
        <v>489</v>
      </c>
      <c r="AA6" s="11" t="s">
        <v>471</v>
      </c>
      <c r="AB6" s="11" t="s">
        <v>489</v>
      </c>
      <c r="AC6" s="11" t="s">
        <v>247</v>
      </c>
      <c r="AJ6" s="139"/>
    </row>
    <row r="7" spans="1:36" ht="14.4" customHeight="1" x14ac:dyDescent="0.3">
      <c r="A7" s="599"/>
      <c r="B7" s="600"/>
      <c r="C7" s="1046"/>
      <c r="D7" s="1044"/>
      <c r="E7" s="907"/>
      <c r="F7" s="907"/>
      <c r="G7" s="907"/>
      <c r="H7" s="907"/>
      <c r="I7" s="907"/>
      <c r="J7" s="907"/>
      <c r="K7" s="907"/>
      <c r="L7" s="919"/>
      <c r="N7" s="912"/>
      <c r="O7" s="913"/>
      <c r="P7" s="11"/>
      <c r="Q7" s="11" t="s">
        <v>485</v>
      </c>
      <c r="R7" s="11"/>
      <c r="S7" s="11"/>
      <c r="T7" s="11"/>
      <c r="U7" s="11"/>
      <c r="V7" s="359" t="s">
        <v>241</v>
      </c>
      <c r="W7" s="11" t="s">
        <v>230</v>
      </c>
      <c r="X7" s="11" t="s">
        <v>241</v>
      </c>
      <c r="Y7" s="11" t="s">
        <v>230</v>
      </c>
      <c r="Z7" s="11" t="s">
        <v>241</v>
      </c>
      <c r="AA7" s="11" t="s">
        <v>230</v>
      </c>
      <c r="AB7" s="11" t="s">
        <v>241</v>
      </c>
      <c r="AC7" s="11"/>
      <c r="AJ7" s="139"/>
    </row>
    <row r="8" spans="1:36" ht="14.4" customHeight="1" x14ac:dyDescent="0.3">
      <c r="A8" s="599" t="s">
        <v>551</v>
      </c>
      <c r="B8" s="600"/>
      <c r="C8" s="907"/>
      <c r="D8" s="906"/>
      <c r="E8" s="907"/>
      <c r="F8" s="907"/>
      <c r="G8" s="907"/>
      <c r="H8" s="907"/>
      <c r="I8" s="907"/>
      <c r="J8" s="907"/>
      <c r="K8" s="907"/>
      <c r="L8" s="918">
        <f>SUM(C8:K9)</f>
        <v>0</v>
      </c>
      <c r="N8" s="912"/>
      <c r="O8" s="913"/>
      <c r="P8" s="11"/>
      <c r="Q8" s="11"/>
      <c r="R8" s="11"/>
      <c r="S8" s="11"/>
      <c r="T8" s="11"/>
      <c r="U8" s="11"/>
      <c r="V8" s="359"/>
      <c r="W8" s="11"/>
      <c r="X8" s="11"/>
      <c r="Y8" s="11"/>
      <c r="Z8" s="11"/>
      <c r="AA8" s="11"/>
      <c r="AB8" s="11"/>
      <c r="AC8" s="11"/>
      <c r="AJ8" s="139"/>
    </row>
    <row r="9" spans="1:36" ht="14.4" customHeight="1" x14ac:dyDescent="0.3">
      <c r="A9" s="599"/>
      <c r="B9" s="600"/>
      <c r="C9" s="907"/>
      <c r="D9" s="906"/>
      <c r="E9" s="907"/>
      <c r="F9" s="907"/>
      <c r="G9" s="907"/>
      <c r="H9" s="907"/>
      <c r="I9" s="907"/>
      <c r="J9" s="907"/>
      <c r="K9" s="907"/>
      <c r="L9" s="919"/>
      <c r="N9" s="912"/>
      <c r="O9" s="913"/>
      <c r="P9" s="11"/>
      <c r="Q9" s="11"/>
      <c r="R9" s="11"/>
      <c r="S9" s="11"/>
      <c r="T9" s="11"/>
      <c r="U9" s="11"/>
      <c r="V9" s="359"/>
      <c r="W9" s="11"/>
      <c r="X9" s="11"/>
      <c r="Y9" s="11"/>
      <c r="Z9" s="11"/>
      <c r="AA9" s="11"/>
      <c r="AB9" s="11"/>
      <c r="AC9" s="11"/>
      <c r="AJ9" s="139"/>
    </row>
    <row r="10" spans="1:36" ht="14.4" customHeight="1" x14ac:dyDescent="0.3">
      <c r="A10" s="599" t="s">
        <v>38</v>
      </c>
      <c r="B10" s="600"/>
      <c r="C10" s="907"/>
      <c r="D10" s="907">
        <f>P17</f>
        <v>20334</v>
      </c>
      <c r="E10" s="906"/>
      <c r="F10" s="907"/>
      <c r="G10" s="907"/>
      <c r="H10" s="907"/>
      <c r="I10" s="907"/>
      <c r="J10" s="907"/>
      <c r="K10" s="907"/>
      <c r="L10" s="918">
        <f>SUM(C10:K11)</f>
        <v>20334</v>
      </c>
      <c r="M10" s="365"/>
      <c r="N10" s="793"/>
      <c r="O10" s="794"/>
      <c r="P10" s="11"/>
      <c r="Q10" s="11"/>
      <c r="R10" s="11"/>
      <c r="S10" s="11"/>
      <c r="T10" s="11"/>
      <c r="U10" s="11"/>
      <c r="V10" s="359"/>
      <c r="W10" s="11"/>
      <c r="X10" s="11"/>
      <c r="Y10" s="11"/>
      <c r="Z10" s="11"/>
      <c r="AA10" s="11"/>
      <c r="AB10" s="11"/>
      <c r="AC10" s="11"/>
      <c r="AJ10" s="139"/>
    </row>
    <row r="11" spans="1:36" ht="14.4" customHeight="1" x14ac:dyDescent="0.3">
      <c r="A11" s="599"/>
      <c r="B11" s="600"/>
      <c r="C11" s="907"/>
      <c r="D11" s="907"/>
      <c r="E11" s="906"/>
      <c r="F11" s="907"/>
      <c r="G11" s="907"/>
      <c r="H11" s="907"/>
      <c r="I11" s="907"/>
      <c r="J11" s="907"/>
      <c r="K11" s="907"/>
      <c r="L11" s="919"/>
      <c r="M11" s="365"/>
      <c r="N11" s="770" t="s">
        <v>493</v>
      </c>
      <c r="O11" s="771"/>
      <c r="P11" s="1018">
        <f>SUM('$_FABB_PARTI_LOTTI_TOTALE'!L7:L8)</f>
        <v>20334</v>
      </c>
      <c r="Q11" s="1018">
        <f>SUM('$_FABB_PARTI_LOTTI'!L10:L11)</f>
        <v>20334</v>
      </c>
      <c r="R11" s="1018">
        <f>'$_DB_CICLI'!Q23+'$_DB_CICLI'!Q47</f>
        <v>20334</v>
      </c>
      <c r="S11" s="1018">
        <f>'$_DB_CICLI'!Q24+'$_DB_CICLI'!Q48</f>
        <v>40668</v>
      </c>
      <c r="T11" s="1018">
        <f>'$_DB_CICLI'!Q25+'$_DB_CICLI'!Q49</f>
        <v>61002</v>
      </c>
      <c r="U11" s="1018">
        <f>'$_DB_CICLI'!Q26+'$_DB_CICLI'!Q50</f>
        <v>20334</v>
      </c>
      <c r="V11" s="1018">
        <f>'$_DB_CICLI'!Q10+'$_DB_CICLI'!Q34</f>
        <v>21393</v>
      </c>
      <c r="W11" s="826">
        <f>'$_DB_CICLI'!Q9+'$_DB_CICLI'!Q33</f>
        <v>20964</v>
      </c>
      <c r="X11" s="1018">
        <f>'$_DB_CICLI'!Q14+'$_DB_CICLI'!Q38</f>
        <v>77008</v>
      </c>
      <c r="Y11" s="826">
        <f>'$_DB_CICLI'!Q13+'$_DB_CICLI'!Q37</f>
        <v>75467</v>
      </c>
      <c r="Z11" s="1018">
        <f>'$_DB_CICLI'!Q18+'$_DB_CICLI'!Q42</f>
        <v>42783</v>
      </c>
      <c r="AA11" s="826">
        <f>'$_DB_CICLI'!Q41+'$_DB_CICLI'!Q17</f>
        <v>41927</v>
      </c>
      <c r="AB11" s="1018">
        <f>'$_DB_CICLI'!Q21+'$_DB_CICLI'!Q45</f>
        <v>41927</v>
      </c>
      <c r="AC11" s="1018">
        <f>'$_DB_CICLI'!Q11+'$_DB_CICLI'!Q15+'$_DB_CICLI'!Q19+'$_DB_CICLI'!Q22+'$_DB_CICLI'!Q35+'$_DB_CICLI'!Q39+'$_DB_CICLI'!Q43+'$_DB_CICLI'!Q46</f>
        <v>29607</v>
      </c>
      <c r="AJ11" s="139"/>
    </row>
    <row r="12" spans="1:36" ht="14.4" customHeight="1" x14ac:dyDescent="0.3">
      <c r="A12" s="599" t="s">
        <v>552</v>
      </c>
      <c r="B12" s="600"/>
      <c r="C12" s="907"/>
      <c r="D12" s="907"/>
      <c r="E12" s="907">
        <f>Q15</f>
        <v>5083.5</v>
      </c>
      <c r="F12" s="906"/>
      <c r="G12" s="907"/>
      <c r="H12" s="907"/>
      <c r="I12" s="907"/>
      <c r="J12" s="907"/>
      <c r="K12" s="907"/>
      <c r="L12" s="918">
        <f>SUM(C12:K13)</f>
        <v>5083.5</v>
      </c>
      <c r="M12" s="365"/>
      <c r="N12" s="774"/>
      <c r="O12" s="778"/>
      <c r="P12" s="1019"/>
      <c r="Q12" s="1019"/>
      <c r="R12" s="1019"/>
      <c r="S12" s="1019"/>
      <c r="T12" s="1019"/>
      <c r="U12" s="1019"/>
      <c r="V12" s="1019"/>
      <c r="W12" s="1017"/>
      <c r="X12" s="1019"/>
      <c r="Y12" s="1017"/>
      <c r="Z12" s="1019"/>
      <c r="AA12" s="1017"/>
      <c r="AB12" s="1019"/>
      <c r="AC12" s="1019"/>
      <c r="AJ12" s="139"/>
    </row>
    <row r="13" spans="1:36" ht="14.4" customHeight="1" x14ac:dyDescent="0.3">
      <c r="A13" s="599"/>
      <c r="B13" s="600"/>
      <c r="C13" s="907"/>
      <c r="D13" s="907"/>
      <c r="E13" s="907"/>
      <c r="F13" s="906"/>
      <c r="G13" s="907"/>
      <c r="H13" s="907"/>
      <c r="I13" s="907"/>
      <c r="J13" s="907"/>
      <c r="K13" s="907"/>
      <c r="L13" s="919"/>
      <c r="M13" s="365"/>
      <c r="N13" s="770" t="s">
        <v>347</v>
      </c>
      <c r="O13" s="771"/>
      <c r="P13" s="828">
        <v>1</v>
      </c>
      <c r="Q13" s="828">
        <v>4</v>
      </c>
      <c r="R13" s="828">
        <v>50</v>
      </c>
      <c r="S13" s="828">
        <v>200</v>
      </c>
      <c r="T13" s="828">
        <v>200</v>
      </c>
      <c r="U13" s="828">
        <f>12</f>
        <v>12</v>
      </c>
      <c r="V13" s="828">
        <v>25</v>
      </c>
      <c r="W13" s="828">
        <v>25</v>
      </c>
      <c r="X13" s="828">
        <v>200</v>
      </c>
      <c r="Y13" s="828">
        <v>200</v>
      </c>
      <c r="Z13" s="828">
        <v>200</v>
      </c>
      <c r="AA13" s="828">
        <v>200</v>
      </c>
      <c r="AB13" s="828">
        <v>200</v>
      </c>
      <c r="AC13" s="828">
        <v>25</v>
      </c>
      <c r="AJ13" s="139"/>
    </row>
    <row r="14" spans="1:36" ht="14.4" customHeight="1" x14ac:dyDescent="0.3">
      <c r="A14" s="599" t="s">
        <v>42</v>
      </c>
      <c r="B14" s="600"/>
      <c r="C14" s="907"/>
      <c r="D14" s="907"/>
      <c r="E14" s="907"/>
      <c r="F14" s="907">
        <f>Q15</f>
        <v>5083.5</v>
      </c>
      <c r="G14" s="906"/>
      <c r="H14" s="907"/>
      <c r="I14" s="907"/>
      <c r="J14" s="907"/>
      <c r="K14" s="907"/>
      <c r="L14" s="918">
        <f>SUM(C14:K15)</f>
        <v>5083.5</v>
      </c>
      <c r="M14" s="365"/>
      <c r="N14" s="774"/>
      <c r="O14" s="778"/>
      <c r="P14" s="827"/>
      <c r="Q14" s="827"/>
      <c r="R14" s="827"/>
      <c r="S14" s="827"/>
      <c r="T14" s="827"/>
      <c r="U14" s="827"/>
      <c r="V14" s="827"/>
      <c r="W14" s="827"/>
      <c r="X14" s="827"/>
      <c r="Y14" s="827"/>
      <c r="Z14" s="827"/>
      <c r="AA14" s="827"/>
      <c r="AB14" s="827"/>
      <c r="AC14" s="827"/>
      <c r="AJ14" s="139"/>
    </row>
    <row r="15" spans="1:36" ht="14.4" customHeight="1" x14ac:dyDescent="0.3">
      <c r="A15" s="599"/>
      <c r="B15" s="600"/>
      <c r="C15" s="907"/>
      <c r="D15" s="907"/>
      <c r="E15" s="907"/>
      <c r="F15" s="907"/>
      <c r="G15" s="906"/>
      <c r="H15" s="907"/>
      <c r="I15" s="907"/>
      <c r="J15" s="907"/>
      <c r="K15" s="907"/>
      <c r="L15" s="919"/>
      <c r="M15" s="365"/>
      <c r="N15" s="920" t="s">
        <v>494</v>
      </c>
      <c r="O15" s="722" t="s">
        <v>495</v>
      </c>
      <c r="P15" s="828">
        <f t="shared" ref="P15:U15" si="0">P11/P13</f>
        <v>20334</v>
      </c>
      <c r="Q15" s="828">
        <f t="shared" si="0"/>
        <v>5083.5</v>
      </c>
      <c r="R15" s="828">
        <f t="shared" si="0"/>
        <v>406.68</v>
      </c>
      <c r="S15" s="828">
        <f t="shared" si="0"/>
        <v>203.34</v>
      </c>
      <c r="T15" s="828">
        <f t="shared" si="0"/>
        <v>305.01</v>
      </c>
      <c r="U15" s="828">
        <f t="shared" si="0"/>
        <v>1694.5</v>
      </c>
      <c r="V15" s="828">
        <f t="shared" ref="V15:AC15" si="1">V11/V13</f>
        <v>855.72</v>
      </c>
      <c r="W15" s="828">
        <f t="shared" si="1"/>
        <v>838.56</v>
      </c>
      <c r="X15" s="828">
        <f t="shared" si="1"/>
        <v>385.04</v>
      </c>
      <c r="Y15" s="828">
        <f t="shared" ref="Y15:AA15" si="2">Y11/Y13</f>
        <v>377.33499999999998</v>
      </c>
      <c r="Z15" s="828">
        <f t="shared" si="2"/>
        <v>213.91499999999999</v>
      </c>
      <c r="AA15" s="828">
        <f t="shared" si="2"/>
        <v>209.63499999999999</v>
      </c>
      <c r="AB15" s="828">
        <f t="shared" si="1"/>
        <v>209.63499999999999</v>
      </c>
      <c r="AC15" s="828">
        <f t="shared" si="1"/>
        <v>1184.28</v>
      </c>
      <c r="AJ15" s="139"/>
    </row>
    <row r="16" spans="1:36" ht="14.4" customHeight="1" x14ac:dyDescent="0.3">
      <c r="A16" s="599" t="s">
        <v>553</v>
      </c>
      <c r="B16" s="600"/>
      <c r="C16" s="907"/>
      <c r="D16" s="907"/>
      <c r="E16" s="907"/>
      <c r="F16" s="907"/>
      <c r="G16" s="907">
        <f>W15+Y15+AA15</f>
        <v>1425.53</v>
      </c>
      <c r="H16" s="906"/>
      <c r="I16" s="907"/>
      <c r="J16" s="907"/>
      <c r="K16" s="907"/>
      <c r="L16" s="918">
        <f>SUM(C16:K17)</f>
        <v>1425.53</v>
      </c>
      <c r="N16" s="921"/>
      <c r="O16" s="923"/>
      <c r="P16" s="827"/>
      <c r="Q16" s="827"/>
      <c r="R16" s="827"/>
      <c r="S16" s="827"/>
      <c r="T16" s="827"/>
      <c r="U16" s="827"/>
      <c r="V16" s="827"/>
      <c r="W16" s="827"/>
      <c r="X16" s="827"/>
      <c r="Y16" s="827"/>
      <c r="Z16" s="827"/>
      <c r="AA16" s="827"/>
      <c r="AB16" s="827"/>
      <c r="AC16" s="827"/>
      <c r="AJ16" s="139"/>
    </row>
    <row r="17" spans="1:36" ht="14.4" customHeight="1" x14ac:dyDescent="0.3">
      <c r="A17" s="599"/>
      <c r="B17" s="600"/>
      <c r="C17" s="907"/>
      <c r="D17" s="907"/>
      <c r="E17" s="907"/>
      <c r="F17" s="907"/>
      <c r="G17" s="907"/>
      <c r="H17" s="906"/>
      <c r="I17" s="907"/>
      <c r="J17" s="907"/>
      <c r="K17" s="907"/>
      <c r="L17" s="919"/>
      <c r="N17" s="921"/>
      <c r="O17" s="924" t="s">
        <v>557</v>
      </c>
      <c r="P17" s="828">
        <f>P15*1</f>
        <v>20334</v>
      </c>
      <c r="Q17" s="828">
        <f>Q15*2</f>
        <v>10167</v>
      </c>
      <c r="R17" s="828">
        <f>R15*1</f>
        <v>406.68</v>
      </c>
      <c r="S17" s="828">
        <f>S15*1</f>
        <v>203.34</v>
      </c>
      <c r="T17" s="828">
        <f>T15*1</f>
        <v>305.01</v>
      </c>
      <c r="U17" s="828">
        <f>U15*1</f>
        <v>1694.5</v>
      </c>
      <c r="V17" s="828">
        <f>V15*2</f>
        <v>1711.44</v>
      </c>
      <c r="W17" s="828">
        <f t="shared" ref="W17:AB17" si="3">W15*2</f>
        <v>1677.12</v>
      </c>
      <c r="X17" s="828">
        <f t="shared" si="3"/>
        <v>770.08</v>
      </c>
      <c r="Y17" s="828">
        <f t="shared" si="3"/>
        <v>754.67</v>
      </c>
      <c r="Z17" s="828">
        <f t="shared" si="3"/>
        <v>427.83</v>
      </c>
      <c r="AA17" s="828">
        <f t="shared" si="3"/>
        <v>419.27</v>
      </c>
      <c r="AB17" s="828">
        <f t="shared" si="3"/>
        <v>419.27</v>
      </c>
      <c r="AC17" s="828">
        <f>AC15*1</f>
        <v>1184.28</v>
      </c>
      <c r="AJ17" s="139"/>
    </row>
    <row r="18" spans="1:36" ht="14.4" customHeight="1" x14ac:dyDescent="0.3">
      <c r="A18" s="599" t="s">
        <v>554</v>
      </c>
      <c r="B18" s="600"/>
      <c r="C18" s="907"/>
      <c r="D18" s="907"/>
      <c r="E18" s="907"/>
      <c r="F18" s="907"/>
      <c r="G18" s="907"/>
      <c r="H18" s="907">
        <f>W15+Y15+AA15</f>
        <v>1425.53</v>
      </c>
      <c r="I18" s="906"/>
      <c r="J18" s="907"/>
      <c r="K18" s="907"/>
      <c r="L18" s="918">
        <f>SUM(C18:K19)</f>
        <v>1425.53</v>
      </c>
      <c r="N18" s="921"/>
      <c r="O18" s="925"/>
      <c r="P18" s="827"/>
      <c r="Q18" s="827"/>
      <c r="R18" s="827"/>
      <c r="S18" s="827"/>
      <c r="T18" s="827"/>
      <c r="U18" s="827"/>
      <c r="V18" s="827"/>
      <c r="W18" s="827"/>
      <c r="X18" s="827"/>
      <c r="Y18" s="827"/>
      <c r="Z18" s="827"/>
      <c r="AA18" s="827"/>
      <c r="AB18" s="827"/>
      <c r="AC18" s="827"/>
      <c r="AJ18" s="139"/>
    </row>
    <row r="19" spans="1:36" ht="29.4" customHeight="1" x14ac:dyDescent="0.3">
      <c r="A19" s="599"/>
      <c r="B19" s="600"/>
      <c r="C19" s="907"/>
      <c r="D19" s="907"/>
      <c r="E19" s="907"/>
      <c r="F19" s="907"/>
      <c r="G19" s="907"/>
      <c r="H19" s="907"/>
      <c r="I19" s="906"/>
      <c r="J19" s="907"/>
      <c r="K19" s="907"/>
      <c r="L19" s="919"/>
      <c r="N19" s="921"/>
      <c r="O19" s="924" t="s">
        <v>496</v>
      </c>
      <c r="P19" s="1011">
        <f>SUM(P17:AC18)</f>
        <v>40474.49</v>
      </c>
      <c r="Q19" s="1012"/>
      <c r="R19" s="1012"/>
      <c r="S19" s="1012"/>
      <c r="T19" s="1012"/>
      <c r="U19" s="1012"/>
      <c r="V19" s="1012"/>
      <c r="W19" s="1012"/>
      <c r="X19" s="1012"/>
      <c r="Y19" s="1012"/>
      <c r="Z19" s="1012"/>
      <c r="AA19" s="1012"/>
      <c r="AB19" s="1012"/>
      <c r="AC19" s="1013"/>
      <c r="AJ19" s="139"/>
    </row>
    <row r="20" spans="1:36" ht="14.4" customHeight="1" x14ac:dyDescent="0.3">
      <c r="A20" s="599" t="s">
        <v>555</v>
      </c>
      <c r="B20" s="600"/>
      <c r="C20" s="907"/>
      <c r="D20" s="907"/>
      <c r="E20" s="907"/>
      <c r="F20" s="907"/>
      <c r="G20" s="907"/>
      <c r="H20" s="907"/>
      <c r="I20" s="907">
        <f>V15+X15+Z15+AB15</f>
        <v>1664.31</v>
      </c>
      <c r="J20" s="1045"/>
      <c r="K20" s="907"/>
      <c r="L20" s="918">
        <f>SUM(C20:K21)</f>
        <v>1664.31</v>
      </c>
      <c r="N20" s="922"/>
      <c r="O20" s="925"/>
      <c r="P20" s="1014"/>
      <c r="Q20" s="1015"/>
      <c r="R20" s="1015"/>
      <c r="S20" s="1015"/>
      <c r="T20" s="1015"/>
      <c r="U20" s="1015"/>
      <c r="V20" s="1015"/>
      <c r="W20" s="1015"/>
      <c r="X20" s="1015"/>
      <c r="Y20" s="1015"/>
      <c r="Z20" s="1015"/>
      <c r="AA20" s="1015"/>
      <c r="AB20" s="1015"/>
      <c r="AC20" s="1016"/>
      <c r="AJ20" s="139"/>
    </row>
    <row r="21" spans="1:36" ht="14.4" customHeight="1" x14ac:dyDescent="0.3">
      <c r="A21" s="599"/>
      <c r="B21" s="600"/>
      <c r="C21" s="907"/>
      <c r="D21" s="907"/>
      <c r="E21" s="907"/>
      <c r="F21" s="907"/>
      <c r="G21" s="907"/>
      <c r="H21" s="907"/>
      <c r="I21" s="907"/>
      <c r="J21" s="1046"/>
      <c r="K21" s="907"/>
      <c r="L21" s="919"/>
      <c r="AJ21" s="139"/>
    </row>
    <row r="22" spans="1:36" ht="14.4" customHeight="1" x14ac:dyDescent="0.3">
      <c r="A22" s="926" t="s">
        <v>46</v>
      </c>
      <c r="B22" s="771"/>
      <c r="C22" s="1043"/>
      <c r="D22" s="1043"/>
      <c r="E22" s="1043"/>
      <c r="F22" s="1043"/>
      <c r="G22" s="1043"/>
      <c r="H22" s="1043"/>
      <c r="I22" s="1043"/>
      <c r="J22" s="1043">
        <f>V15+X15+Z15+AB15</f>
        <v>1664.31</v>
      </c>
      <c r="K22" s="1045"/>
      <c r="L22" s="918">
        <f>SUM(C22:K23)</f>
        <v>1664.31</v>
      </c>
      <c r="AJ22" s="139"/>
    </row>
    <row r="23" spans="1:36" ht="14.4" customHeight="1" x14ac:dyDescent="0.3">
      <c r="A23" s="927"/>
      <c r="B23" s="778"/>
      <c r="C23" s="1044"/>
      <c r="D23" s="1044"/>
      <c r="E23" s="1044"/>
      <c r="F23" s="1044"/>
      <c r="G23" s="1044"/>
      <c r="H23" s="1044"/>
      <c r="I23" s="1044"/>
      <c r="J23" s="1044"/>
      <c r="K23" s="1046"/>
      <c r="L23" s="1018"/>
      <c r="AJ23" s="139"/>
    </row>
    <row r="24" spans="1:36" x14ac:dyDescent="0.3">
      <c r="A24" s="138"/>
      <c r="C24" s="918">
        <f>SUM(C6:C23)</f>
        <v>0</v>
      </c>
      <c r="D24" s="918">
        <f>SUM(D6:D23)</f>
        <v>20334</v>
      </c>
      <c r="E24" s="918">
        <f t="shared" ref="E24:K24" si="4">SUM(E6:E23)</f>
        <v>7693.03</v>
      </c>
      <c r="F24" s="918">
        <f t="shared" si="4"/>
        <v>5083.5</v>
      </c>
      <c r="G24" s="918">
        <f t="shared" si="4"/>
        <v>1425.53</v>
      </c>
      <c r="H24" s="918">
        <f t="shared" si="4"/>
        <v>1425.53</v>
      </c>
      <c r="I24" s="918">
        <f t="shared" si="4"/>
        <v>1664.31</v>
      </c>
      <c r="J24" s="918">
        <f t="shared" si="4"/>
        <v>1664.31</v>
      </c>
      <c r="K24" s="918">
        <f t="shared" si="4"/>
        <v>1184.28</v>
      </c>
      <c r="L24" s="1064">
        <f>SUM(C24:K25)</f>
        <v>40474.489999999991</v>
      </c>
      <c r="M24" s="591" t="s">
        <v>568</v>
      </c>
      <c r="AJ24" s="139"/>
    </row>
    <row r="25" spans="1:36" x14ac:dyDescent="0.3">
      <c r="A25" s="138"/>
      <c r="C25" s="918"/>
      <c r="D25" s="918"/>
      <c r="E25" s="918"/>
      <c r="F25" s="918"/>
      <c r="G25" s="918"/>
      <c r="H25" s="918"/>
      <c r="I25" s="918"/>
      <c r="J25" s="918"/>
      <c r="K25" s="918"/>
      <c r="L25" s="1064"/>
      <c r="M25" s="591"/>
      <c r="AJ25" s="139"/>
    </row>
    <row r="26" spans="1:36" ht="15" thickBot="1" x14ac:dyDescent="0.35">
      <c r="A26" s="145"/>
      <c r="B26" s="141"/>
      <c r="C26" s="141"/>
      <c r="D26" s="141"/>
      <c r="E26" s="141"/>
      <c r="F26" s="141"/>
      <c r="G26" s="141"/>
      <c r="H26" s="141"/>
      <c r="I26" s="141"/>
      <c r="J26" s="141"/>
      <c r="K26" s="141"/>
      <c r="L26" s="141"/>
      <c r="M26" s="141"/>
      <c r="N26" s="141"/>
      <c r="O26" s="141"/>
      <c r="P26" s="141"/>
      <c r="Q26" s="141"/>
      <c r="R26" s="141"/>
      <c r="S26" s="141"/>
      <c r="T26" s="141"/>
      <c r="U26" s="141"/>
      <c r="V26" s="141"/>
      <c r="W26" s="141"/>
      <c r="X26" s="141"/>
      <c r="Y26" s="141"/>
      <c r="Z26" s="141"/>
      <c r="AA26" s="141"/>
      <c r="AB26" s="141"/>
      <c r="AC26" s="141"/>
      <c r="AD26" s="141"/>
      <c r="AE26" s="356"/>
      <c r="AF26" s="141"/>
      <c r="AG26" s="141"/>
      <c r="AH26" s="141"/>
      <c r="AI26" s="141"/>
      <c r="AJ26" s="143"/>
    </row>
    <row r="27" spans="1:36" ht="21" x14ac:dyDescent="0.4">
      <c r="A27" s="1065"/>
      <c r="B27" s="1065"/>
      <c r="C27" s="1065"/>
      <c r="D27" s="1065"/>
      <c r="E27" s="1065"/>
      <c r="F27" s="1065"/>
      <c r="G27" s="1065"/>
      <c r="H27" s="1065"/>
      <c r="I27" s="1065"/>
      <c r="J27" s="1065"/>
      <c r="K27" s="1065"/>
      <c r="L27" s="1065"/>
      <c r="M27" s="1065"/>
      <c r="N27" s="1065"/>
      <c r="O27" s="1065"/>
      <c r="P27" s="1065"/>
      <c r="Q27" s="1065"/>
      <c r="R27" s="1065"/>
      <c r="S27" s="1065"/>
      <c r="T27" s="1065"/>
    </row>
    <row r="28" spans="1:36" ht="49.2" customHeight="1" x14ac:dyDescent="0.3">
      <c r="A28" s="835" t="s">
        <v>569</v>
      </c>
      <c r="B28" s="836"/>
      <c r="C28" s="835" t="s">
        <v>570</v>
      </c>
      <c r="D28" s="836"/>
      <c r="E28" s="835" t="s">
        <v>571</v>
      </c>
      <c r="F28" s="836"/>
      <c r="G28" s="835" t="s">
        <v>572</v>
      </c>
      <c r="H28" s="836"/>
      <c r="I28" s="835" t="s">
        <v>573</v>
      </c>
      <c r="J28" s="1026"/>
      <c r="L28" s="1047" t="s">
        <v>574</v>
      </c>
      <c r="M28" s="1048"/>
      <c r="N28" s="1048"/>
      <c r="O28" s="1048"/>
      <c r="P28" s="1048"/>
      <c r="Q28" s="1049"/>
    </row>
    <row r="29" spans="1:36" ht="1.5" customHeight="1" x14ac:dyDescent="0.3">
      <c r="A29" s="841"/>
      <c r="B29" s="784"/>
      <c r="C29" s="841"/>
      <c r="D29" s="784"/>
      <c r="E29" s="837"/>
      <c r="F29" s="838"/>
      <c r="G29" s="841"/>
      <c r="H29" s="784"/>
      <c r="I29" s="837"/>
      <c r="J29" s="1027"/>
      <c r="L29" s="1050"/>
      <c r="M29" s="1051"/>
      <c r="N29" s="1051"/>
      <c r="O29" s="1051"/>
      <c r="P29" s="1051"/>
      <c r="Q29" s="1052"/>
    </row>
    <row r="30" spans="1:36" x14ac:dyDescent="0.3">
      <c r="A30" s="841"/>
      <c r="B30" s="784"/>
      <c r="C30" s="1020">
        <f>SUM('$_MAG_BUFFER'!O6:O8)</f>
        <v>1185</v>
      </c>
      <c r="D30" s="1021"/>
      <c r="E30" s="1024">
        <f>SUM('$_MAG_BUFFER'!O13:O14)</f>
        <v>510</v>
      </c>
      <c r="F30" s="1025"/>
      <c r="G30" s="1020">
        <f>SUM('$_MAG_BUFFER'!O11:O12)</f>
        <v>407</v>
      </c>
      <c r="H30" s="1021"/>
      <c r="I30" s="1024">
        <f>SUM('$_MAG_BUFFER'!O9:O10)</f>
        <v>1696</v>
      </c>
      <c r="J30" s="1041"/>
      <c r="L30" s="1050"/>
      <c r="M30" s="1051"/>
      <c r="N30" s="1051"/>
      <c r="O30" s="1051"/>
      <c r="P30" s="1051"/>
      <c r="Q30" s="1052"/>
    </row>
    <row r="31" spans="1:36" ht="6" customHeight="1" x14ac:dyDescent="0.3">
      <c r="A31" s="837"/>
      <c r="B31" s="838"/>
      <c r="C31" s="1022"/>
      <c r="D31" s="1023"/>
      <c r="E31" s="1022"/>
      <c r="F31" s="1023"/>
      <c r="G31" s="1022"/>
      <c r="H31" s="1023"/>
      <c r="I31" s="1022"/>
      <c r="J31" s="1042"/>
      <c r="L31" s="1053"/>
      <c r="M31" s="1054"/>
      <c r="N31" s="1054"/>
      <c r="O31" s="1054"/>
      <c r="P31" s="1054"/>
      <c r="Q31" s="1055"/>
    </row>
    <row r="34" spans="1:20" ht="36.6" customHeight="1" x14ac:dyDescent="0.3">
      <c r="A34" s="835" t="s">
        <v>575</v>
      </c>
      <c r="B34" s="1026"/>
      <c r="C34" s="836" t="s">
        <v>576</v>
      </c>
      <c r="D34" s="1026"/>
      <c r="E34" s="836" t="s">
        <v>577</v>
      </c>
      <c r="F34" s="1026"/>
      <c r="G34" s="1035" t="s">
        <v>578</v>
      </c>
      <c r="H34" s="1035"/>
      <c r="I34" s="1035"/>
      <c r="J34" s="1036"/>
      <c r="L34" s="1056" t="s">
        <v>579</v>
      </c>
      <c r="M34" s="1057"/>
      <c r="N34" s="1057"/>
      <c r="O34" s="1057"/>
      <c r="P34" s="1057"/>
      <c r="Q34" s="1058"/>
    </row>
    <row r="35" spans="1:20" x14ac:dyDescent="0.3">
      <c r="A35" s="841"/>
      <c r="B35" s="1032"/>
      <c r="C35" s="838"/>
      <c r="D35" s="1027"/>
      <c r="E35" s="784"/>
      <c r="F35" s="1032"/>
      <c r="G35" s="1037"/>
      <c r="H35" s="1037"/>
      <c r="I35" s="1037"/>
      <c r="J35" s="1038"/>
      <c r="L35" s="1059"/>
      <c r="M35" s="1037"/>
      <c r="N35" s="1037"/>
      <c r="O35" s="1037"/>
      <c r="P35" s="1037"/>
      <c r="Q35" s="1060"/>
    </row>
    <row r="36" spans="1:20" x14ac:dyDescent="0.3">
      <c r="A36" s="841"/>
      <c r="B36" s="1032"/>
      <c r="C36" s="1028">
        <f>'$_MAG_BUFFER'!O16</f>
        <v>14234</v>
      </c>
      <c r="D36" s="1029"/>
      <c r="E36" s="1033">
        <f>'$_MAG_BUFFER'!O17</f>
        <v>6100</v>
      </c>
      <c r="F36" s="1034"/>
      <c r="G36" s="1037"/>
      <c r="H36" s="1037"/>
      <c r="I36" s="1037"/>
      <c r="J36" s="1038"/>
      <c r="L36" s="1059"/>
      <c r="M36" s="1037"/>
      <c r="N36" s="1037"/>
      <c r="O36" s="1037"/>
      <c r="P36" s="1037"/>
      <c r="Q36" s="1060"/>
    </row>
    <row r="37" spans="1:20" ht="24.6" customHeight="1" x14ac:dyDescent="0.3">
      <c r="A37" s="837"/>
      <c r="B37" s="1027"/>
      <c r="C37" s="1030"/>
      <c r="D37" s="1031"/>
      <c r="E37" s="1030"/>
      <c r="F37" s="1031"/>
      <c r="G37" s="1039"/>
      <c r="H37" s="1039"/>
      <c r="I37" s="1039"/>
      <c r="J37" s="1040"/>
      <c r="L37" s="1061"/>
      <c r="M37" s="1062"/>
      <c r="N37" s="1062"/>
      <c r="O37" s="1062"/>
      <c r="P37" s="1062"/>
      <c r="Q37" s="1063"/>
    </row>
    <row r="38" spans="1:20" x14ac:dyDescent="0.3">
      <c r="A38" s="1037"/>
      <c r="B38" s="1037"/>
      <c r="C38" s="1037"/>
      <c r="D38" s="1037"/>
    </row>
    <row r="39" spans="1:20" x14ac:dyDescent="0.3">
      <c r="A39" s="1037"/>
      <c r="B39" s="1037"/>
      <c r="C39" s="1037"/>
      <c r="D39" s="1037"/>
    </row>
    <row r="44" spans="1:20" ht="21" x14ac:dyDescent="0.4">
      <c r="A44" s="528"/>
      <c r="B44" s="528"/>
      <c r="C44" s="528"/>
      <c r="D44" s="528"/>
      <c r="E44" s="528"/>
      <c r="F44" s="528"/>
      <c r="G44" s="528"/>
      <c r="H44" s="528"/>
      <c r="I44" s="528"/>
      <c r="J44" s="528"/>
      <c r="K44" s="528"/>
      <c r="L44" s="528"/>
      <c r="M44" s="528"/>
      <c r="N44" s="528"/>
      <c r="O44" s="528"/>
      <c r="P44" s="528"/>
      <c r="Q44" s="528"/>
      <c r="R44" s="528"/>
      <c r="S44" s="528"/>
      <c r="T44" s="528"/>
    </row>
    <row r="46" spans="1:20" ht="18" x14ac:dyDescent="0.35">
      <c r="I46" s="480"/>
      <c r="J46" s="480"/>
      <c r="K46" s="480"/>
      <c r="L46" s="480"/>
      <c r="M46" s="480"/>
      <c r="N46" s="480"/>
    </row>
    <row r="47" spans="1:20" ht="46.95" customHeight="1" x14ac:dyDescent="0.3">
      <c r="I47" s="470"/>
      <c r="J47" s="5"/>
      <c r="K47" s="556"/>
      <c r="M47" s="556"/>
    </row>
    <row r="48" spans="1:20" ht="60" customHeight="1" x14ac:dyDescent="0.3">
      <c r="I48" s="470"/>
      <c r="J48" s="452"/>
      <c r="K48" s="556"/>
      <c r="M48" s="556"/>
      <c r="P48" s="301"/>
      <c r="Q48" s="301"/>
      <c r="R48" s="301"/>
      <c r="S48" s="301"/>
    </row>
    <row r="49" spans="1:17" x14ac:dyDescent="0.3">
      <c r="A49" s="557"/>
      <c r="B49" s="557"/>
      <c r="C49" s="557"/>
      <c r="D49" s="557"/>
      <c r="E49" s="557"/>
    </row>
    <row r="50" spans="1:17" x14ac:dyDescent="0.3">
      <c r="A50" s="558"/>
      <c r="B50" s="558"/>
      <c r="C50" s="558"/>
      <c r="D50" s="558"/>
      <c r="E50" s="69"/>
      <c r="F50" s="69"/>
      <c r="G50" s="69"/>
      <c r="H50" s="69"/>
      <c r="I50" s="69"/>
      <c r="J50" s="82"/>
      <c r="K50" s="82"/>
      <c r="L50" s="82"/>
      <c r="M50" s="82"/>
      <c r="N50" s="82"/>
      <c r="O50" s="82"/>
      <c r="P50" s="82"/>
    </row>
    <row r="51" spans="1:17" x14ac:dyDescent="0.3">
      <c r="A51" s="530"/>
      <c r="B51" s="530"/>
      <c r="C51" s="530"/>
      <c r="D51" s="530"/>
      <c r="E51" s="72"/>
      <c r="F51" s="65"/>
      <c r="G51" s="531"/>
      <c r="I51" s="5"/>
      <c r="J51" s="529"/>
      <c r="N51" s="5"/>
      <c r="P51" s="131"/>
    </row>
    <row r="52" spans="1:17" x14ac:dyDescent="0.3">
      <c r="E52" s="72"/>
      <c r="F52" s="65"/>
      <c r="G52" s="5"/>
      <c r="I52" s="5"/>
      <c r="J52" s="529"/>
      <c r="N52" s="5"/>
      <c r="P52" s="131"/>
    </row>
    <row r="53" spans="1:17" x14ac:dyDescent="0.3">
      <c r="A53" s="532"/>
      <c r="B53" s="532"/>
      <c r="C53" s="532"/>
      <c r="D53" s="532"/>
      <c r="F53" s="65"/>
      <c r="G53" s="65"/>
      <c r="I53" s="5"/>
      <c r="P53" s="131"/>
    </row>
    <row r="54" spans="1:17" x14ac:dyDescent="0.3">
      <c r="A54" s="390"/>
      <c r="B54" s="390"/>
      <c r="C54" s="390"/>
      <c r="D54" s="390"/>
      <c r="E54" s="72"/>
      <c r="F54" s="65"/>
      <c r="G54" s="531"/>
      <c r="I54" s="5"/>
      <c r="J54" s="529"/>
      <c r="N54" s="5"/>
      <c r="P54" s="131"/>
    </row>
    <row r="55" spans="1:17" x14ac:dyDescent="0.3">
      <c r="E55" s="72"/>
      <c r="F55" s="65"/>
      <c r="G55" s="5"/>
      <c r="I55" s="5"/>
      <c r="J55" s="529"/>
      <c r="N55" s="5"/>
      <c r="P55" s="131"/>
      <c r="Q55" s="389"/>
    </row>
    <row r="56" spans="1:17" x14ac:dyDescent="0.3">
      <c r="G56" s="65"/>
      <c r="H56" s="65"/>
      <c r="N56" s="82"/>
      <c r="O56" s="82"/>
    </row>
    <row r="57" spans="1:17" x14ac:dyDescent="0.3">
      <c r="A57" s="533"/>
      <c r="B57" s="533"/>
      <c r="C57" s="533"/>
      <c r="D57" s="533"/>
      <c r="E57" s="533"/>
    </row>
    <row r="58" spans="1:17" x14ac:dyDescent="0.3">
      <c r="A58" s="474"/>
      <c r="B58" s="474"/>
      <c r="C58" s="474"/>
      <c r="D58" s="474"/>
      <c r="E58" s="474"/>
      <c r="F58" s="69"/>
      <c r="G58" s="69"/>
      <c r="M58" s="65"/>
    </row>
    <row r="59" spans="1:17" x14ac:dyDescent="0.3">
      <c r="A59" s="530"/>
      <c r="B59" s="530"/>
      <c r="C59" s="530"/>
      <c r="D59" s="530"/>
      <c r="E59" s="559"/>
      <c r="F59" s="131"/>
      <c r="G59" s="531"/>
    </row>
    <row r="60" spans="1:17" x14ac:dyDescent="0.3">
      <c r="E60" s="131"/>
      <c r="F60" s="131"/>
      <c r="G60" s="531"/>
    </row>
    <row r="61" spans="1:17" x14ac:dyDescent="0.3">
      <c r="A61" s="474"/>
      <c r="B61" s="474"/>
      <c r="C61" s="474"/>
      <c r="D61" s="474"/>
      <c r="E61" s="65"/>
      <c r="F61" s="65"/>
      <c r="G61" s="531"/>
    </row>
    <row r="62" spans="1:17" x14ac:dyDescent="0.3">
      <c r="A62" s="390"/>
      <c r="B62" s="390"/>
      <c r="C62" s="390"/>
      <c r="D62" s="390"/>
      <c r="E62" s="560"/>
      <c r="F62" s="65"/>
      <c r="G62" s="531"/>
    </row>
    <row r="63" spans="1:17" x14ac:dyDescent="0.3">
      <c r="E63" s="131"/>
      <c r="F63" s="65"/>
      <c r="G63" s="531"/>
    </row>
  </sheetData>
  <mergeCells count="206">
    <mergeCell ref="L34:Q37"/>
    <mergeCell ref="A38:D39"/>
    <mergeCell ref="A34:B37"/>
    <mergeCell ref="A6:B7"/>
    <mergeCell ref="A8:B9"/>
    <mergeCell ref="K22:K23"/>
    <mergeCell ref="L24:L25"/>
    <mergeCell ref="A27:T27"/>
    <mergeCell ref="K24:K25"/>
    <mergeCell ref="M24:M25"/>
    <mergeCell ref="I22:I23"/>
    <mergeCell ref="G22:G23"/>
    <mergeCell ref="E22:E23"/>
    <mergeCell ref="D22:D23"/>
    <mergeCell ref="C22:C23"/>
    <mergeCell ref="A22:B23"/>
    <mergeCell ref="E24:E25"/>
    <mergeCell ref="F24:F25"/>
    <mergeCell ref="G24:G25"/>
    <mergeCell ref="H24:H25"/>
    <mergeCell ref="I24:I25"/>
    <mergeCell ref="J24:J25"/>
    <mergeCell ref="C8:C9"/>
    <mergeCell ref="E14:E15"/>
    <mergeCell ref="D8:D9"/>
    <mergeCell ref="E8:E9"/>
    <mergeCell ref="G8:G9"/>
    <mergeCell ref="I8:I9"/>
    <mergeCell ref="G12:G13"/>
    <mergeCell ref="G16:G17"/>
    <mergeCell ref="K4:K5"/>
    <mergeCell ref="L28:Q31"/>
    <mergeCell ref="E4:E5"/>
    <mergeCell ref="G4:G5"/>
    <mergeCell ref="I4:I5"/>
    <mergeCell ref="C28:D29"/>
    <mergeCell ref="E28:F29"/>
    <mergeCell ref="G28:H29"/>
    <mergeCell ref="D6:D7"/>
    <mergeCell ref="E6:E7"/>
    <mergeCell ref="G6:G7"/>
    <mergeCell ref="C24:C25"/>
    <mergeCell ref="D24:D25"/>
    <mergeCell ref="F14:F15"/>
    <mergeCell ref="F16:F17"/>
    <mergeCell ref="C14:C15"/>
    <mergeCell ref="D14:D15"/>
    <mergeCell ref="N4:O4"/>
    <mergeCell ref="C4:C5"/>
    <mergeCell ref="D4:D5"/>
    <mergeCell ref="C10:C11"/>
    <mergeCell ref="D10:D11"/>
    <mergeCell ref="C2:K3"/>
    <mergeCell ref="A4:B5"/>
    <mergeCell ref="A10:B11"/>
    <mergeCell ref="A12:B13"/>
    <mergeCell ref="A14:B15"/>
    <mergeCell ref="E10:E11"/>
    <mergeCell ref="K6:K7"/>
    <mergeCell ref="F4:F5"/>
    <mergeCell ref="F6:F7"/>
    <mergeCell ref="H4:H5"/>
    <mergeCell ref="H6:H7"/>
    <mergeCell ref="J4:J5"/>
    <mergeCell ref="J6:J7"/>
    <mergeCell ref="C12:C13"/>
    <mergeCell ref="D12:D13"/>
    <mergeCell ref="E12:E13"/>
    <mergeCell ref="I10:I11"/>
    <mergeCell ref="J10:J11"/>
    <mergeCell ref="K10:K11"/>
    <mergeCell ref="C6:C7"/>
    <mergeCell ref="A16:B17"/>
    <mergeCell ref="A18:B19"/>
    <mergeCell ref="A20:B21"/>
    <mergeCell ref="E16:E17"/>
    <mergeCell ref="I16:I17"/>
    <mergeCell ref="F20:F21"/>
    <mergeCell ref="F22:F23"/>
    <mergeCell ref="F18:F19"/>
    <mergeCell ref="E18:E19"/>
    <mergeCell ref="D18:D19"/>
    <mergeCell ref="C18:C19"/>
    <mergeCell ref="C20:C21"/>
    <mergeCell ref="D20:D21"/>
    <mergeCell ref="E20:E21"/>
    <mergeCell ref="G20:G21"/>
    <mergeCell ref="I20:I21"/>
    <mergeCell ref="C16:C17"/>
    <mergeCell ref="D16:D17"/>
    <mergeCell ref="G34:J37"/>
    <mergeCell ref="G14:G15"/>
    <mergeCell ref="J16:J17"/>
    <mergeCell ref="J18:J19"/>
    <mergeCell ref="I18:I19"/>
    <mergeCell ref="G18:G19"/>
    <mergeCell ref="H18:H19"/>
    <mergeCell ref="G30:H31"/>
    <mergeCell ref="I30:J31"/>
    <mergeCell ref="H20:H21"/>
    <mergeCell ref="H22:H23"/>
    <mergeCell ref="J22:J23"/>
    <mergeCell ref="J20:J21"/>
    <mergeCell ref="I28:J29"/>
    <mergeCell ref="N5:O10"/>
    <mergeCell ref="N15:N20"/>
    <mergeCell ref="O15:O16"/>
    <mergeCell ref="P15:P16"/>
    <mergeCell ref="Q15:Q16"/>
    <mergeCell ref="R15:R16"/>
    <mergeCell ref="S15:S16"/>
    <mergeCell ref="T13:T14"/>
    <mergeCell ref="O19:O20"/>
    <mergeCell ref="N11:O12"/>
    <mergeCell ref="N13:O14"/>
    <mergeCell ref="P11:P12"/>
    <mergeCell ref="P13:P14"/>
    <mergeCell ref="Q11:Q12"/>
    <mergeCell ref="R11:R12"/>
    <mergeCell ref="S11:S12"/>
    <mergeCell ref="T11:T12"/>
    <mergeCell ref="P17:P18"/>
    <mergeCell ref="Q17:Q18"/>
    <mergeCell ref="R17:R18"/>
    <mergeCell ref="S17:S18"/>
    <mergeCell ref="T17:T18"/>
    <mergeCell ref="R13:R14"/>
    <mergeCell ref="AA11:AA12"/>
    <mergeCell ref="Y15:Y16"/>
    <mergeCell ref="Y17:Y18"/>
    <mergeCell ref="AA15:AA16"/>
    <mergeCell ref="AA17:AA18"/>
    <mergeCell ref="Z15:Z16"/>
    <mergeCell ref="Z11:Z12"/>
    <mergeCell ref="AB11:AB12"/>
    <mergeCell ref="Z13:Z14"/>
    <mergeCell ref="L22:L23"/>
    <mergeCell ref="A28:B31"/>
    <mergeCell ref="C30:D31"/>
    <mergeCell ref="E30:F31"/>
    <mergeCell ref="C34:D35"/>
    <mergeCell ref="C36:D37"/>
    <mergeCell ref="E34:F35"/>
    <mergeCell ref="E36:F37"/>
    <mergeCell ref="AB13:AB14"/>
    <mergeCell ref="AB15:AB16"/>
    <mergeCell ref="X17:X18"/>
    <mergeCell ref="Z17:Z18"/>
    <mergeCell ref="AB17:AB18"/>
    <mergeCell ref="X15:X16"/>
    <mergeCell ref="Y13:Y14"/>
    <mergeCell ref="AA13:AA14"/>
    <mergeCell ref="O17:O18"/>
    <mergeCell ref="H12:H13"/>
    <mergeCell ref="I12:I13"/>
    <mergeCell ref="J12:J13"/>
    <mergeCell ref="K12:K13"/>
    <mergeCell ref="H14:H15"/>
    <mergeCell ref="I14:I15"/>
    <mergeCell ref="J14:J15"/>
    <mergeCell ref="L6:L7"/>
    <mergeCell ref="L8:L9"/>
    <mergeCell ref="L10:L11"/>
    <mergeCell ref="L12:L13"/>
    <mergeCell ref="L14:L15"/>
    <mergeCell ref="L16:L17"/>
    <mergeCell ref="L18:L19"/>
    <mergeCell ref="L20:L21"/>
    <mergeCell ref="F12:F13"/>
    <mergeCell ref="K8:K9"/>
    <mergeCell ref="F8:F9"/>
    <mergeCell ref="H8:H9"/>
    <mergeCell ref="J8:J9"/>
    <mergeCell ref="G10:G11"/>
    <mergeCell ref="F10:F11"/>
    <mergeCell ref="H10:H11"/>
    <mergeCell ref="K14:K15"/>
    <mergeCell ref="H16:H17"/>
    <mergeCell ref="I6:I7"/>
    <mergeCell ref="K20:K21"/>
    <mergeCell ref="K18:K19"/>
    <mergeCell ref="K16:K17"/>
    <mergeCell ref="S2:Z2"/>
    <mergeCell ref="U17:U18"/>
    <mergeCell ref="V15:V16"/>
    <mergeCell ref="W15:W16"/>
    <mergeCell ref="V17:V18"/>
    <mergeCell ref="T15:T16"/>
    <mergeCell ref="U15:U16"/>
    <mergeCell ref="P19:AC20"/>
    <mergeCell ref="W11:W12"/>
    <mergeCell ref="W13:W14"/>
    <mergeCell ref="W17:W18"/>
    <mergeCell ref="AC11:AC12"/>
    <mergeCell ref="AC15:AC16"/>
    <mergeCell ref="AC17:AC18"/>
    <mergeCell ref="AC13:AC14"/>
    <mergeCell ref="Q13:Q14"/>
    <mergeCell ref="X11:X12"/>
    <mergeCell ref="S13:S14"/>
    <mergeCell ref="U13:U14"/>
    <mergeCell ref="V13:V14"/>
    <mergeCell ref="X13:X14"/>
    <mergeCell ref="U11:U12"/>
    <mergeCell ref="V11:V12"/>
    <mergeCell ref="Y11:Y12"/>
  </mergeCell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9CD1A-BBE6-48BB-985E-43E22C85ECEB}">
  <sheetPr>
    <tabColor theme="9"/>
  </sheetPr>
  <dimension ref="A1:V43"/>
  <sheetViews>
    <sheetView topLeftCell="E3" zoomScale="86" zoomScaleNormal="175" workbookViewId="0">
      <selection activeCell="H27" sqref="H27"/>
    </sheetView>
  </sheetViews>
  <sheetFormatPr defaultRowHeight="14.4" x14ac:dyDescent="0.3"/>
  <cols>
    <col min="5" max="5" width="11.33203125" customWidth="1"/>
    <col min="6" max="6" width="14.44140625" customWidth="1"/>
    <col min="10" max="10" width="10.33203125" customWidth="1"/>
    <col min="11" max="11" width="11.33203125" customWidth="1"/>
    <col min="14" max="14" width="8.88671875" bestFit="1" customWidth="1"/>
    <col min="15" max="15" width="10.33203125" customWidth="1"/>
    <col min="16" max="16" width="14.109375" customWidth="1"/>
    <col min="17" max="17" width="10.44140625" customWidth="1"/>
    <col min="20" max="20" width="6.33203125" customWidth="1"/>
    <col min="21" max="21" width="19.88671875" customWidth="1"/>
    <col min="22" max="22" width="9.88671875" customWidth="1"/>
  </cols>
  <sheetData>
    <row r="1" spans="1:22" ht="15" thickBot="1" x14ac:dyDescent="0.35">
      <c r="C1" s="1075" t="s">
        <v>516</v>
      </c>
      <c r="D1" s="1076"/>
      <c r="E1" s="1076"/>
      <c r="F1" s="1077"/>
      <c r="G1" s="82"/>
      <c r="H1" s="1082" t="s">
        <v>517</v>
      </c>
      <c r="I1" s="1083"/>
      <c r="J1" s="1083"/>
      <c r="K1" s="1083"/>
      <c r="L1" s="1083"/>
      <c r="M1" s="1083"/>
      <c r="N1" s="1083"/>
      <c r="O1" s="1083"/>
      <c r="P1" s="1083"/>
      <c r="Q1" s="1084"/>
    </row>
    <row r="2" spans="1:22" ht="14.4" customHeight="1" x14ac:dyDescent="0.3">
      <c r="C2" s="500" t="s">
        <v>437</v>
      </c>
      <c r="D2" s="55">
        <v>13.6</v>
      </c>
      <c r="E2" s="55" t="s">
        <v>518</v>
      </c>
      <c r="F2" s="492">
        <f>D2*D3</f>
        <v>32.64</v>
      </c>
      <c r="H2" s="1080" t="s">
        <v>519</v>
      </c>
      <c r="I2" s="1081"/>
      <c r="J2" s="1081"/>
      <c r="K2" s="1081"/>
      <c r="L2" s="461">
        <f>SUM(N10,N13,N16,N19,N22)</f>
        <v>4366</v>
      </c>
      <c r="M2" s="1069" t="s">
        <v>520</v>
      </c>
      <c r="N2" s="1069"/>
      <c r="O2" s="1069"/>
      <c r="P2" s="1069"/>
      <c r="Q2" s="498">
        <f>45/60/15</f>
        <v>0.05</v>
      </c>
      <c r="T2" s="1096" t="s">
        <v>678</v>
      </c>
      <c r="U2" s="1097"/>
      <c r="V2" s="1098"/>
    </row>
    <row r="3" spans="1:22" ht="14.4" customHeight="1" x14ac:dyDescent="0.3">
      <c r="C3" s="27" t="s">
        <v>521</v>
      </c>
      <c r="D3" s="11">
        <v>2.4</v>
      </c>
      <c r="E3" s="11" t="s">
        <v>522</v>
      </c>
      <c r="F3" s="214">
        <f>D2*D3*D4</f>
        <v>88.128000000000014</v>
      </c>
      <c r="H3" s="1085" t="s">
        <v>523</v>
      </c>
      <c r="I3" s="1086"/>
      <c r="J3" s="1086"/>
      <c r="K3" s="1087"/>
      <c r="L3" s="12">
        <f>SUM(P7:P22)</f>
        <v>101</v>
      </c>
      <c r="M3" s="1074" t="s">
        <v>524</v>
      </c>
      <c r="N3" s="1074"/>
      <c r="O3" s="1074"/>
      <c r="P3" s="1074"/>
      <c r="Q3" s="85">
        <f>15/60/15</f>
        <v>1.6666666666666666E-2</v>
      </c>
      <c r="T3" s="1099"/>
      <c r="U3" s="1051"/>
      <c r="V3" s="1100"/>
    </row>
    <row r="4" spans="1:22" ht="15" thickBot="1" x14ac:dyDescent="0.35">
      <c r="C4" s="28" t="s">
        <v>438</v>
      </c>
      <c r="D4" s="501">
        <v>2.7</v>
      </c>
      <c r="E4" s="1078"/>
      <c r="F4" s="1079"/>
      <c r="G4" s="497"/>
      <c r="H4" s="1072" t="s">
        <v>526</v>
      </c>
      <c r="I4" s="1073"/>
      <c r="J4" s="1073"/>
      <c r="K4" s="1073"/>
      <c r="L4" s="499">
        <f>AB38</f>
        <v>0</v>
      </c>
      <c r="M4" s="141"/>
      <c r="N4" s="141"/>
      <c r="O4" s="141"/>
      <c r="P4" s="141"/>
      <c r="Q4" s="143"/>
      <c r="T4" s="1101"/>
      <c r="U4" s="691"/>
      <c r="V4" s="692"/>
    </row>
    <row r="5" spans="1:22" ht="28.95" customHeight="1" x14ac:dyDescent="0.3">
      <c r="A5" s="690"/>
      <c r="B5" s="1071"/>
      <c r="C5" s="928" t="s">
        <v>527</v>
      </c>
      <c r="D5" s="928"/>
      <c r="E5" s="928"/>
      <c r="F5" s="928"/>
      <c r="G5" s="600"/>
      <c r="H5" s="928" t="s">
        <v>528</v>
      </c>
      <c r="I5" s="774"/>
      <c r="J5" s="922" t="s">
        <v>529</v>
      </c>
      <c r="K5" s="922" t="s">
        <v>530</v>
      </c>
      <c r="L5" s="922" t="s">
        <v>531</v>
      </c>
      <c r="M5" s="928" t="s">
        <v>532</v>
      </c>
      <c r="N5" s="774" t="s">
        <v>533</v>
      </c>
      <c r="O5" s="928" t="s">
        <v>534</v>
      </c>
      <c r="P5" s="928" t="s">
        <v>535</v>
      </c>
      <c r="Q5" s="1088" t="s">
        <v>536</v>
      </c>
      <c r="R5" s="600" t="s">
        <v>537</v>
      </c>
    </row>
    <row r="6" spans="1:22" x14ac:dyDescent="0.3">
      <c r="A6" s="690"/>
      <c r="B6" s="1071"/>
      <c r="C6" s="600"/>
      <c r="D6" s="600"/>
      <c r="E6" s="600"/>
      <c r="F6" s="600"/>
      <c r="G6" s="600"/>
      <c r="H6" s="600"/>
      <c r="I6" s="683"/>
      <c r="J6" s="590"/>
      <c r="K6" s="590"/>
      <c r="L6" s="590"/>
      <c r="M6" s="600"/>
      <c r="N6" s="683"/>
      <c r="O6" s="600"/>
      <c r="P6" s="600"/>
      <c r="Q6" s="928"/>
      <c r="R6" s="600"/>
      <c r="T6" s="7">
        <v>1</v>
      </c>
      <c r="U6" s="11" t="s">
        <v>480</v>
      </c>
      <c r="V6" s="11" t="s">
        <v>481</v>
      </c>
    </row>
    <row r="7" spans="1:22" x14ac:dyDescent="0.3">
      <c r="A7" s="589" t="s">
        <v>538</v>
      </c>
      <c r="B7" s="1066"/>
      <c r="C7" s="592" t="s">
        <v>59</v>
      </c>
      <c r="D7" s="592"/>
      <c r="E7" s="592"/>
      <c r="F7" s="592"/>
      <c r="G7" s="592"/>
      <c r="H7" s="593" t="s">
        <v>60</v>
      </c>
      <c r="I7" s="595"/>
      <c r="J7" s="7">
        <v>1500</v>
      </c>
      <c r="K7" s="7">
        <v>2000</v>
      </c>
      <c r="L7" s="7">
        <v>300</v>
      </c>
      <c r="M7" s="7">
        <v>2</v>
      </c>
      <c r="N7" s="12">
        <f>'$_MAG_BUFFER_TOTALE'!S6</f>
        <v>232</v>
      </c>
      <c r="O7" s="473">
        <f>1.5*2</f>
        <v>3</v>
      </c>
      <c r="P7" s="988">
        <f>ROUNDDOWN(($D$2/J10),0)*ROUNDDOWN($D$3/K10,0)</f>
        <v>9</v>
      </c>
      <c r="Q7" s="1089">
        <f>P7*M10</f>
        <v>18</v>
      </c>
      <c r="R7" s="988">
        <f>N10/Q7</f>
        <v>67.888888888888886</v>
      </c>
      <c r="T7" s="7">
        <v>2</v>
      </c>
      <c r="U7" s="11" t="s">
        <v>525</v>
      </c>
      <c r="V7" s="11"/>
    </row>
    <row r="8" spans="1:22" x14ac:dyDescent="0.3">
      <c r="A8" s="589"/>
      <c r="B8" s="1066"/>
      <c r="C8" s="592" t="s">
        <v>62</v>
      </c>
      <c r="D8" s="592"/>
      <c r="E8" s="592"/>
      <c r="F8" s="592"/>
      <c r="G8" s="592"/>
      <c r="H8" s="593" t="s">
        <v>63</v>
      </c>
      <c r="I8" s="595"/>
      <c r="J8" s="7">
        <v>1000</v>
      </c>
      <c r="K8" s="7">
        <v>1500</v>
      </c>
      <c r="L8" s="7">
        <v>300</v>
      </c>
      <c r="M8" s="7">
        <v>2</v>
      </c>
      <c r="N8" s="12">
        <f>'$_MAG_BUFFER_TOTALE'!S7</f>
        <v>162</v>
      </c>
      <c r="O8" s="12">
        <f>1*1.5</f>
        <v>1.5</v>
      </c>
      <c r="P8" s="988"/>
      <c r="Q8" s="1089"/>
      <c r="R8" s="988"/>
      <c r="T8" s="7">
        <v>3</v>
      </c>
      <c r="U8" s="11" t="s">
        <v>390</v>
      </c>
      <c r="V8" s="11"/>
    </row>
    <row r="9" spans="1:22" x14ac:dyDescent="0.3">
      <c r="A9" s="589"/>
      <c r="B9" s="1066"/>
      <c r="C9" s="592" t="s">
        <v>66</v>
      </c>
      <c r="D9" s="592"/>
      <c r="E9" s="592"/>
      <c r="F9" s="592"/>
      <c r="G9" s="592"/>
      <c r="H9" s="593" t="s">
        <v>67</v>
      </c>
      <c r="I9" s="595"/>
      <c r="J9" s="7">
        <v>1000</v>
      </c>
      <c r="K9" s="7">
        <v>2000</v>
      </c>
      <c r="L9" s="7">
        <v>300</v>
      </c>
      <c r="M9" s="7">
        <v>2</v>
      </c>
      <c r="N9" s="12">
        <f>'$_MAG_BUFFER_TOTALE'!S8</f>
        <v>828</v>
      </c>
      <c r="O9" s="12">
        <f>1*2</f>
        <v>2</v>
      </c>
      <c r="P9" s="988"/>
      <c r="Q9" s="1089"/>
      <c r="R9" s="988"/>
      <c r="T9" s="7">
        <v>4</v>
      </c>
      <c r="U9" s="11"/>
      <c r="V9" s="11" t="s">
        <v>481</v>
      </c>
    </row>
    <row r="10" spans="1:22" x14ac:dyDescent="0.3">
      <c r="A10" s="589"/>
      <c r="B10" s="1066"/>
      <c r="C10" s="595"/>
      <c r="D10" s="596"/>
      <c r="E10" s="596"/>
      <c r="F10" s="596"/>
      <c r="G10" s="596"/>
      <c r="H10" s="596"/>
      <c r="I10" s="597"/>
      <c r="J10" s="89">
        <f>MAX(J6:J9)/1000</f>
        <v>1.5</v>
      </c>
      <c r="K10" s="89">
        <f>MAX(K6:K9)/1000</f>
        <v>2</v>
      </c>
      <c r="L10" s="89">
        <f>MAX(L6:L9)/1000</f>
        <v>0.3</v>
      </c>
      <c r="M10" s="496">
        <v>2</v>
      </c>
      <c r="N10" s="496">
        <f>SUM(N7:N9)</f>
        <v>1222</v>
      </c>
      <c r="O10" s="495">
        <f>((O7*N7)+(O8*N8)+(O9*N9))/SUM(N7:N9)</f>
        <v>2.1235679214402619</v>
      </c>
      <c r="P10" s="988"/>
      <c r="Q10" s="1089"/>
      <c r="R10" s="988"/>
      <c r="T10" s="7">
        <v>5</v>
      </c>
      <c r="U10" s="11" t="s">
        <v>392</v>
      </c>
      <c r="V10" s="11"/>
    </row>
    <row r="11" spans="1:22" x14ac:dyDescent="0.3">
      <c r="A11" s="589" t="s">
        <v>539</v>
      </c>
      <c r="B11" s="1066"/>
      <c r="C11" s="592" t="s">
        <v>71</v>
      </c>
      <c r="D11" s="592"/>
      <c r="E11" s="592"/>
      <c r="F11" s="592"/>
      <c r="G11" s="592"/>
      <c r="H11" s="593" t="s">
        <v>72</v>
      </c>
      <c r="I11" s="595"/>
      <c r="J11" s="7">
        <v>800</v>
      </c>
      <c r="K11" s="7">
        <v>1000</v>
      </c>
      <c r="L11" s="7">
        <v>800</v>
      </c>
      <c r="M11" s="7">
        <v>4</v>
      </c>
      <c r="N11" s="12">
        <f>'$_MAG_BUFFER_TOTALE'!S13</f>
        <v>84</v>
      </c>
      <c r="O11" s="12">
        <f>0.8*1</f>
        <v>0.8</v>
      </c>
      <c r="P11" s="988">
        <f>ROUNDDOWN(($D$2/K13),0)*ROUNDDOWN($D$3/J13,0)</f>
        <v>39</v>
      </c>
      <c r="Q11" s="1089">
        <f>P11*M13</f>
        <v>117</v>
      </c>
      <c r="R11" s="988">
        <f>N13/Q11</f>
        <v>1.7948717948717949</v>
      </c>
      <c r="T11" s="513">
        <v>6</v>
      </c>
      <c r="U11" s="11"/>
      <c r="V11" s="11"/>
    </row>
    <row r="12" spans="1:22" x14ac:dyDescent="0.3">
      <c r="A12" s="589"/>
      <c r="B12" s="1066"/>
      <c r="C12" s="592" t="s">
        <v>74</v>
      </c>
      <c r="D12" s="592"/>
      <c r="E12" s="592"/>
      <c r="F12" s="592"/>
      <c r="G12" s="592"/>
      <c r="H12" s="593" t="s">
        <v>72</v>
      </c>
      <c r="I12" s="595"/>
      <c r="J12" s="7">
        <v>800</v>
      </c>
      <c r="K12" s="7">
        <v>1000</v>
      </c>
      <c r="L12" s="7">
        <v>800</v>
      </c>
      <c r="M12" s="7">
        <v>4</v>
      </c>
      <c r="N12" s="12">
        <f>'$_MAG_BUFFER_TOTALE'!S14</f>
        <v>126</v>
      </c>
      <c r="O12" s="12">
        <f>0.8*1</f>
        <v>0.8</v>
      </c>
      <c r="P12" s="988"/>
      <c r="Q12" s="1089"/>
      <c r="R12" s="988"/>
      <c r="T12" s="513">
        <v>7</v>
      </c>
      <c r="U12" s="11"/>
      <c r="V12" s="11"/>
    </row>
    <row r="13" spans="1:22" x14ac:dyDescent="0.3">
      <c r="A13" s="589"/>
      <c r="B13" s="1066"/>
      <c r="C13" s="595"/>
      <c r="D13" s="596"/>
      <c r="E13" s="596"/>
      <c r="F13" s="596"/>
      <c r="G13" s="596"/>
      <c r="H13" s="596"/>
      <c r="I13" s="597"/>
      <c r="J13" s="89">
        <f>MAX(J11:J12)/1000</f>
        <v>0.8</v>
      </c>
      <c r="K13" s="89">
        <f>MAX(K11:K12)/1000</f>
        <v>1</v>
      </c>
      <c r="L13" s="89">
        <f>MAX(L11:L12)/1000</f>
        <v>0.8</v>
      </c>
      <c r="M13" s="496">
        <v>3</v>
      </c>
      <c r="N13" s="496">
        <f>SUM(N11:N12)</f>
        <v>210</v>
      </c>
      <c r="O13" s="495">
        <f>((O11*N11)+(N12*O12))/SUM(N11:N12)</f>
        <v>0.8</v>
      </c>
      <c r="P13" s="988"/>
      <c r="Q13" s="1089"/>
      <c r="R13" s="988"/>
      <c r="T13" s="7">
        <v>8</v>
      </c>
      <c r="U13" s="11"/>
      <c r="V13" s="11"/>
    </row>
    <row r="14" spans="1:22" x14ac:dyDescent="0.3">
      <c r="A14" s="589" t="s">
        <v>540</v>
      </c>
      <c r="B14" s="1066"/>
      <c r="C14" s="592" t="s">
        <v>541</v>
      </c>
      <c r="D14" s="592"/>
      <c r="E14" s="592"/>
      <c r="F14" s="592"/>
      <c r="G14" s="592"/>
      <c r="H14" s="593" t="s">
        <v>108</v>
      </c>
      <c r="I14" s="595"/>
      <c r="J14" s="7">
        <v>1000</v>
      </c>
      <c r="K14" s="7">
        <v>2000</v>
      </c>
      <c r="L14" s="7">
        <v>1000</v>
      </c>
      <c r="M14" s="7">
        <v>4</v>
      </c>
      <c r="N14" s="12">
        <f>'$_MAG_BUFFER_TOTALE'!S9+'$_MAG_BUFFER_TOTALE'!S17</f>
        <v>787</v>
      </c>
      <c r="O14" s="12">
        <f>1*2</f>
        <v>2</v>
      </c>
      <c r="P14" s="988">
        <f>ROUNDDOWN(($D$2/J16),0)*ROUNDDOWN($D$3/K16,0)</f>
        <v>13</v>
      </c>
      <c r="Q14" s="1089">
        <f>P14*M16</f>
        <v>26</v>
      </c>
      <c r="R14" s="988">
        <f>_xlfn.CEILING.MATH(N16/Q14)</f>
        <v>44</v>
      </c>
      <c r="T14" s="7">
        <v>9</v>
      </c>
      <c r="U14" s="11"/>
      <c r="V14" s="11" t="s">
        <v>481</v>
      </c>
    </row>
    <row r="15" spans="1:22" x14ac:dyDescent="0.3">
      <c r="A15" s="589"/>
      <c r="B15" s="1066"/>
      <c r="C15" s="592" t="s">
        <v>541</v>
      </c>
      <c r="D15" s="592"/>
      <c r="E15" s="592"/>
      <c r="F15" s="592"/>
      <c r="G15" s="592"/>
      <c r="H15" s="593" t="s">
        <v>108</v>
      </c>
      <c r="I15" s="595"/>
      <c r="J15" s="7">
        <v>1000</v>
      </c>
      <c r="K15" s="7">
        <v>2000</v>
      </c>
      <c r="L15" s="7">
        <v>1000</v>
      </c>
      <c r="M15" s="7">
        <v>4</v>
      </c>
      <c r="N15" s="12">
        <f>'$_MAG_BUFFER_TOTALE'!S10+'$_MAG_BUFFER_TOTALE'!S18</f>
        <v>337</v>
      </c>
      <c r="O15" s="12">
        <f>1*2</f>
        <v>2</v>
      </c>
      <c r="P15" s="988"/>
      <c r="Q15" s="1089"/>
      <c r="R15" s="988"/>
      <c r="T15" s="7">
        <v>10</v>
      </c>
      <c r="U15" s="11" t="s">
        <v>390</v>
      </c>
      <c r="V15" s="11"/>
    </row>
    <row r="16" spans="1:22" x14ac:dyDescent="0.3">
      <c r="A16" s="589"/>
      <c r="B16" s="1066"/>
      <c r="C16" s="592"/>
      <c r="D16" s="592"/>
      <c r="E16" s="592"/>
      <c r="F16" s="592"/>
      <c r="G16" s="592"/>
      <c r="H16" s="593"/>
      <c r="I16" s="595"/>
      <c r="J16" s="89">
        <f>MAX(J14:J15)/1000</f>
        <v>1</v>
      </c>
      <c r="K16" s="89">
        <f>MAX(K14:K15)/1000</f>
        <v>2</v>
      </c>
      <c r="L16" s="89">
        <f>MAX(L14:L15)/1000</f>
        <v>1</v>
      </c>
      <c r="M16" s="494">
        <v>2</v>
      </c>
      <c r="N16" s="495">
        <f>SUM(N14:N15)</f>
        <v>1124</v>
      </c>
      <c r="O16" s="495">
        <f>((O14*N14)+(N15*O15))/SUM(N14:N15)</f>
        <v>2</v>
      </c>
      <c r="P16" s="988"/>
      <c r="Q16" s="1089"/>
      <c r="R16" s="988"/>
      <c r="T16" s="7">
        <v>11</v>
      </c>
      <c r="U16" s="11"/>
      <c r="V16" s="11"/>
    </row>
    <row r="17" spans="1:22" x14ac:dyDescent="0.3">
      <c r="A17" s="589"/>
      <c r="B17" s="1066"/>
      <c r="C17" s="614" t="s">
        <v>116</v>
      </c>
      <c r="D17" s="615"/>
      <c r="E17" s="615"/>
      <c r="F17" s="615"/>
      <c r="G17" s="616"/>
      <c r="H17" s="595" t="s">
        <v>117</v>
      </c>
      <c r="I17" s="597"/>
      <c r="J17" s="7">
        <v>460</v>
      </c>
      <c r="K17" s="7">
        <v>800</v>
      </c>
      <c r="L17" s="7">
        <v>550</v>
      </c>
      <c r="M17" s="491">
        <v>4</v>
      </c>
      <c r="N17" s="7">
        <f>'$_MAG_BUFFER_TOTALE'!S11+'$_MAG_BUFFER_TOTALE'!S15</f>
        <v>382</v>
      </c>
      <c r="O17" s="472">
        <f>0.46*0.8</f>
        <v>0.36800000000000005</v>
      </c>
      <c r="P17" s="988">
        <f>ROUNDDOWN(($D$2/K19),0)*ROUNDDOWN($D$3/J19,0)</f>
        <v>27</v>
      </c>
      <c r="Q17" s="1089">
        <f t="shared" ref="Q17" si="0">P17*M19</f>
        <v>81</v>
      </c>
      <c r="R17" s="988">
        <f t="shared" ref="R17" si="1">N19/Q17</f>
        <v>6.7407407407407405</v>
      </c>
      <c r="T17" s="7">
        <v>12</v>
      </c>
      <c r="U17" s="11"/>
      <c r="V17" s="11" t="s">
        <v>481</v>
      </c>
    </row>
    <row r="18" spans="1:22" x14ac:dyDescent="0.3">
      <c r="A18" s="589"/>
      <c r="B18" s="1066"/>
      <c r="C18" s="614" t="s">
        <v>121</v>
      </c>
      <c r="D18" s="615"/>
      <c r="E18" s="615"/>
      <c r="F18" s="615"/>
      <c r="G18" s="616"/>
      <c r="H18" s="595" t="s">
        <v>122</v>
      </c>
      <c r="I18" s="597"/>
      <c r="J18" s="7">
        <v>800</v>
      </c>
      <c r="K18" s="7">
        <v>1500</v>
      </c>
      <c r="L18" s="7">
        <v>800</v>
      </c>
      <c r="M18" s="490">
        <v>4</v>
      </c>
      <c r="N18" s="505">
        <f>'$_MAG_BUFFER_TOTALE'!S12+'$_MAG_BUFFER_TOTALE'!S16</f>
        <v>164</v>
      </c>
      <c r="O18" s="7">
        <f>0.8*1.5</f>
        <v>1.2000000000000002</v>
      </c>
      <c r="P18" s="988"/>
      <c r="Q18" s="1089"/>
      <c r="R18" s="988"/>
      <c r="T18" s="513">
        <v>13</v>
      </c>
      <c r="U18" s="11"/>
      <c r="V18" s="11"/>
    </row>
    <row r="19" spans="1:22" x14ac:dyDescent="0.3">
      <c r="A19" s="589"/>
      <c r="B19" s="1066"/>
      <c r="C19" s="460"/>
      <c r="D19" s="487"/>
      <c r="E19" s="487"/>
      <c r="F19" s="487"/>
      <c r="G19" s="487"/>
      <c r="H19" s="487"/>
      <c r="I19" s="488"/>
      <c r="J19" s="89">
        <f>MAX(J17:J18)/1000</f>
        <v>0.8</v>
      </c>
      <c r="K19" s="89">
        <f>MAX(K17:K18)/1000</f>
        <v>1.5</v>
      </c>
      <c r="L19" s="507">
        <f>MAX(L17:L18)/1000</f>
        <v>0.8</v>
      </c>
      <c r="M19" s="496">
        <v>3</v>
      </c>
      <c r="N19" s="496">
        <f>SUM(N17:N18)</f>
        <v>546</v>
      </c>
      <c r="O19" s="508">
        <f>((O17*N17)+(N18*O18))/SUM(N17:N18)</f>
        <v>0.61790476190476207</v>
      </c>
      <c r="P19" s="988"/>
      <c r="Q19" s="1089"/>
      <c r="R19" s="988"/>
      <c r="T19" s="513">
        <v>14</v>
      </c>
      <c r="U19" s="11"/>
      <c r="V19" s="11"/>
    </row>
    <row r="20" spans="1:22" x14ac:dyDescent="0.3">
      <c r="A20" s="589" t="s">
        <v>542</v>
      </c>
      <c r="B20" s="1066"/>
      <c r="C20" s="614" t="s">
        <v>543</v>
      </c>
      <c r="D20" s="615"/>
      <c r="E20" s="615"/>
      <c r="F20" s="615"/>
      <c r="G20" s="616"/>
      <c r="H20" s="595" t="s">
        <v>108</v>
      </c>
      <c r="I20" s="597"/>
      <c r="J20" s="7">
        <v>1000</v>
      </c>
      <c r="K20" s="7">
        <v>2000</v>
      </c>
      <c r="L20" s="7">
        <v>1000</v>
      </c>
      <c r="M20" s="509">
        <v>2</v>
      </c>
      <c r="N20" s="54">
        <f>'$_MAG_BUFFER_TOTALE'!S19</f>
        <v>885</v>
      </c>
      <c r="O20" s="7">
        <f>1*2</f>
        <v>2</v>
      </c>
      <c r="P20" s="988">
        <f>ROUNDDOWN(($D$2/J22),0)*ROUNDDOWN($D$3/K22,0)</f>
        <v>13</v>
      </c>
      <c r="Q20" s="1089">
        <f>P20*M22</f>
        <v>26</v>
      </c>
      <c r="R20" s="988">
        <f>N22/Q20</f>
        <v>48.615384615384613</v>
      </c>
      <c r="T20" s="7">
        <v>15</v>
      </c>
      <c r="U20" s="11" t="s">
        <v>480</v>
      </c>
      <c r="V20" s="11"/>
    </row>
    <row r="21" spans="1:22" x14ac:dyDescent="0.3">
      <c r="A21" s="589"/>
      <c r="B21" s="1066"/>
      <c r="C21" s="614" t="s">
        <v>544</v>
      </c>
      <c r="D21" s="615"/>
      <c r="E21" s="615"/>
      <c r="F21" s="615"/>
      <c r="G21" s="616"/>
      <c r="H21" s="595" t="s">
        <v>108</v>
      </c>
      <c r="I21" s="597"/>
      <c r="J21" s="7">
        <v>1000</v>
      </c>
      <c r="K21" s="7">
        <v>2000</v>
      </c>
      <c r="L21" s="7">
        <v>1000</v>
      </c>
      <c r="M21" s="491">
        <v>2</v>
      </c>
      <c r="N21" s="7">
        <f>'$_MAG_BUFFER_TOTALE'!S20</f>
        <v>379</v>
      </c>
      <c r="O21" s="7">
        <f>1*2</f>
        <v>2</v>
      </c>
      <c r="P21" s="988"/>
      <c r="Q21" s="1089"/>
      <c r="R21" s="988"/>
      <c r="T21" s="7">
        <v>16</v>
      </c>
      <c r="U21" s="11" t="s">
        <v>525</v>
      </c>
      <c r="V21" s="11"/>
    </row>
    <row r="22" spans="1:22" x14ac:dyDescent="0.3">
      <c r="A22" s="589"/>
      <c r="B22" s="1066"/>
      <c r="C22" s="593"/>
      <c r="D22" s="593"/>
      <c r="E22" s="593"/>
      <c r="F22" s="593"/>
      <c r="G22" s="593"/>
      <c r="H22" s="593"/>
      <c r="I22" s="593"/>
      <c r="J22" s="89">
        <f>MAX(J20:J21)/1000</f>
        <v>1</v>
      </c>
      <c r="K22" s="89">
        <f>MAX(K20:K21)/1000</f>
        <v>2</v>
      </c>
      <c r="L22" s="89">
        <f>MAX(L20:L21)/1000</f>
        <v>1</v>
      </c>
      <c r="M22" s="496">
        <v>2</v>
      </c>
      <c r="N22" s="493">
        <f>SUM(N20:N21)</f>
        <v>1264</v>
      </c>
      <c r="O22" s="495">
        <f>((O20*N20)+(N21*O21))/SUM(N20:N21)</f>
        <v>2</v>
      </c>
      <c r="P22" s="988"/>
      <c r="Q22" s="1089"/>
      <c r="R22" s="988"/>
      <c r="T22" s="7">
        <v>17</v>
      </c>
      <c r="U22" s="11" t="s">
        <v>390</v>
      </c>
      <c r="V22" s="11" t="s">
        <v>481</v>
      </c>
    </row>
    <row r="23" spans="1:22" x14ac:dyDescent="0.3">
      <c r="A23" s="5"/>
      <c r="B23" s="5"/>
      <c r="T23" s="7">
        <v>18</v>
      </c>
      <c r="U23" s="11"/>
      <c r="V23" s="11"/>
    </row>
    <row r="24" spans="1:22" ht="15" thickBot="1" x14ac:dyDescent="0.35">
      <c r="T24" s="7">
        <v>19</v>
      </c>
      <c r="U24" s="11" t="s">
        <v>392</v>
      </c>
      <c r="V24" s="11"/>
    </row>
    <row r="25" spans="1:22" ht="14.4" customHeight="1" x14ac:dyDescent="0.3">
      <c r="E25" s="65"/>
      <c r="G25" s="686" t="s">
        <v>546</v>
      </c>
      <c r="H25" s="686"/>
      <c r="I25" s="686"/>
      <c r="J25" s="686"/>
      <c r="K25" s="257">
        <f>SUM(R20,R11)*Q2</f>
        <v>2.5205128205128204</v>
      </c>
      <c r="M25" s="1090" t="s">
        <v>676</v>
      </c>
      <c r="N25" s="1091"/>
      <c r="O25" s="1091"/>
      <c r="P25" s="1091"/>
      <c r="Q25" s="1091"/>
      <c r="R25" s="1092"/>
      <c r="T25" s="513">
        <v>20</v>
      </c>
      <c r="U25" s="11"/>
      <c r="V25" s="11"/>
    </row>
    <row r="26" spans="1:22" ht="14.4" customHeight="1" thickBot="1" x14ac:dyDescent="0.35">
      <c r="A26" s="48"/>
      <c r="B26" s="48"/>
      <c r="C26" s="48"/>
      <c r="D26" s="48"/>
      <c r="E26" s="65"/>
      <c r="G26" s="324" t="s">
        <v>547</v>
      </c>
      <c r="H26" s="324"/>
      <c r="I26" s="324"/>
      <c r="J26" s="324"/>
      <c r="K26" s="257">
        <f>L2*Q3*AVERAGE(O10,O13,O16,O19,O22)</f>
        <v>109.75356578494791</v>
      </c>
      <c r="M26" s="1093"/>
      <c r="N26" s="1094"/>
      <c r="O26" s="1094"/>
      <c r="P26" s="1094"/>
      <c r="Q26" s="1094"/>
      <c r="R26" s="1095"/>
      <c r="T26" s="513">
        <v>21</v>
      </c>
      <c r="U26" s="11"/>
      <c r="V26" s="11"/>
    </row>
    <row r="27" spans="1:22" ht="14.4" customHeight="1" x14ac:dyDescent="0.3">
      <c r="T27" s="7">
        <v>22</v>
      </c>
      <c r="U27" s="11"/>
      <c r="V27" s="11" t="s">
        <v>481</v>
      </c>
    </row>
    <row r="28" spans="1:22" x14ac:dyDescent="0.3">
      <c r="T28" s="7">
        <v>23</v>
      </c>
      <c r="U28" s="11"/>
      <c r="V28" s="11"/>
    </row>
    <row r="29" spans="1:22" x14ac:dyDescent="0.3">
      <c r="T29" s="7">
        <v>24</v>
      </c>
      <c r="U29" s="11" t="s">
        <v>390</v>
      </c>
      <c r="V29" s="11"/>
    </row>
    <row r="30" spans="1:22" x14ac:dyDescent="0.3">
      <c r="T30" s="7">
        <v>25</v>
      </c>
      <c r="V30" s="11" t="s">
        <v>481</v>
      </c>
    </row>
    <row r="31" spans="1:22" x14ac:dyDescent="0.3">
      <c r="A31" s="1067"/>
      <c r="B31" s="1067"/>
      <c r="C31" s="1067"/>
      <c r="D31" s="1067"/>
      <c r="E31" s="1067"/>
      <c r="F31" s="1067"/>
      <c r="G31" s="1067"/>
      <c r="H31" s="1067"/>
      <c r="I31" s="1067"/>
      <c r="J31" s="1067"/>
      <c r="K31" s="1067"/>
      <c r="L31" s="1067"/>
      <c r="M31" s="1067"/>
      <c r="N31" s="1067"/>
      <c r="O31" s="1067"/>
      <c r="P31" s="1067"/>
      <c r="Q31" s="1067"/>
      <c r="R31" s="1067"/>
      <c r="T31" s="7">
        <v>26</v>
      </c>
      <c r="U31" s="11"/>
      <c r="V31" s="11"/>
    </row>
    <row r="32" spans="1:22" x14ac:dyDescent="0.3">
      <c r="T32" s="513">
        <v>27</v>
      </c>
      <c r="U32" s="11"/>
      <c r="V32" s="11"/>
    </row>
    <row r="33" spans="1:22" x14ac:dyDescent="0.3">
      <c r="T33" s="513">
        <v>28</v>
      </c>
      <c r="U33" s="11"/>
      <c r="V33" s="11"/>
    </row>
    <row r="34" spans="1:22" x14ac:dyDescent="0.3">
      <c r="T34" s="7">
        <v>29</v>
      </c>
      <c r="U34" s="11" t="s">
        <v>480</v>
      </c>
      <c r="V34" s="11"/>
    </row>
    <row r="35" spans="1:22" ht="15" customHeight="1" x14ac:dyDescent="0.3">
      <c r="A35" s="690"/>
      <c r="B35" s="690"/>
      <c r="C35" s="600" t="s">
        <v>527</v>
      </c>
      <c r="D35" s="600"/>
      <c r="E35" s="600"/>
      <c r="F35" s="600"/>
      <c r="G35" s="600"/>
      <c r="H35" s="600" t="s">
        <v>528</v>
      </c>
      <c r="I35" s="600"/>
      <c r="J35" s="590" t="s">
        <v>529</v>
      </c>
      <c r="K35" s="590" t="s">
        <v>530</v>
      </c>
      <c r="L35" s="590" t="s">
        <v>531</v>
      </c>
      <c r="M35" s="600" t="s">
        <v>532</v>
      </c>
      <c r="N35" s="600" t="s">
        <v>533</v>
      </c>
      <c r="O35" s="600" t="s">
        <v>534</v>
      </c>
      <c r="P35" s="600" t="s">
        <v>535</v>
      </c>
      <c r="Q35" s="600" t="s">
        <v>536</v>
      </c>
      <c r="R35" s="967" t="s">
        <v>537</v>
      </c>
      <c r="T35" s="7">
        <v>30</v>
      </c>
      <c r="U35" s="11" t="s">
        <v>525</v>
      </c>
      <c r="V35" s="11" t="s">
        <v>481</v>
      </c>
    </row>
    <row r="36" spans="1:22" x14ac:dyDescent="0.3">
      <c r="A36" s="690"/>
      <c r="B36" s="690"/>
      <c r="C36" s="600"/>
      <c r="D36" s="600"/>
      <c r="E36" s="600"/>
      <c r="F36" s="600"/>
      <c r="G36" s="600"/>
      <c r="H36" s="600"/>
      <c r="I36" s="600"/>
      <c r="J36" s="590"/>
      <c r="K36" s="590"/>
      <c r="L36" s="590"/>
      <c r="M36" s="600"/>
      <c r="N36" s="600"/>
      <c r="O36" s="600"/>
      <c r="P36" s="600"/>
      <c r="Q36" s="600"/>
      <c r="R36" s="967"/>
      <c r="T36" s="7">
        <v>31</v>
      </c>
      <c r="U36" s="11" t="s">
        <v>390</v>
      </c>
      <c r="V36" s="11"/>
    </row>
    <row r="37" spans="1:22" x14ac:dyDescent="0.3">
      <c r="A37" s="589" t="s">
        <v>538</v>
      </c>
      <c r="B37" s="1066"/>
      <c r="C37" s="1069" t="s">
        <v>474</v>
      </c>
      <c r="D37" s="1069"/>
      <c r="E37" s="1069"/>
      <c r="F37" s="1069"/>
      <c r="G37" s="1069"/>
      <c r="H37" s="1070" t="s">
        <v>87</v>
      </c>
      <c r="I37" s="1070"/>
      <c r="J37" s="54">
        <v>1.5</v>
      </c>
      <c r="K37" s="54">
        <v>2</v>
      </c>
      <c r="L37" s="54">
        <v>1</v>
      </c>
      <c r="M37" s="54">
        <v>2</v>
      </c>
      <c r="N37" s="473">
        <f>_xlfn.CEILING.MATH(('$_MAG_BUFFER_TOTALE'!O22+'$_MAG_BUFFER_TOTALE'!O23)/22)</f>
        <v>925</v>
      </c>
      <c r="O37" s="510">
        <f>(J37*K37)</f>
        <v>3</v>
      </c>
      <c r="P37" s="988">
        <f>ROUNDDOWN($D$2/J37,0)*ROUNDDOWN($D$3/K37,0)</f>
        <v>9</v>
      </c>
      <c r="Q37" s="988">
        <f>P37*M39</f>
        <v>18</v>
      </c>
      <c r="R37" s="988">
        <f>N39/Q37</f>
        <v>116.16666666666667</v>
      </c>
      <c r="T37" s="7">
        <v>1</v>
      </c>
      <c r="V37" s="11"/>
    </row>
    <row r="38" spans="1:22" x14ac:dyDescent="0.3">
      <c r="A38" s="589"/>
      <c r="B38" s="1066"/>
      <c r="C38" s="592" t="s">
        <v>548</v>
      </c>
      <c r="D38" s="592"/>
      <c r="E38" s="592"/>
      <c r="F38" s="592"/>
      <c r="G38" s="592"/>
      <c r="H38" s="593" t="s">
        <v>87</v>
      </c>
      <c r="I38" s="593"/>
      <c r="J38" s="505">
        <v>1.5</v>
      </c>
      <c r="K38" s="505">
        <v>2</v>
      </c>
      <c r="L38" s="505">
        <v>1</v>
      </c>
      <c r="M38" s="505">
        <v>2</v>
      </c>
      <c r="N38" s="511">
        <f>_xlfn.CEILING.MATH(('$_MAG_BUFFER_TOTALE'!O24+'$_MAG_BUFFER_TOTALE'!O25)/22)</f>
        <v>1166</v>
      </c>
      <c r="O38" s="512">
        <f>(J38*K38)</f>
        <v>3</v>
      </c>
      <c r="P38" s="988"/>
      <c r="Q38" s="988"/>
      <c r="R38" s="988"/>
      <c r="T38" s="89">
        <v>2</v>
      </c>
      <c r="U38" s="288" t="s">
        <v>392</v>
      </c>
      <c r="V38" s="288" t="s">
        <v>481</v>
      </c>
    </row>
    <row r="39" spans="1:22" x14ac:dyDescent="0.3">
      <c r="A39" s="589"/>
      <c r="B39" s="1066"/>
      <c r="C39" s="593"/>
      <c r="D39" s="593"/>
      <c r="E39" s="593"/>
      <c r="F39" s="593"/>
      <c r="G39" s="593"/>
      <c r="H39" s="593"/>
      <c r="I39" s="593"/>
      <c r="J39" s="89">
        <f>J38</f>
        <v>1.5</v>
      </c>
      <c r="K39" s="89">
        <f>K38</f>
        <v>2</v>
      </c>
      <c r="L39" s="89">
        <f>L38</f>
        <v>1</v>
      </c>
      <c r="M39" s="89">
        <f>M38</f>
        <v>2</v>
      </c>
      <c r="N39" s="495">
        <f>SUM(N37:N38)</f>
        <v>2091</v>
      </c>
      <c r="O39" s="495">
        <f>O38</f>
        <v>3</v>
      </c>
      <c r="P39" s="1068"/>
      <c r="Q39" s="988"/>
      <c r="R39" s="988"/>
    </row>
    <row r="41" spans="1:22" ht="15" thickBot="1" x14ac:dyDescent="0.35">
      <c r="A41" s="919" t="s">
        <v>545</v>
      </c>
      <c r="B41" s="919"/>
      <c r="C41" s="919"/>
      <c r="D41" s="919"/>
      <c r="E41" s="919"/>
    </row>
    <row r="42" spans="1:22" x14ac:dyDescent="0.3">
      <c r="A42" s="686" t="s">
        <v>546</v>
      </c>
      <c r="B42" s="686"/>
      <c r="C42" s="686"/>
      <c r="D42" s="686"/>
      <c r="E42" s="257">
        <f>R37*Q2</f>
        <v>5.8083333333333336</v>
      </c>
      <c r="M42" s="1090" t="s">
        <v>677</v>
      </c>
      <c r="N42" s="1091"/>
      <c r="O42" s="1091"/>
      <c r="P42" s="1091"/>
      <c r="Q42" s="1091"/>
      <c r="R42" s="1092"/>
    </row>
    <row r="43" spans="1:22" ht="15" thickBot="1" x14ac:dyDescent="0.35">
      <c r="A43" s="324" t="s">
        <v>547</v>
      </c>
      <c r="B43" s="324"/>
      <c r="C43" s="324"/>
      <c r="D43" s="324"/>
      <c r="E43" s="257">
        <f>N39*Q3*O39</f>
        <v>104.55000000000001</v>
      </c>
      <c r="M43" s="1093"/>
      <c r="N43" s="1094"/>
      <c r="O43" s="1094"/>
      <c r="P43" s="1094"/>
      <c r="Q43" s="1094"/>
      <c r="R43" s="1095"/>
    </row>
  </sheetData>
  <mergeCells count="94">
    <mergeCell ref="M42:R43"/>
    <mergeCell ref="T2:V4"/>
    <mergeCell ref="M25:R26"/>
    <mergeCell ref="G25:J25"/>
    <mergeCell ref="A20:B22"/>
    <mergeCell ref="C22:I22"/>
    <mergeCell ref="H21:I21"/>
    <mergeCell ref="H20:I20"/>
    <mergeCell ref="C21:G21"/>
    <mergeCell ref="Q17:Q19"/>
    <mergeCell ref="Q20:Q22"/>
    <mergeCell ref="R5:R6"/>
    <mergeCell ref="R7:R10"/>
    <mergeCell ref="R11:R13"/>
    <mergeCell ref="R14:R16"/>
    <mergeCell ref="R17:R19"/>
    <mergeCell ref="R20:R22"/>
    <mergeCell ref="Q5:Q6"/>
    <mergeCell ref="Q7:Q10"/>
    <mergeCell ref="Q11:Q13"/>
    <mergeCell ref="Q14:Q16"/>
    <mergeCell ref="H18:I18"/>
    <mergeCell ref="C7:G7"/>
    <mergeCell ref="H7:I7"/>
    <mergeCell ref="C8:G8"/>
    <mergeCell ref="H8:I8"/>
    <mergeCell ref="C9:G9"/>
    <mergeCell ref="H15:I15"/>
    <mergeCell ref="C17:G17"/>
    <mergeCell ref="H9:I9"/>
    <mergeCell ref="H14:I14"/>
    <mergeCell ref="C15:G15"/>
    <mergeCell ref="C1:F1"/>
    <mergeCell ref="E4:F4"/>
    <mergeCell ref="H2:K2"/>
    <mergeCell ref="H1:Q1"/>
    <mergeCell ref="M2:P2"/>
    <mergeCell ref="H3:K3"/>
    <mergeCell ref="P5:P6"/>
    <mergeCell ref="P7:P10"/>
    <mergeCell ref="P11:P13"/>
    <mergeCell ref="H4:K4"/>
    <mergeCell ref="M3:P3"/>
    <mergeCell ref="O5:O6"/>
    <mergeCell ref="M5:M6"/>
    <mergeCell ref="N5:N6"/>
    <mergeCell ref="M35:M36"/>
    <mergeCell ref="N35:N36"/>
    <mergeCell ref="A11:B13"/>
    <mergeCell ref="P17:P19"/>
    <mergeCell ref="P20:P22"/>
    <mergeCell ref="P14:P16"/>
    <mergeCell ref="C11:G11"/>
    <mergeCell ref="H11:I11"/>
    <mergeCell ref="C12:G12"/>
    <mergeCell ref="H12:I12"/>
    <mergeCell ref="A14:B19"/>
    <mergeCell ref="C13:I13"/>
    <mergeCell ref="C20:G20"/>
    <mergeCell ref="C18:G18"/>
    <mergeCell ref="H16:I16"/>
    <mergeCell ref="C14:G14"/>
    <mergeCell ref="O35:O36"/>
    <mergeCell ref="A5:B6"/>
    <mergeCell ref="A35:B36"/>
    <mergeCell ref="C35:G36"/>
    <mergeCell ref="H35:I36"/>
    <mergeCell ref="J35:J36"/>
    <mergeCell ref="C5:G6"/>
    <mergeCell ref="H5:I6"/>
    <mergeCell ref="J5:J6"/>
    <mergeCell ref="K5:K6"/>
    <mergeCell ref="L5:L6"/>
    <mergeCell ref="A7:B10"/>
    <mergeCell ref="C10:I10"/>
    <mergeCell ref="H17:I17"/>
    <mergeCell ref="C16:G16"/>
    <mergeCell ref="L35:L36"/>
    <mergeCell ref="A42:D42"/>
    <mergeCell ref="C39:I39"/>
    <mergeCell ref="A37:B39"/>
    <mergeCell ref="A31:R31"/>
    <mergeCell ref="P37:P39"/>
    <mergeCell ref="Q37:Q39"/>
    <mergeCell ref="R37:R39"/>
    <mergeCell ref="A41:E41"/>
    <mergeCell ref="P35:P36"/>
    <mergeCell ref="Q35:Q36"/>
    <mergeCell ref="R35:R36"/>
    <mergeCell ref="C37:G37"/>
    <mergeCell ref="H37:I37"/>
    <mergeCell ref="C38:G38"/>
    <mergeCell ref="H38:I38"/>
    <mergeCell ref="K35:K36"/>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69F9A-4817-4AEA-809E-8FE2FAFD4865}">
  <dimension ref="A1:K34"/>
  <sheetViews>
    <sheetView topLeftCell="A63" zoomScale="83" workbookViewId="0">
      <selection activeCell="R21" sqref="R21"/>
    </sheetView>
  </sheetViews>
  <sheetFormatPr defaultRowHeight="14.4" x14ac:dyDescent="0.3"/>
  <cols>
    <col min="1" max="1" width="14.44140625" customWidth="1"/>
    <col min="7" max="8" width="11.33203125" customWidth="1"/>
    <col min="10" max="10" width="10.33203125" customWidth="1"/>
    <col min="11" max="11" width="10.109375" customWidth="1"/>
  </cols>
  <sheetData>
    <row r="1" spans="1:11" ht="18.600000000000001" thickBot="1" x14ac:dyDescent="0.4">
      <c r="A1" s="1102" t="s">
        <v>263</v>
      </c>
      <c r="B1" s="1103"/>
      <c r="C1" s="1103"/>
      <c r="D1" s="1103"/>
      <c r="E1" s="1103"/>
      <c r="F1" s="1103"/>
      <c r="G1" s="1103"/>
      <c r="H1" s="1103"/>
      <c r="I1" s="1103"/>
      <c r="J1" s="1103"/>
      <c r="K1" s="1104"/>
    </row>
    <row r="2" spans="1:11" x14ac:dyDescent="0.3">
      <c r="A2" s="621" t="s">
        <v>28</v>
      </c>
      <c r="B2" s="622"/>
      <c r="C2" s="622" t="s">
        <v>580</v>
      </c>
      <c r="D2" s="622"/>
      <c r="E2" s="622"/>
      <c r="F2" s="622"/>
      <c r="G2" s="622"/>
      <c r="H2" s="624" t="s">
        <v>581</v>
      </c>
      <c r="I2" s="625"/>
      <c r="J2" s="641" t="s">
        <v>582</v>
      </c>
      <c r="K2" s="627"/>
    </row>
    <row r="3" spans="1:11" x14ac:dyDescent="0.3">
      <c r="A3" s="601"/>
      <c r="B3" s="623"/>
      <c r="C3" s="623"/>
      <c r="D3" s="623"/>
      <c r="E3" s="623"/>
      <c r="F3" s="623"/>
      <c r="G3" s="623"/>
      <c r="H3" s="626"/>
      <c r="I3" s="626"/>
      <c r="J3" s="642"/>
      <c r="K3" s="628"/>
    </row>
    <row r="4" spans="1:11" x14ac:dyDescent="0.3">
      <c r="A4" s="27" t="s">
        <v>57</v>
      </c>
      <c r="B4" s="7"/>
      <c r="C4" s="592" t="s">
        <v>59</v>
      </c>
      <c r="D4" s="592"/>
      <c r="E4" s="592"/>
      <c r="F4" s="592"/>
      <c r="G4" s="592"/>
      <c r="H4" s="593" t="s">
        <v>130</v>
      </c>
      <c r="I4" s="593"/>
      <c r="J4" s="44">
        <f>15*20*0.03*7.8</f>
        <v>70.2</v>
      </c>
      <c r="K4" s="19"/>
    </row>
    <row r="5" spans="1:11" x14ac:dyDescent="0.3">
      <c r="A5" s="27" t="s">
        <v>61</v>
      </c>
      <c r="B5" s="7"/>
      <c r="C5" s="592" t="s">
        <v>62</v>
      </c>
      <c r="D5" s="592"/>
      <c r="E5" s="592"/>
      <c r="F5" s="592"/>
      <c r="G5" s="592"/>
      <c r="H5" s="593" t="s">
        <v>583</v>
      </c>
      <c r="I5" s="593"/>
      <c r="J5" s="44">
        <f>10*15*0.03*7.8</f>
        <v>35.1</v>
      </c>
      <c r="K5" s="19"/>
    </row>
    <row r="6" spans="1:11" x14ac:dyDescent="0.3">
      <c r="A6" s="27" t="s">
        <v>65</v>
      </c>
      <c r="B6" s="7"/>
      <c r="C6" s="592" t="s">
        <v>66</v>
      </c>
      <c r="D6" s="592"/>
      <c r="E6" s="592"/>
      <c r="F6" s="592"/>
      <c r="G6" s="592"/>
      <c r="H6" s="593" t="s">
        <v>584</v>
      </c>
      <c r="I6" s="593"/>
      <c r="J6" s="44">
        <f>10*20*0.03*7.8</f>
        <v>46.8</v>
      </c>
      <c r="K6" s="19"/>
    </row>
    <row r="7" spans="1:11" x14ac:dyDescent="0.3">
      <c r="A7" s="27"/>
      <c r="B7" s="7"/>
      <c r="C7" s="592"/>
      <c r="D7" s="592"/>
      <c r="E7" s="592"/>
      <c r="F7" s="592"/>
      <c r="G7" s="592"/>
      <c r="H7" s="593"/>
      <c r="I7" s="593"/>
      <c r="J7" s="44"/>
      <c r="K7" s="19"/>
    </row>
    <row r="8" spans="1:11" x14ac:dyDescent="0.3">
      <c r="A8" s="27" t="s">
        <v>69</v>
      </c>
      <c r="B8" s="7"/>
      <c r="C8" s="592" t="s">
        <v>585</v>
      </c>
      <c r="D8" s="592"/>
      <c r="E8" s="592"/>
      <c r="F8" s="592"/>
      <c r="G8" s="592"/>
      <c r="H8" s="593" t="s">
        <v>586</v>
      </c>
      <c r="I8" s="593"/>
      <c r="J8" s="44">
        <v>0.8</v>
      </c>
      <c r="K8" s="19"/>
    </row>
    <row r="9" spans="1:11" x14ac:dyDescent="0.3">
      <c r="A9" s="27" t="s">
        <v>73</v>
      </c>
      <c r="B9" s="7"/>
      <c r="C9" s="592" t="s">
        <v>74</v>
      </c>
      <c r="D9" s="592"/>
      <c r="E9" s="592"/>
      <c r="F9" s="592"/>
      <c r="G9" s="592"/>
      <c r="H9" s="593" t="s">
        <v>587</v>
      </c>
      <c r="I9" s="593"/>
      <c r="J9" s="44">
        <v>1.2</v>
      </c>
      <c r="K9" s="19"/>
    </row>
    <row r="10" spans="1:11" x14ac:dyDescent="0.3">
      <c r="A10" s="27"/>
      <c r="B10" s="7"/>
      <c r="C10" s="592"/>
      <c r="D10" s="592"/>
      <c r="E10" s="592"/>
      <c r="F10" s="592"/>
      <c r="G10" s="592"/>
      <c r="H10" s="593"/>
      <c r="I10" s="593"/>
      <c r="J10" s="44"/>
      <c r="K10" s="19"/>
    </row>
    <row r="11" spans="1:11" x14ac:dyDescent="0.3">
      <c r="A11" s="27"/>
      <c r="B11" s="7"/>
      <c r="C11" s="592"/>
      <c r="D11" s="592"/>
      <c r="E11" s="592"/>
      <c r="F11" s="592"/>
      <c r="G11" s="592"/>
      <c r="H11" s="593"/>
      <c r="I11" s="593"/>
      <c r="J11" s="44"/>
      <c r="K11" s="19"/>
    </row>
    <row r="12" spans="1:11" x14ac:dyDescent="0.3">
      <c r="A12" s="27"/>
      <c r="B12" s="26"/>
      <c r="C12" s="592"/>
      <c r="D12" s="592"/>
      <c r="E12" s="592"/>
      <c r="F12" s="592"/>
      <c r="G12" s="592"/>
      <c r="H12" s="593"/>
      <c r="I12" s="593"/>
      <c r="J12" s="44"/>
      <c r="K12" s="19"/>
    </row>
    <row r="13" spans="1:11" x14ac:dyDescent="0.3">
      <c r="A13" s="27"/>
      <c r="B13" s="7"/>
      <c r="C13" s="592"/>
      <c r="D13" s="592"/>
      <c r="E13" s="592"/>
      <c r="F13" s="592"/>
      <c r="G13" s="592"/>
      <c r="H13" s="593"/>
      <c r="I13" s="593"/>
      <c r="J13" s="44"/>
      <c r="K13" s="19"/>
    </row>
    <row r="14" spans="1:11" x14ac:dyDescent="0.3">
      <c r="A14" s="27" t="s">
        <v>84</v>
      </c>
      <c r="B14" s="7"/>
      <c r="C14" s="592" t="s">
        <v>86</v>
      </c>
      <c r="D14" s="592"/>
      <c r="E14" s="592"/>
      <c r="F14" s="592"/>
      <c r="G14" s="592"/>
      <c r="H14" s="593" t="s">
        <v>589</v>
      </c>
      <c r="I14" s="593"/>
      <c r="J14" s="44">
        <v>210</v>
      </c>
      <c r="K14" s="19"/>
    </row>
    <row r="15" spans="1:11" x14ac:dyDescent="0.3">
      <c r="A15" s="27" t="s">
        <v>90</v>
      </c>
      <c r="B15" s="7"/>
      <c r="C15" s="592" t="s">
        <v>91</v>
      </c>
      <c r="D15" s="592"/>
      <c r="E15" s="592"/>
      <c r="F15" s="592"/>
      <c r="G15" s="592"/>
      <c r="H15" s="593" t="s">
        <v>590</v>
      </c>
      <c r="I15" s="593"/>
      <c r="J15" s="44">
        <v>250</v>
      </c>
      <c r="K15" s="19"/>
    </row>
    <row r="16" spans="1:11" x14ac:dyDescent="0.3">
      <c r="A16" s="27" t="s">
        <v>95</v>
      </c>
      <c r="B16" s="7"/>
      <c r="C16" s="592" t="s">
        <v>97</v>
      </c>
      <c r="D16" s="592"/>
      <c r="E16" s="592"/>
      <c r="F16" s="592"/>
      <c r="G16" s="592"/>
      <c r="H16" s="593" t="s">
        <v>589</v>
      </c>
      <c r="I16" s="593"/>
      <c r="J16" s="44">
        <v>160</v>
      </c>
      <c r="K16" s="19"/>
    </row>
    <row r="17" spans="1:11" x14ac:dyDescent="0.3">
      <c r="A17" s="27" t="s">
        <v>101</v>
      </c>
      <c r="B17" s="7"/>
      <c r="C17" s="592" t="s">
        <v>102</v>
      </c>
      <c r="D17" s="592"/>
      <c r="E17" s="592"/>
      <c r="F17" s="592"/>
      <c r="G17" s="592"/>
      <c r="H17" s="593" t="s">
        <v>590</v>
      </c>
      <c r="I17" s="593"/>
      <c r="J17" s="44">
        <v>190</v>
      </c>
      <c r="K17" s="19"/>
    </row>
    <row r="18" spans="1:11" x14ac:dyDescent="0.3">
      <c r="A18" s="27" t="s">
        <v>106</v>
      </c>
      <c r="B18" s="7"/>
      <c r="C18" s="592" t="s">
        <v>107</v>
      </c>
      <c r="D18" s="592"/>
      <c r="E18" s="592"/>
      <c r="F18" s="592"/>
      <c r="G18" s="592"/>
      <c r="H18" s="593" t="s">
        <v>591</v>
      </c>
      <c r="I18" s="593"/>
      <c r="J18" s="44">
        <v>30</v>
      </c>
      <c r="K18" s="19"/>
    </row>
    <row r="19" spans="1:11" x14ac:dyDescent="0.3">
      <c r="A19" s="27" t="s">
        <v>111</v>
      </c>
      <c r="B19" s="7"/>
      <c r="C19" s="592" t="s">
        <v>112</v>
      </c>
      <c r="D19" s="592"/>
      <c r="E19" s="592"/>
      <c r="F19" s="592"/>
      <c r="G19" s="592"/>
      <c r="H19" s="593" t="s">
        <v>592</v>
      </c>
      <c r="I19" s="593"/>
      <c r="J19" s="44">
        <v>35</v>
      </c>
      <c r="K19" s="19"/>
    </row>
    <row r="20" spans="1:11" x14ac:dyDescent="0.3">
      <c r="A20" s="27" t="s">
        <v>115</v>
      </c>
      <c r="B20" s="7"/>
      <c r="C20" s="592" t="s">
        <v>116</v>
      </c>
      <c r="D20" s="592"/>
      <c r="E20" s="592"/>
      <c r="F20" s="592"/>
      <c r="G20" s="592"/>
      <c r="H20" s="593" t="s">
        <v>593</v>
      </c>
      <c r="I20" s="593"/>
      <c r="J20" s="44">
        <v>5</v>
      </c>
      <c r="K20" s="19"/>
    </row>
    <row r="21" spans="1:11" x14ac:dyDescent="0.3">
      <c r="A21" s="27" t="s">
        <v>120</v>
      </c>
      <c r="B21" s="7"/>
      <c r="C21" s="592" t="s">
        <v>121</v>
      </c>
      <c r="D21" s="592"/>
      <c r="E21" s="592"/>
      <c r="F21" s="592"/>
      <c r="G21" s="592"/>
      <c r="H21" s="593" t="s">
        <v>594</v>
      </c>
      <c r="I21" s="593"/>
      <c r="J21" s="44">
        <v>7</v>
      </c>
      <c r="K21" s="19"/>
    </row>
    <row r="22" spans="1:11" x14ac:dyDescent="0.3">
      <c r="A22" s="27"/>
      <c r="B22" s="7"/>
      <c r="C22" s="592"/>
      <c r="D22" s="592"/>
      <c r="E22" s="592"/>
      <c r="F22" s="592"/>
      <c r="G22" s="592"/>
      <c r="H22" s="593"/>
      <c r="I22" s="593"/>
      <c r="J22" s="15"/>
      <c r="K22" s="19"/>
    </row>
    <row r="23" spans="1:11" x14ac:dyDescent="0.3">
      <c r="A23" s="27"/>
      <c r="B23" s="7"/>
      <c r="C23" s="592"/>
      <c r="D23" s="592"/>
      <c r="E23" s="592"/>
      <c r="F23" s="592"/>
      <c r="G23" s="592"/>
      <c r="H23" s="593"/>
      <c r="I23" s="593"/>
      <c r="J23" s="15"/>
      <c r="K23" s="19"/>
    </row>
    <row r="24" spans="1:11" x14ac:dyDescent="0.3">
      <c r="A24" s="27" t="e">
        <f>#REF!</f>
        <v>#REF!</v>
      </c>
      <c r="B24" s="7" t="s">
        <v>58</v>
      </c>
      <c r="C24" s="592" t="s">
        <v>129</v>
      </c>
      <c r="D24" s="592"/>
      <c r="E24" s="592"/>
      <c r="F24" s="592"/>
      <c r="G24" s="592"/>
      <c r="H24" s="593" t="s">
        <v>595</v>
      </c>
      <c r="I24" s="593"/>
      <c r="J24" s="44">
        <f>6*15*0.03*7.8</f>
        <v>21.06</v>
      </c>
      <c r="K24" s="19"/>
    </row>
    <row r="25" spans="1:11" x14ac:dyDescent="0.3">
      <c r="A25" s="27" t="e">
        <f t="shared" ref="A25" si="0">#REF!</f>
        <v>#REF!</v>
      </c>
      <c r="B25" s="7" t="s">
        <v>58</v>
      </c>
      <c r="C25" s="592" t="s">
        <v>134</v>
      </c>
      <c r="D25" s="592"/>
      <c r="E25" s="592"/>
      <c r="F25" s="592"/>
      <c r="G25" s="592"/>
      <c r="H25" s="593" t="s">
        <v>596</v>
      </c>
      <c r="I25" s="593"/>
      <c r="J25" s="44">
        <f>J24</f>
        <v>21.06</v>
      </c>
      <c r="K25" s="19"/>
    </row>
    <row r="26" spans="1:11" x14ac:dyDescent="0.3">
      <c r="A26" s="27" t="e">
        <f t="shared" ref="A26" si="1">#REF!</f>
        <v>#REF!</v>
      </c>
      <c r="B26" s="7" t="s">
        <v>58</v>
      </c>
      <c r="C26" s="592" t="s">
        <v>137</v>
      </c>
      <c r="D26" s="592"/>
      <c r="E26" s="592"/>
      <c r="F26" s="592"/>
      <c r="G26" s="592"/>
      <c r="H26" s="593" t="s">
        <v>597</v>
      </c>
      <c r="I26" s="593"/>
      <c r="J26" s="44">
        <f>6*17.5*0.03*7.8</f>
        <v>24.57</v>
      </c>
      <c r="K26" s="19"/>
    </row>
    <row r="27" spans="1:11" x14ac:dyDescent="0.3">
      <c r="A27" s="27" t="e">
        <f t="shared" ref="A27" si="2">#REF!</f>
        <v>#REF!</v>
      </c>
      <c r="B27" s="7" t="s">
        <v>58</v>
      </c>
      <c r="C27" s="592" t="s">
        <v>139</v>
      </c>
      <c r="D27" s="592"/>
      <c r="E27" s="592"/>
      <c r="F27" s="592"/>
      <c r="G27" s="592"/>
      <c r="H27" s="593" t="s">
        <v>598</v>
      </c>
      <c r="I27" s="593"/>
      <c r="J27" s="44">
        <f>J26</f>
        <v>24.57</v>
      </c>
      <c r="K27" s="19"/>
    </row>
    <row r="28" spans="1:11" x14ac:dyDescent="0.3">
      <c r="A28" s="27" t="e">
        <f t="shared" ref="A28" si="3">#REF!</f>
        <v>#REF!</v>
      </c>
      <c r="B28" s="7" t="s">
        <v>70</v>
      </c>
      <c r="C28" s="592" t="s">
        <v>140</v>
      </c>
      <c r="D28" s="592"/>
      <c r="E28" s="592"/>
      <c r="F28" s="592"/>
      <c r="G28" s="592"/>
      <c r="H28" s="593" t="s">
        <v>599</v>
      </c>
      <c r="I28" s="593"/>
      <c r="J28" s="44">
        <f>2*4*0.03*7.8</f>
        <v>1.8719999999999999</v>
      </c>
      <c r="K28" s="19"/>
    </row>
    <row r="29" spans="1:11" x14ac:dyDescent="0.3">
      <c r="A29" s="27" t="e">
        <f t="shared" ref="A29" si="4">#REF!</f>
        <v>#REF!</v>
      </c>
      <c r="B29" s="7" t="s">
        <v>70</v>
      </c>
      <c r="C29" s="592" t="s">
        <v>142</v>
      </c>
      <c r="D29" s="592"/>
      <c r="E29" s="592"/>
      <c r="F29" s="592"/>
      <c r="G29" s="592"/>
      <c r="H29" s="593" t="s">
        <v>600</v>
      </c>
      <c r="I29" s="593"/>
      <c r="J29" s="44">
        <f>J28</f>
        <v>1.8719999999999999</v>
      </c>
      <c r="K29" s="19"/>
    </row>
    <row r="30" spans="1:11" x14ac:dyDescent="0.3">
      <c r="A30" s="27" t="e">
        <f t="shared" ref="A30" si="5">#REF!</f>
        <v>#REF!</v>
      </c>
      <c r="B30" s="7" t="s">
        <v>70</v>
      </c>
      <c r="C30" s="592" t="s">
        <v>143</v>
      </c>
      <c r="D30" s="592"/>
      <c r="E30" s="592"/>
      <c r="F30" s="592"/>
      <c r="G30" s="592"/>
      <c r="H30" s="593" t="s">
        <v>601</v>
      </c>
      <c r="I30" s="593"/>
      <c r="J30" s="44">
        <f>2*3*0.03*7.8</f>
        <v>1.4039999999999999</v>
      </c>
      <c r="K30" s="19"/>
    </row>
    <row r="31" spans="1:11" x14ac:dyDescent="0.3">
      <c r="A31" s="27" t="e">
        <f t="shared" ref="A31" si="6">#REF!</f>
        <v>#REF!</v>
      </c>
      <c r="B31" s="7" t="s">
        <v>70</v>
      </c>
      <c r="C31" s="592" t="s">
        <v>145</v>
      </c>
      <c r="D31" s="592"/>
      <c r="E31" s="592"/>
      <c r="F31" s="592"/>
      <c r="G31" s="592"/>
      <c r="H31" s="593" t="s">
        <v>602</v>
      </c>
      <c r="I31" s="593"/>
      <c r="J31" s="44">
        <f>J30</f>
        <v>1.4039999999999999</v>
      </c>
      <c r="K31" s="19"/>
    </row>
    <row r="32" spans="1:11" x14ac:dyDescent="0.3">
      <c r="A32" s="27"/>
      <c r="B32" s="7"/>
      <c r="C32" s="592"/>
      <c r="D32" s="592"/>
      <c r="E32" s="592"/>
      <c r="F32" s="592"/>
      <c r="G32" s="592"/>
      <c r="H32" s="593"/>
      <c r="I32" s="593"/>
      <c r="J32" s="44"/>
      <c r="K32" s="19"/>
    </row>
    <row r="33" spans="1:11" x14ac:dyDescent="0.3">
      <c r="A33" s="27"/>
      <c r="B33" s="7"/>
      <c r="C33" s="592"/>
      <c r="D33" s="592"/>
      <c r="E33" s="592"/>
      <c r="F33" s="592"/>
      <c r="G33" s="592"/>
      <c r="H33" s="593"/>
      <c r="I33" s="593"/>
      <c r="J33" s="44"/>
      <c r="K33" s="19"/>
    </row>
    <row r="34" spans="1:11" ht="15" thickBot="1" x14ac:dyDescent="0.35">
      <c r="A34" s="28" t="s">
        <v>146</v>
      </c>
      <c r="B34" s="23"/>
      <c r="C34" s="586" t="s">
        <v>147</v>
      </c>
      <c r="D34" s="586"/>
      <c r="E34" s="586"/>
      <c r="F34" s="586"/>
      <c r="G34" s="586"/>
      <c r="H34" s="587" t="s">
        <v>603</v>
      </c>
      <c r="I34" s="587"/>
      <c r="J34" s="45">
        <f>5*6*0.03*7.8</f>
        <v>7.02</v>
      </c>
      <c r="K34" s="20"/>
    </row>
  </sheetData>
  <mergeCells count="69">
    <mergeCell ref="C34:G34"/>
    <mergeCell ref="H34:I34"/>
    <mergeCell ref="C31:G31"/>
    <mergeCell ref="H31:I31"/>
    <mergeCell ref="C32:G32"/>
    <mergeCell ref="H32:I32"/>
    <mergeCell ref="C33:G33"/>
    <mergeCell ref="H33:I33"/>
    <mergeCell ref="C28:G28"/>
    <mergeCell ref="H28:I28"/>
    <mergeCell ref="C29:G29"/>
    <mergeCell ref="H29:I29"/>
    <mergeCell ref="C30:G30"/>
    <mergeCell ref="H30:I30"/>
    <mergeCell ref="C25:G25"/>
    <mergeCell ref="H25:I25"/>
    <mergeCell ref="C26:G26"/>
    <mergeCell ref="H26:I26"/>
    <mergeCell ref="C27:G27"/>
    <mergeCell ref="H27:I27"/>
    <mergeCell ref="C22:G22"/>
    <mergeCell ref="H22:I22"/>
    <mergeCell ref="C23:G23"/>
    <mergeCell ref="H23:I23"/>
    <mergeCell ref="C24:G24"/>
    <mergeCell ref="H24:I24"/>
    <mergeCell ref="C19:G19"/>
    <mergeCell ref="H19:I19"/>
    <mergeCell ref="C20:G20"/>
    <mergeCell ref="H20:I20"/>
    <mergeCell ref="C21:G21"/>
    <mergeCell ref="H21:I21"/>
    <mergeCell ref="C16:G16"/>
    <mergeCell ref="H16:I16"/>
    <mergeCell ref="C17:G17"/>
    <mergeCell ref="H17:I17"/>
    <mergeCell ref="C18:G18"/>
    <mergeCell ref="H18:I18"/>
    <mergeCell ref="C13:G13"/>
    <mergeCell ref="H13:I13"/>
    <mergeCell ref="C14:G14"/>
    <mergeCell ref="H14:I14"/>
    <mergeCell ref="C15:G15"/>
    <mergeCell ref="H15:I15"/>
    <mergeCell ref="C10:G10"/>
    <mergeCell ref="H10:I10"/>
    <mergeCell ref="C11:G11"/>
    <mergeCell ref="H11:I11"/>
    <mergeCell ref="C12:G12"/>
    <mergeCell ref="H12:I12"/>
    <mergeCell ref="C7:G7"/>
    <mergeCell ref="H7:I7"/>
    <mergeCell ref="C8:G8"/>
    <mergeCell ref="H8:I8"/>
    <mergeCell ref="C9:G9"/>
    <mergeCell ref="H9:I9"/>
    <mergeCell ref="C4:G4"/>
    <mergeCell ref="H4:I4"/>
    <mergeCell ref="C5:G5"/>
    <mergeCell ref="H5:I5"/>
    <mergeCell ref="C6:G6"/>
    <mergeCell ref="H6:I6"/>
    <mergeCell ref="A1:K1"/>
    <mergeCell ref="A2:A3"/>
    <mergeCell ref="B2:B3"/>
    <mergeCell ref="C2:G3"/>
    <mergeCell ref="H2:I3"/>
    <mergeCell ref="J2:J3"/>
    <mergeCell ref="K2:K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sheetPr>
  <dimension ref="B2:Z49"/>
  <sheetViews>
    <sheetView topLeftCell="A12" zoomScale="64" zoomScaleNormal="80" workbookViewId="0">
      <selection activeCell="W17" sqref="W17"/>
    </sheetView>
  </sheetViews>
  <sheetFormatPr defaultRowHeight="14.4" x14ac:dyDescent="0.3"/>
  <cols>
    <col min="10" max="10" width="18.33203125" customWidth="1"/>
    <col min="11" max="11" width="13.5546875" customWidth="1"/>
    <col min="12" max="12" width="11.44140625" customWidth="1"/>
  </cols>
  <sheetData>
    <row r="2" spans="2:26" ht="34.950000000000003" customHeight="1" x14ac:dyDescent="0.3">
      <c r="B2" s="590" t="s">
        <v>604</v>
      </c>
      <c r="C2" s="590"/>
      <c r="D2" s="590"/>
      <c r="E2" s="590"/>
      <c r="F2" s="590"/>
      <c r="G2" s="590"/>
      <c r="H2" s="600" t="s">
        <v>605</v>
      </c>
      <c r="I2" s="590"/>
      <c r="J2" s="590"/>
      <c r="K2" s="816" t="s">
        <v>606</v>
      </c>
      <c r="L2" s="1113" t="s">
        <v>607</v>
      </c>
      <c r="M2" s="1113"/>
      <c r="N2" s="1113"/>
      <c r="O2" s="1113"/>
      <c r="P2" s="1113"/>
      <c r="Q2" s="1113"/>
      <c r="R2" s="1113"/>
      <c r="S2" s="1113"/>
      <c r="T2" s="1113"/>
      <c r="U2" s="1113"/>
      <c r="V2" s="1113"/>
    </row>
    <row r="3" spans="2:26" ht="30.6" customHeight="1" x14ac:dyDescent="0.3">
      <c r="B3" s="590"/>
      <c r="C3" s="590"/>
      <c r="D3" s="590"/>
      <c r="E3" s="590"/>
      <c r="F3" s="590"/>
      <c r="G3" s="590"/>
      <c r="H3" s="590"/>
      <c r="I3" s="590"/>
      <c r="J3" s="590"/>
      <c r="K3" s="928"/>
      <c r="L3" s="1113"/>
      <c r="M3" s="1113"/>
      <c r="N3" s="1113"/>
      <c r="O3" s="1113"/>
      <c r="P3" s="1113"/>
      <c r="Q3" s="1113"/>
      <c r="R3" s="1113"/>
      <c r="S3" s="1113"/>
      <c r="T3" s="1113"/>
      <c r="U3" s="1113"/>
      <c r="V3" s="1113"/>
    </row>
    <row r="4" spans="2:26" ht="26.25" customHeight="1" x14ac:dyDescent="0.3">
      <c r="B4" s="592" t="s">
        <v>608</v>
      </c>
      <c r="C4" s="592"/>
      <c r="D4" s="592"/>
      <c r="E4" s="592"/>
      <c r="F4" s="592"/>
      <c r="G4" s="592"/>
      <c r="H4" s="593">
        <v>200</v>
      </c>
      <c r="I4" s="593"/>
      <c r="J4" s="593"/>
      <c r="K4" s="1110">
        <v>200</v>
      </c>
    </row>
    <row r="5" spans="2:26" ht="26.25" customHeight="1" x14ac:dyDescent="0.3">
      <c r="B5" s="592"/>
      <c r="C5" s="592"/>
      <c r="D5" s="592"/>
      <c r="E5" s="592"/>
      <c r="F5" s="592"/>
      <c r="G5" s="592"/>
      <c r="H5" s="593"/>
      <c r="I5" s="593"/>
      <c r="J5" s="593"/>
      <c r="K5" s="1111"/>
      <c r="O5" s="593" t="s">
        <v>693</v>
      </c>
      <c r="P5" s="593"/>
      <c r="Q5" s="593"/>
      <c r="R5" s="593"/>
      <c r="S5" s="593"/>
      <c r="T5" s="593"/>
    </row>
    <row r="6" spans="2:26" ht="26.25" customHeight="1" x14ac:dyDescent="0.3">
      <c r="B6" s="592" t="s">
        <v>609</v>
      </c>
      <c r="C6" s="592"/>
      <c r="D6" s="592"/>
      <c r="E6" s="592"/>
      <c r="F6" s="592"/>
      <c r="G6" s="592"/>
      <c r="H6" s="593">
        <v>80</v>
      </c>
      <c r="I6" s="593"/>
      <c r="J6" s="593"/>
      <c r="K6" s="1110">
        <v>80</v>
      </c>
      <c r="O6" s="904" t="s">
        <v>692</v>
      </c>
      <c r="P6" s="904"/>
      <c r="Q6" s="1107" t="s">
        <v>514</v>
      </c>
      <c r="R6" s="1107"/>
      <c r="S6" s="1107"/>
      <c r="T6" s="1107"/>
    </row>
    <row r="7" spans="2:26" ht="26.25" customHeight="1" x14ac:dyDescent="0.3">
      <c r="B7" s="592"/>
      <c r="C7" s="592"/>
      <c r="D7" s="592"/>
      <c r="E7" s="592"/>
      <c r="F7" s="592"/>
      <c r="G7" s="592"/>
      <c r="H7" s="593"/>
      <c r="I7" s="593"/>
      <c r="J7" s="593"/>
      <c r="K7" s="1111"/>
      <c r="O7" s="904"/>
      <c r="P7" s="904"/>
      <c r="Q7" s="1107"/>
      <c r="R7" s="1107"/>
      <c r="S7" s="1107"/>
      <c r="T7" s="1107"/>
    </row>
    <row r="8" spans="2:26" ht="26.25" customHeight="1" x14ac:dyDescent="0.3">
      <c r="B8" s="592" t="s">
        <v>610</v>
      </c>
      <c r="C8" s="592"/>
      <c r="D8" s="592"/>
      <c r="E8" s="592"/>
      <c r="F8" s="592"/>
      <c r="G8" s="592"/>
      <c r="H8" s="904" t="s">
        <v>611</v>
      </c>
      <c r="I8" s="904"/>
      <c r="J8" s="904"/>
      <c r="K8" s="1110">
        <v>47.2</v>
      </c>
      <c r="O8" s="1106" t="s">
        <v>691</v>
      </c>
      <c r="P8" s="1106"/>
      <c r="Q8" s="1105" t="s">
        <v>515</v>
      </c>
      <c r="R8" s="1105"/>
      <c r="S8" s="1105"/>
      <c r="T8" s="1105"/>
    </row>
    <row r="9" spans="2:26" ht="35.4" customHeight="1" x14ac:dyDescent="0.3">
      <c r="B9" s="592"/>
      <c r="C9" s="592"/>
      <c r="D9" s="592"/>
      <c r="E9" s="592"/>
      <c r="F9" s="592"/>
      <c r="G9" s="592"/>
      <c r="H9" s="904"/>
      <c r="I9" s="904"/>
      <c r="J9" s="904"/>
      <c r="K9" s="1111"/>
      <c r="O9" s="767" t="s">
        <v>690</v>
      </c>
      <c r="P9" s="767"/>
      <c r="Q9" s="1105" t="s">
        <v>588</v>
      </c>
      <c r="R9" s="1105"/>
      <c r="S9" s="1105"/>
      <c r="T9" s="1105"/>
    </row>
    <row r="10" spans="2:26" ht="26.25" customHeight="1" x14ac:dyDescent="0.3">
      <c r="B10" s="592" t="s">
        <v>612</v>
      </c>
      <c r="C10" s="592"/>
      <c r="D10" s="592"/>
      <c r="E10" s="592"/>
      <c r="F10" s="592"/>
      <c r="G10" s="592"/>
      <c r="H10" s="904" t="s">
        <v>613</v>
      </c>
      <c r="I10" s="904"/>
      <c r="J10" s="904"/>
      <c r="K10" s="1110">
        <f>25*Q18</f>
        <v>875</v>
      </c>
    </row>
    <row r="11" spans="2:26" ht="26.25" customHeight="1" x14ac:dyDescent="0.3">
      <c r="B11" s="592"/>
      <c r="C11" s="592"/>
      <c r="D11" s="592"/>
      <c r="E11" s="592"/>
      <c r="F11" s="592"/>
      <c r="G11" s="592"/>
      <c r="H11" s="904"/>
      <c r="I11" s="904"/>
      <c r="J11" s="904"/>
      <c r="K11" s="1111"/>
    </row>
    <row r="12" spans="2:26" ht="26.25" customHeight="1" x14ac:dyDescent="0.3">
      <c r="B12" s="592" t="s">
        <v>614</v>
      </c>
      <c r="C12" s="592"/>
      <c r="D12" s="592"/>
      <c r="E12" s="592"/>
      <c r="F12" s="592"/>
      <c r="G12" s="592"/>
      <c r="H12" s="593" t="s">
        <v>615</v>
      </c>
      <c r="I12" s="593"/>
      <c r="J12" s="593"/>
      <c r="K12" s="1110">
        <f>1.6*Q19</f>
        <v>334.40000000000003</v>
      </c>
      <c r="O12" s="919" t="s">
        <v>634</v>
      </c>
      <c r="P12" s="919"/>
      <c r="Q12" s="919" t="s">
        <v>635</v>
      </c>
      <c r="R12" s="919"/>
      <c r="S12" s="1108" t="s">
        <v>636</v>
      </c>
      <c r="T12" s="1109"/>
      <c r="U12" t="s">
        <v>674</v>
      </c>
    </row>
    <row r="13" spans="2:26" ht="26.25" customHeight="1" x14ac:dyDescent="0.3">
      <c r="B13" s="592"/>
      <c r="C13" s="592"/>
      <c r="D13" s="592"/>
      <c r="E13" s="592"/>
      <c r="F13" s="592"/>
      <c r="G13" s="592"/>
      <c r="H13" s="593"/>
      <c r="I13" s="593"/>
      <c r="J13" s="593"/>
      <c r="K13" s="1111"/>
      <c r="O13" s="919" t="s">
        <v>504</v>
      </c>
      <c r="P13" s="919"/>
      <c r="Q13" s="919">
        <f>7*2*4+2</f>
        <v>58</v>
      </c>
      <c r="R13" s="919"/>
      <c r="S13" s="776">
        <v>13</v>
      </c>
      <c r="T13" s="777"/>
      <c r="Y13" s="69"/>
      <c r="Z13" s="217"/>
    </row>
    <row r="14" spans="2:26" ht="26.25" customHeight="1" x14ac:dyDescent="0.3">
      <c r="B14" s="592" t="s">
        <v>616</v>
      </c>
      <c r="C14" s="592"/>
      <c r="D14" s="592"/>
      <c r="E14" s="592"/>
      <c r="F14" s="592"/>
      <c r="G14" s="592"/>
      <c r="H14" s="593" t="s">
        <v>617</v>
      </c>
      <c r="I14" s="593"/>
      <c r="J14" s="593"/>
      <c r="K14" s="1110">
        <f>SUM(L14:L15)</f>
        <v>52.25</v>
      </c>
      <c r="L14" s="506">
        <f>0.25*Q18</f>
        <v>8.75</v>
      </c>
      <c r="M14" s="11" t="s">
        <v>618</v>
      </c>
      <c r="O14" s="919" t="s">
        <v>42</v>
      </c>
      <c r="P14" s="919"/>
      <c r="Q14" s="919">
        <f>22*2+2</f>
        <v>46</v>
      </c>
      <c r="R14" s="919"/>
    </row>
    <row r="15" spans="2:26" ht="26.25" customHeight="1" x14ac:dyDescent="0.3">
      <c r="B15" s="592"/>
      <c r="C15" s="592"/>
      <c r="D15" s="592"/>
      <c r="E15" s="592"/>
      <c r="F15" s="592"/>
      <c r="G15" s="592"/>
      <c r="H15" s="593"/>
      <c r="I15" s="593"/>
      <c r="J15" s="593"/>
      <c r="K15" s="1111"/>
      <c r="L15" s="514">
        <f>0.25*(Q19-Q18)</f>
        <v>43.5</v>
      </c>
      <c r="M15" s="11" t="s">
        <v>619</v>
      </c>
      <c r="O15" s="919" t="s">
        <v>639</v>
      </c>
      <c r="P15" s="919"/>
      <c r="Q15" s="919">
        <f>10*2+2</f>
        <v>22</v>
      </c>
      <c r="R15" s="919"/>
    </row>
    <row r="16" spans="2:26" ht="26.25" customHeight="1" x14ac:dyDescent="0.3">
      <c r="B16" s="592" t="s">
        <v>620</v>
      </c>
      <c r="C16" s="592"/>
      <c r="D16" s="592"/>
      <c r="E16" s="592"/>
      <c r="F16" s="592"/>
      <c r="G16" s="592"/>
      <c r="H16" s="593" t="s">
        <v>621</v>
      </c>
      <c r="I16" s="593"/>
      <c r="J16" s="593"/>
      <c r="K16" s="1110">
        <f>1.5*Q19</f>
        <v>313.5</v>
      </c>
      <c r="O16" s="919" t="s">
        <v>641</v>
      </c>
      <c r="P16" s="919"/>
      <c r="Q16" s="919">
        <f>8*2+2</f>
        <v>18</v>
      </c>
      <c r="R16" s="919"/>
    </row>
    <row r="17" spans="2:18" ht="26.25" customHeight="1" x14ac:dyDescent="0.3">
      <c r="B17" s="592"/>
      <c r="C17" s="592"/>
      <c r="D17" s="592"/>
      <c r="E17" s="592"/>
      <c r="F17" s="592"/>
      <c r="G17" s="592"/>
      <c r="H17" s="593"/>
      <c r="I17" s="593"/>
      <c r="J17" s="593"/>
      <c r="K17" s="1111"/>
      <c r="O17" s="919" t="s">
        <v>644</v>
      </c>
      <c r="P17" s="919"/>
      <c r="Q17" s="919">
        <v>30</v>
      </c>
      <c r="R17" s="919"/>
    </row>
    <row r="18" spans="2:18" ht="26.25" customHeight="1" x14ac:dyDescent="0.3">
      <c r="B18" s="592" t="s">
        <v>622</v>
      </c>
      <c r="C18" s="592"/>
      <c r="D18" s="592"/>
      <c r="E18" s="592"/>
      <c r="F18" s="592"/>
      <c r="G18" s="592"/>
      <c r="H18" s="593" t="s">
        <v>623</v>
      </c>
      <c r="I18" s="593"/>
      <c r="J18" s="593"/>
      <c r="K18" s="1110">
        <f>20*4</f>
        <v>80</v>
      </c>
      <c r="O18" s="919" t="s">
        <v>618</v>
      </c>
      <c r="P18" s="919"/>
      <c r="Q18" s="919">
        <f>_xlfn.CEILING.MATH(0.2*SUM(Q13:R17))</f>
        <v>35</v>
      </c>
      <c r="R18" s="919"/>
    </row>
    <row r="19" spans="2:18" ht="26.25" customHeight="1" x14ac:dyDescent="0.3">
      <c r="B19" s="592"/>
      <c r="C19" s="592"/>
      <c r="D19" s="592"/>
      <c r="E19" s="592"/>
      <c r="F19" s="592"/>
      <c r="G19" s="592"/>
      <c r="H19" s="593"/>
      <c r="I19" s="593"/>
      <c r="J19" s="593"/>
      <c r="K19" s="1111"/>
      <c r="O19" s="919" t="s">
        <v>568</v>
      </c>
      <c r="P19" s="919"/>
      <c r="Q19" s="919">
        <f>SUM(Q13:R18)</f>
        <v>209</v>
      </c>
      <c r="R19" s="919"/>
    </row>
    <row r="20" spans="2:18" ht="26.25" customHeight="1" x14ac:dyDescent="0.3">
      <c r="B20" s="592" t="s">
        <v>624</v>
      </c>
      <c r="C20" s="592"/>
      <c r="D20" s="592"/>
      <c r="E20" s="592"/>
      <c r="F20" s="592"/>
      <c r="G20" s="592"/>
      <c r="H20" s="593" t="s">
        <v>625</v>
      </c>
      <c r="I20" s="593"/>
      <c r="J20" s="593"/>
      <c r="K20" s="1110">
        <v>80</v>
      </c>
    </row>
    <row r="21" spans="2:18" ht="26.25" customHeight="1" x14ac:dyDescent="0.3">
      <c r="B21" s="592"/>
      <c r="C21" s="592"/>
      <c r="D21" s="592"/>
      <c r="E21" s="592"/>
      <c r="F21" s="592"/>
      <c r="G21" s="592"/>
      <c r="H21" s="593"/>
      <c r="I21" s="593"/>
      <c r="J21" s="593"/>
      <c r="K21" s="1111"/>
    </row>
    <row r="22" spans="2:18" x14ac:dyDescent="0.3">
      <c r="B22" s="592" t="s">
        <v>626</v>
      </c>
      <c r="C22" s="592"/>
      <c r="D22" s="592"/>
      <c r="E22" s="592"/>
      <c r="F22" s="592"/>
      <c r="G22" s="592"/>
      <c r="H22" s="904" t="s">
        <v>627</v>
      </c>
      <c r="I22" s="593"/>
      <c r="J22" s="593"/>
      <c r="K22" s="1110">
        <f>5*S13</f>
        <v>65</v>
      </c>
      <c r="L22" s="764"/>
    </row>
    <row r="23" spans="2:18" x14ac:dyDescent="0.3">
      <c r="B23" s="1114"/>
      <c r="C23" s="1114"/>
      <c r="D23" s="1114"/>
      <c r="E23" s="1114"/>
      <c r="F23" s="1114"/>
      <c r="G23" s="1114"/>
      <c r="H23" s="1115"/>
      <c r="I23" s="1115"/>
      <c r="J23" s="1115"/>
      <c r="K23" s="1111"/>
      <c r="L23" s="764"/>
    </row>
    <row r="24" spans="2:18" ht="28.2" customHeight="1" x14ac:dyDescent="0.3">
      <c r="B24" s="593"/>
      <c r="C24" s="593"/>
      <c r="D24" s="593"/>
      <c r="E24" s="593"/>
      <c r="F24" s="593"/>
      <c r="G24" s="593"/>
      <c r="H24" s="593"/>
      <c r="I24" s="593"/>
      <c r="J24" s="593"/>
      <c r="K24" s="585" t="s">
        <v>694</v>
      </c>
      <c r="L24" s="585" t="s">
        <v>695</v>
      </c>
    </row>
    <row r="25" spans="2:18" x14ac:dyDescent="0.3">
      <c r="B25" s="592" t="s">
        <v>628</v>
      </c>
      <c r="C25" s="592"/>
      <c r="D25" s="592"/>
      <c r="E25" s="592"/>
      <c r="F25" s="592"/>
      <c r="G25" s="592"/>
      <c r="H25" s="919" t="s">
        <v>629</v>
      </c>
      <c r="I25" s="919"/>
      <c r="J25" s="919"/>
      <c r="K25" s="1112">
        <f>L25*20</f>
        <v>2100</v>
      </c>
      <c r="L25" s="1112">
        <f>_xlfn.CEILING.MATH(0.5*Q19)</f>
        <v>105</v>
      </c>
    </row>
    <row r="26" spans="2:18" x14ac:dyDescent="0.3">
      <c r="B26" s="592"/>
      <c r="C26" s="592"/>
      <c r="D26" s="592"/>
      <c r="E26" s="592"/>
      <c r="F26" s="592"/>
      <c r="G26" s="592"/>
      <c r="H26" s="919"/>
      <c r="I26" s="919"/>
      <c r="J26" s="919"/>
      <c r="K26" s="1112"/>
      <c r="L26" s="1112"/>
    </row>
    <row r="27" spans="2:18" x14ac:dyDescent="0.3">
      <c r="B27" s="592" t="s">
        <v>630</v>
      </c>
      <c r="C27" s="592"/>
      <c r="D27" s="592"/>
      <c r="E27" s="592"/>
      <c r="F27" s="592"/>
      <c r="G27" s="592"/>
      <c r="H27" s="919" t="s">
        <v>631</v>
      </c>
      <c r="I27" s="919"/>
      <c r="J27" s="919"/>
      <c r="K27" s="543">
        <f>L27*3</f>
        <v>63</v>
      </c>
      <c r="L27" s="543">
        <f>_xlfn.CEILING.MATH(0.1*Q19)</f>
        <v>21</v>
      </c>
    </row>
    <row r="30" spans="2:18" x14ac:dyDescent="0.3">
      <c r="B30" s="639" t="s">
        <v>149</v>
      </c>
      <c r="C30" s="1119"/>
      <c r="D30" s="1119"/>
      <c r="E30" s="1119"/>
      <c r="F30" s="1119"/>
      <c r="G30" s="1119" t="s">
        <v>632</v>
      </c>
      <c r="H30" s="1119" t="s">
        <v>633</v>
      </c>
      <c r="I30" s="1120"/>
    </row>
    <row r="31" spans="2:18" x14ac:dyDescent="0.3">
      <c r="B31" s="640"/>
      <c r="C31" s="643"/>
      <c r="D31" s="643"/>
      <c r="E31" s="643"/>
      <c r="F31" s="643"/>
      <c r="G31" s="643"/>
      <c r="H31" s="643"/>
      <c r="I31" s="1121"/>
    </row>
    <row r="32" spans="2:18" x14ac:dyDescent="0.3">
      <c r="B32" s="1116" t="s">
        <v>637</v>
      </c>
      <c r="C32" s="592"/>
      <c r="D32" s="592"/>
      <c r="E32" s="592"/>
      <c r="F32" s="592"/>
      <c r="G32" s="18" t="s">
        <v>638</v>
      </c>
      <c r="H32" s="1117">
        <v>150000</v>
      </c>
      <c r="I32" s="1118"/>
    </row>
    <row r="33" spans="2:14" x14ac:dyDescent="0.3">
      <c r="B33" s="1116" t="s">
        <v>220</v>
      </c>
      <c r="C33" s="592"/>
      <c r="D33" s="592"/>
      <c r="E33" s="592"/>
      <c r="F33" s="592"/>
      <c r="G33" s="18" t="s">
        <v>638</v>
      </c>
      <c r="H33" s="1117">
        <v>60000</v>
      </c>
      <c r="I33" s="1118"/>
    </row>
    <row r="34" spans="2:14" x14ac:dyDescent="0.3">
      <c r="B34" s="1116" t="s">
        <v>640</v>
      </c>
      <c r="C34" s="592"/>
      <c r="D34" s="592"/>
      <c r="E34" s="592"/>
      <c r="F34" s="592"/>
      <c r="G34" s="18" t="s">
        <v>638</v>
      </c>
      <c r="H34" s="1117">
        <v>30000</v>
      </c>
      <c r="I34" s="1118"/>
    </row>
    <row r="35" spans="2:14" x14ac:dyDescent="0.3">
      <c r="B35" s="1116" t="s">
        <v>642</v>
      </c>
      <c r="C35" s="592"/>
      <c r="D35" s="592"/>
      <c r="E35" s="592"/>
      <c r="F35" s="592"/>
      <c r="G35" s="18" t="s">
        <v>643</v>
      </c>
      <c r="H35" s="1117">
        <v>6000</v>
      </c>
      <c r="I35" s="1118"/>
    </row>
    <row r="36" spans="2:14" x14ac:dyDescent="0.3">
      <c r="B36" s="1116" t="s">
        <v>645</v>
      </c>
      <c r="C36" s="592"/>
      <c r="D36" s="592"/>
      <c r="E36" s="592"/>
      <c r="F36" s="592"/>
      <c r="G36" s="18" t="s">
        <v>646</v>
      </c>
      <c r="H36" s="1117">
        <v>1000</v>
      </c>
      <c r="I36" s="1118"/>
    </row>
    <row r="37" spans="2:14" x14ac:dyDescent="0.3">
      <c r="B37" s="1116" t="s">
        <v>647</v>
      </c>
      <c r="C37" s="592"/>
      <c r="D37" s="592"/>
      <c r="E37" s="592"/>
      <c r="F37" s="592"/>
      <c r="G37" s="18" t="s">
        <v>646</v>
      </c>
      <c r="H37" s="1117">
        <v>410</v>
      </c>
      <c r="I37" s="1118"/>
    </row>
    <row r="38" spans="2:14" x14ac:dyDescent="0.3">
      <c r="B38" s="1116" t="s">
        <v>648</v>
      </c>
      <c r="C38" s="592"/>
      <c r="D38" s="592"/>
      <c r="E38" s="592"/>
      <c r="F38" s="592"/>
      <c r="G38" s="18" t="s">
        <v>649</v>
      </c>
      <c r="H38" s="1117">
        <v>100</v>
      </c>
      <c r="I38" s="1118"/>
    </row>
    <row r="39" spans="2:14" x14ac:dyDescent="0.3">
      <c r="B39" s="1116" t="s">
        <v>650</v>
      </c>
      <c r="C39" s="592"/>
      <c r="D39" s="592"/>
      <c r="E39" s="592"/>
      <c r="F39" s="592"/>
      <c r="G39" s="18" t="s">
        <v>649</v>
      </c>
      <c r="H39" s="1117">
        <v>80</v>
      </c>
      <c r="I39" s="1118"/>
    </row>
    <row r="40" spans="2:14" x14ac:dyDescent="0.3">
      <c r="B40" s="1116" t="s">
        <v>651</v>
      </c>
      <c r="C40" s="592"/>
      <c r="D40" s="592"/>
      <c r="E40" s="592"/>
      <c r="F40" s="592"/>
      <c r="G40" s="18" t="s">
        <v>649</v>
      </c>
      <c r="H40" s="1117">
        <v>400</v>
      </c>
      <c r="I40" s="1118"/>
      <c r="K40" s="690"/>
      <c r="L40" s="690"/>
      <c r="M40" s="690"/>
      <c r="N40" s="690"/>
    </row>
    <row r="41" spans="2:14" x14ac:dyDescent="0.3">
      <c r="B41" s="1116" t="s">
        <v>652</v>
      </c>
      <c r="C41" s="592"/>
      <c r="D41" s="592"/>
      <c r="E41" s="592"/>
      <c r="F41" s="592"/>
      <c r="G41" s="18" t="s">
        <v>638</v>
      </c>
      <c r="H41" s="1117">
        <v>24000</v>
      </c>
      <c r="I41" s="1118"/>
      <c r="K41" s="690"/>
      <c r="L41" s="690"/>
      <c r="M41" s="690"/>
      <c r="N41" s="690"/>
    </row>
    <row r="42" spans="2:14" x14ac:dyDescent="0.3">
      <c r="B42" s="1116" t="s">
        <v>653</v>
      </c>
      <c r="C42" s="592"/>
      <c r="D42" s="592"/>
      <c r="E42" s="592"/>
      <c r="F42" s="592"/>
      <c r="G42" s="18" t="s">
        <v>638</v>
      </c>
      <c r="H42" s="1117">
        <v>30000</v>
      </c>
      <c r="I42" s="1118"/>
      <c r="K42" s="690"/>
      <c r="L42" s="690"/>
      <c r="M42" s="690"/>
      <c r="N42" s="690"/>
    </row>
    <row r="43" spans="2:14" x14ac:dyDescent="0.3">
      <c r="B43" s="1116" t="s">
        <v>654</v>
      </c>
      <c r="C43" s="592"/>
      <c r="D43" s="592"/>
      <c r="E43" s="592"/>
      <c r="F43" s="592"/>
      <c r="G43" s="18" t="s">
        <v>638</v>
      </c>
      <c r="H43" s="1117">
        <v>165000</v>
      </c>
      <c r="I43" s="1118"/>
      <c r="K43" s="690"/>
      <c r="L43" s="690"/>
      <c r="M43" s="690"/>
      <c r="N43" s="690"/>
    </row>
    <row r="44" spans="2:14" x14ac:dyDescent="0.3">
      <c r="B44" s="1116" t="s">
        <v>655</v>
      </c>
      <c r="C44" s="592"/>
      <c r="D44" s="592"/>
      <c r="E44" s="592"/>
      <c r="F44" s="592"/>
      <c r="G44" s="18" t="s">
        <v>643</v>
      </c>
      <c r="H44" s="1117">
        <v>600</v>
      </c>
      <c r="I44" s="1118"/>
    </row>
    <row r="45" spans="2:14" x14ac:dyDescent="0.3">
      <c r="B45" s="1116" t="s">
        <v>656</v>
      </c>
      <c r="C45" s="592"/>
      <c r="D45" s="592"/>
      <c r="E45" s="592"/>
      <c r="F45" s="592"/>
      <c r="G45" s="18" t="s">
        <v>643</v>
      </c>
      <c r="H45" s="1117">
        <v>2500</v>
      </c>
      <c r="I45" s="1118"/>
    </row>
    <row r="46" spans="2:14" x14ac:dyDescent="0.3">
      <c r="B46" s="1116" t="s">
        <v>657</v>
      </c>
      <c r="C46" s="592"/>
      <c r="D46" s="592"/>
      <c r="E46" s="592"/>
      <c r="F46" s="592"/>
      <c r="G46" s="18" t="s">
        <v>643</v>
      </c>
      <c r="H46" s="1117">
        <v>950</v>
      </c>
      <c r="I46" s="1118"/>
    </row>
    <row r="47" spans="2:14" x14ac:dyDescent="0.3">
      <c r="B47" s="1116" t="s">
        <v>658</v>
      </c>
      <c r="C47" s="592"/>
      <c r="D47" s="592"/>
      <c r="E47" s="592"/>
      <c r="F47" s="592"/>
      <c r="G47" s="18" t="s">
        <v>638</v>
      </c>
      <c r="H47" s="1117">
        <v>9700</v>
      </c>
      <c r="I47" s="1118"/>
    </row>
    <row r="48" spans="2:14" x14ac:dyDescent="0.3">
      <c r="B48" s="1116" t="s">
        <v>659</v>
      </c>
      <c r="C48" s="592"/>
      <c r="D48" s="592"/>
      <c r="E48" s="592"/>
      <c r="F48" s="592"/>
      <c r="G48" s="18" t="s">
        <v>638</v>
      </c>
      <c r="H48" s="1117">
        <v>3500</v>
      </c>
      <c r="I48" s="1118"/>
    </row>
    <row r="49" spans="2:9" x14ac:dyDescent="0.3">
      <c r="B49" s="1122" t="s">
        <v>660</v>
      </c>
      <c r="C49" s="586"/>
      <c r="D49" s="586"/>
      <c r="E49" s="586"/>
      <c r="F49" s="586"/>
      <c r="G49" s="24" t="s">
        <v>638</v>
      </c>
      <c r="H49" s="1123">
        <v>2800</v>
      </c>
      <c r="I49" s="1124"/>
    </row>
  </sheetData>
  <mergeCells count="114">
    <mergeCell ref="M43:N43"/>
    <mergeCell ref="K42:L42"/>
    <mergeCell ref="K43:L43"/>
    <mergeCell ref="K40:L40"/>
    <mergeCell ref="M40:N40"/>
    <mergeCell ref="K41:L41"/>
    <mergeCell ref="M41:N41"/>
    <mergeCell ref="M42:N42"/>
    <mergeCell ref="O14:P14"/>
    <mergeCell ref="O18:P18"/>
    <mergeCell ref="O19:P19"/>
    <mergeCell ref="O15:P15"/>
    <mergeCell ref="O16:P16"/>
    <mergeCell ref="O17:P17"/>
    <mergeCell ref="B44:F44"/>
    <mergeCell ref="H44:I44"/>
    <mergeCell ref="B45:F45"/>
    <mergeCell ref="H45:I45"/>
    <mergeCell ref="B49:F49"/>
    <mergeCell ref="H49:I49"/>
    <mergeCell ref="B46:F46"/>
    <mergeCell ref="H46:I46"/>
    <mergeCell ref="B47:F47"/>
    <mergeCell ref="H47:I47"/>
    <mergeCell ref="B48:F48"/>
    <mergeCell ref="H48:I48"/>
    <mergeCell ref="B39:F39"/>
    <mergeCell ref="H39:I39"/>
    <mergeCell ref="B40:F40"/>
    <mergeCell ref="H40:I40"/>
    <mergeCell ref="B41:F41"/>
    <mergeCell ref="H41:I41"/>
    <mergeCell ref="B42:F42"/>
    <mergeCell ref="H42:I42"/>
    <mergeCell ref="B43:F43"/>
    <mergeCell ref="H43:I43"/>
    <mergeCell ref="B34:F34"/>
    <mergeCell ref="H34:I34"/>
    <mergeCell ref="B35:F35"/>
    <mergeCell ref="H35:I35"/>
    <mergeCell ref="B36:F36"/>
    <mergeCell ref="H36:I36"/>
    <mergeCell ref="B37:F37"/>
    <mergeCell ref="H37:I37"/>
    <mergeCell ref="B38:F38"/>
    <mergeCell ref="H38:I38"/>
    <mergeCell ref="B32:F32"/>
    <mergeCell ref="H32:I32"/>
    <mergeCell ref="B33:F33"/>
    <mergeCell ref="H33:I33"/>
    <mergeCell ref="B30:F31"/>
    <mergeCell ref="G30:G31"/>
    <mergeCell ref="H30:I31"/>
    <mergeCell ref="B14:G15"/>
    <mergeCell ref="H14:J15"/>
    <mergeCell ref="B16:G17"/>
    <mergeCell ref="H16:J17"/>
    <mergeCell ref="B18:G19"/>
    <mergeCell ref="H18:J19"/>
    <mergeCell ref="B25:G26"/>
    <mergeCell ref="H25:J26"/>
    <mergeCell ref="B27:G27"/>
    <mergeCell ref="H27:J27"/>
    <mergeCell ref="B10:G11"/>
    <mergeCell ref="H10:J11"/>
    <mergeCell ref="B12:G13"/>
    <mergeCell ref="H12:J13"/>
    <mergeCell ref="B2:G3"/>
    <mergeCell ref="H2:J3"/>
    <mergeCell ref="B4:G5"/>
    <mergeCell ref="H4:J5"/>
    <mergeCell ref="B6:G7"/>
    <mergeCell ref="H6:J7"/>
    <mergeCell ref="K25:K26"/>
    <mergeCell ref="L25:L26"/>
    <mergeCell ref="O9:P9"/>
    <mergeCell ref="Q9:T9"/>
    <mergeCell ref="K2:K3"/>
    <mergeCell ref="K4:K5"/>
    <mergeCell ref="K6:K7"/>
    <mergeCell ref="K8:K9"/>
    <mergeCell ref="K10:K11"/>
    <mergeCell ref="L2:V3"/>
    <mergeCell ref="K22:K23"/>
    <mergeCell ref="Q14:R14"/>
    <mergeCell ref="Q18:R18"/>
    <mergeCell ref="Q19:R19"/>
    <mergeCell ref="Q15:R15"/>
    <mergeCell ref="Q16:R16"/>
    <mergeCell ref="Q17:R17"/>
    <mergeCell ref="O5:T5"/>
    <mergeCell ref="L22:L23"/>
    <mergeCell ref="B24:J24"/>
    <mergeCell ref="Q8:T8"/>
    <mergeCell ref="O6:P7"/>
    <mergeCell ref="O8:P8"/>
    <mergeCell ref="Q6:T7"/>
    <mergeCell ref="S12:T12"/>
    <mergeCell ref="S13:T13"/>
    <mergeCell ref="K12:K13"/>
    <mergeCell ref="K14:K15"/>
    <mergeCell ref="K16:K17"/>
    <mergeCell ref="K18:K19"/>
    <mergeCell ref="K20:K21"/>
    <mergeCell ref="O12:P12"/>
    <mergeCell ref="Q12:R12"/>
    <mergeCell ref="O13:P13"/>
    <mergeCell ref="Q13:R13"/>
    <mergeCell ref="B20:G21"/>
    <mergeCell ref="H20:J21"/>
    <mergeCell ref="B22:G23"/>
    <mergeCell ref="H22:J23"/>
    <mergeCell ref="B8:G9"/>
    <mergeCell ref="H8:J9"/>
  </mergeCells>
  <hyperlinks>
    <hyperlink ref="Q6" r:id="rId1" xr:uid="{9E994A27-F156-4094-AACF-54F9BD994747}"/>
    <hyperlink ref="Q8" r:id="rId2" display="https://www.gaesco.it/scaffali-portapallet?gad_source=1&amp;gclid=CjwKCAiA1fqrBhA1EiwAMU5m_8DlHw3anCP_I8BOdwERmPFlwSR3jtrnDDPxFvy6Yh8wKulQmx5jthoC0H8QAvD_BwE" xr:uid="{D868620E-1CBE-4655-A5D4-8B08F461DA69}"/>
    <hyperlink ref="Q9" r:id="rId3" xr:uid="{C7D167AD-8B97-43F2-ABD5-8E8A0C93385C}"/>
  </hyperlinks>
  <pageMargins left="0.7" right="0.7" top="0.75" bottom="0.75" header="0.3" footer="0.3"/>
  <pageSetup paperSize="9"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3479D-32FF-4B73-968B-E98A3C8B552E}">
  <sheetPr filterMode="1"/>
  <dimension ref="A1:BA72"/>
  <sheetViews>
    <sheetView tabSelected="1" zoomScale="39" zoomScaleNormal="41" workbookViewId="0">
      <pane ySplit="1" topLeftCell="A25" activePane="bottomLeft" state="frozen"/>
      <selection activeCell="U47" sqref="U47"/>
      <selection pane="bottomLeft" activeCell="S72" sqref="A53:S72"/>
    </sheetView>
  </sheetViews>
  <sheetFormatPr defaultRowHeight="14.4" x14ac:dyDescent="0.3"/>
  <cols>
    <col min="1" max="5" width="4.5546875" customWidth="1"/>
    <col min="6" max="6" width="16.109375" customWidth="1"/>
    <col min="7" max="7" width="12.88671875" customWidth="1"/>
    <col min="15" max="15" width="16" customWidth="1"/>
    <col min="16" max="16" width="14.6640625" customWidth="1"/>
    <col min="17" max="17" width="18" customWidth="1"/>
    <col min="18" max="18" width="11.6640625" customWidth="1"/>
    <col min="19" max="19" width="17" customWidth="1"/>
    <col min="22" max="22" width="10.5546875" bestFit="1" customWidth="1"/>
    <col min="49" max="49" width="12.88671875" customWidth="1"/>
  </cols>
  <sheetData>
    <row r="1" spans="1:51" ht="14.4" customHeight="1" x14ac:dyDescent="0.3">
      <c r="F1" s="13" t="s">
        <v>77</v>
      </c>
      <c r="G1" s="13" t="s">
        <v>169</v>
      </c>
      <c r="H1" s="82" t="s">
        <v>170</v>
      </c>
      <c r="I1" s="658" t="s">
        <v>149</v>
      </c>
      <c r="J1" s="658"/>
      <c r="K1" s="658"/>
      <c r="L1" s="658"/>
      <c r="M1" s="658"/>
      <c r="N1" s="658"/>
      <c r="O1" s="13" t="s">
        <v>171</v>
      </c>
      <c r="P1" s="25" t="s">
        <v>172</v>
      </c>
      <c r="Q1" s="25" t="s">
        <v>173</v>
      </c>
      <c r="R1" s="25"/>
    </row>
    <row r="2" spans="1:51" ht="16.5" customHeight="1" x14ac:dyDescent="0.3">
      <c r="A2" s="1"/>
      <c r="B2" s="1"/>
      <c r="C2" s="1"/>
      <c r="D2" s="1"/>
      <c r="E2" s="1"/>
      <c r="F2" s="82"/>
      <c r="G2" s="82"/>
      <c r="H2" s="82"/>
      <c r="I2" s="82"/>
      <c r="J2" s="82"/>
      <c r="K2" s="82"/>
      <c r="L2" s="82"/>
      <c r="M2" s="82"/>
      <c r="N2" s="82"/>
      <c r="O2" s="82"/>
      <c r="P2" s="13" t="s">
        <v>174</v>
      </c>
      <c r="Q2" s="13" t="s">
        <v>174</v>
      </c>
      <c r="R2" s="13"/>
    </row>
    <row r="3" spans="1:51" ht="15" customHeight="1" x14ac:dyDescent="0.3">
      <c r="A3" s="78" t="s">
        <v>175</v>
      </c>
      <c r="B3" s="1"/>
      <c r="C3" s="1"/>
      <c r="D3" s="1"/>
      <c r="E3" s="1"/>
      <c r="F3" s="95" t="s">
        <v>77</v>
      </c>
      <c r="G3" s="96" t="s">
        <v>169</v>
      </c>
      <c r="H3" s="13" t="s">
        <v>170</v>
      </c>
      <c r="I3" s="659" t="s">
        <v>149</v>
      </c>
      <c r="J3" s="659"/>
      <c r="K3" s="659"/>
      <c r="L3" s="659"/>
      <c r="M3" s="659"/>
      <c r="N3" s="659"/>
      <c r="O3" s="2"/>
      <c r="P3" s="97" t="s">
        <v>172</v>
      </c>
      <c r="Q3" s="97" t="s">
        <v>173</v>
      </c>
      <c r="R3" s="97"/>
    </row>
    <row r="4" spans="1:51" ht="46.2" x14ac:dyDescent="0.85">
      <c r="A4" s="98">
        <v>1</v>
      </c>
      <c r="B4" s="98"/>
      <c r="C4" s="98"/>
      <c r="D4" s="98"/>
      <c r="E4" s="98"/>
      <c r="F4" s="99" t="str">
        <f>'$_DATI_BASE'!Y71</f>
        <v>INTASS001</v>
      </c>
      <c r="G4" s="100"/>
      <c r="H4" s="99" t="s">
        <v>152</v>
      </c>
      <c r="I4" s="657" t="s">
        <v>86</v>
      </c>
      <c r="J4" s="657"/>
      <c r="K4" s="657"/>
      <c r="L4" s="657"/>
      <c r="M4" s="657"/>
      <c r="N4" s="657"/>
      <c r="O4" s="101">
        <f>_xlfn.CEILING.MATH('$_DATI_BASE'!J18)</f>
        <v>14234</v>
      </c>
      <c r="P4" s="102">
        <f>O4/O5</f>
        <v>14234</v>
      </c>
      <c r="Q4" s="103">
        <f>O4/O5</f>
        <v>14234</v>
      </c>
      <c r="T4">
        <v>648</v>
      </c>
      <c r="AA4" s="650" t="s">
        <v>176</v>
      </c>
      <c r="AB4" s="650"/>
      <c r="AC4" s="650"/>
      <c r="AD4" s="650"/>
      <c r="AE4" s="650"/>
      <c r="AF4" s="650"/>
      <c r="AG4" s="650"/>
      <c r="AH4" s="650"/>
      <c r="AI4" s="650"/>
      <c r="AJ4" s="650"/>
      <c r="AK4" s="650"/>
      <c r="AL4" s="650"/>
      <c r="AM4" s="650"/>
      <c r="AS4" s="650" t="s">
        <v>177</v>
      </c>
      <c r="AT4" s="650"/>
      <c r="AU4" s="650"/>
      <c r="AV4" s="650"/>
      <c r="AW4" s="650"/>
      <c r="AX4" s="650"/>
      <c r="AY4" s="650"/>
    </row>
    <row r="5" spans="1:51" x14ac:dyDescent="0.3">
      <c r="A5" s="98"/>
      <c r="B5" s="98" t="s">
        <v>178</v>
      </c>
      <c r="C5" s="98"/>
      <c r="D5" s="98"/>
      <c r="E5" s="98"/>
      <c r="F5" s="1" t="s">
        <v>83</v>
      </c>
      <c r="G5" s="1" t="str">
        <f t="shared" ref="G5:G11" si="0">F4</f>
        <v>INTASS001</v>
      </c>
      <c r="H5" s="1" t="s">
        <v>178</v>
      </c>
      <c r="I5" s="649" t="s">
        <v>179</v>
      </c>
      <c r="J5" s="649"/>
      <c r="K5" s="649"/>
      <c r="L5" s="649"/>
      <c r="M5" s="649"/>
      <c r="N5" s="649"/>
      <c r="O5" s="105">
        <f>'$_DATI_BASE'!$U$16</f>
        <v>1</v>
      </c>
      <c r="P5" s="106"/>
      <c r="Q5" s="106"/>
      <c r="R5" s="2"/>
    </row>
    <row r="6" spans="1:51" ht="21.6" customHeight="1" x14ac:dyDescent="0.45">
      <c r="A6" s="98"/>
      <c r="B6" s="98">
        <v>2</v>
      </c>
      <c r="C6" s="98"/>
      <c r="D6" s="98"/>
      <c r="E6" s="98"/>
      <c r="F6" s="1" t="str">
        <f>'$_DATI_BASE'!Y72</f>
        <v>INTSAL001</v>
      </c>
      <c r="G6" s="1" t="str">
        <f t="shared" si="0"/>
        <v>INTASS001-10</v>
      </c>
      <c r="H6" s="1" t="s">
        <v>152</v>
      </c>
      <c r="I6" s="647" t="s">
        <v>153</v>
      </c>
      <c r="J6" s="647"/>
      <c r="K6" s="647"/>
      <c r="L6" s="647"/>
      <c r="M6" s="647"/>
      <c r="N6" s="647"/>
      <c r="O6" s="107">
        <f>'$_DATI_BASE'!AH72</f>
        <v>1</v>
      </c>
      <c r="P6" s="106">
        <f>$P$4*O6</f>
        <v>14234</v>
      </c>
      <c r="Q6" s="106">
        <f>_xlfn.CEILING.MATH((Q4*O6)/O5)</f>
        <v>14234</v>
      </c>
      <c r="R6" s="2"/>
      <c r="T6" s="108"/>
      <c r="U6" s="109" t="s">
        <v>180</v>
      </c>
    </row>
    <row r="7" spans="1:51" ht="20.399999999999999" customHeight="1" x14ac:dyDescent="0.45">
      <c r="A7" s="98"/>
      <c r="B7" s="98" t="s">
        <v>178</v>
      </c>
      <c r="C7" s="98"/>
      <c r="D7" s="98"/>
      <c r="E7" s="98"/>
      <c r="F7" s="1" t="s">
        <v>94</v>
      </c>
      <c r="G7" s="1" t="str">
        <f t="shared" si="0"/>
        <v>INTSAL001</v>
      </c>
      <c r="H7" s="1" t="s">
        <v>178</v>
      </c>
      <c r="I7" s="649" t="s">
        <v>181</v>
      </c>
      <c r="J7" s="649"/>
      <c r="K7" s="649"/>
      <c r="L7" s="649"/>
      <c r="M7" s="649"/>
      <c r="N7" s="649"/>
      <c r="O7" s="105">
        <f>'$_DATI_BASE'!$U$20</f>
        <v>0.97</v>
      </c>
      <c r="P7" s="106"/>
      <c r="Q7" s="106"/>
      <c r="R7" s="2"/>
      <c r="T7" s="110"/>
      <c r="U7" s="109" t="s">
        <v>182</v>
      </c>
    </row>
    <row r="8" spans="1:51" x14ac:dyDescent="0.3">
      <c r="A8" s="155"/>
      <c r="B8" s="156"/>
      <c r="C8" s="156">
        <v>3</v>
      </c>
      <c r="D8" s="156"/>
      <c r="E8" s="156"/>
      <c r="F8" s="157" t="str">
        <f>'$_DATI_BASE'!Y73</f>
        <v>INTPSP001</v>
      </c>
      <c r="G8" s="157" t="str">
        <f t="shared" si="0"/>
        <v>INTSAL001-10</v>
      </c>
      <c r="H8" s="157" t="s">
        <v>152</v>
      </c>
      <c r="I8" s="654" t="s">
        <v>154</v>
      </c>
      <c r="J8" s="654"/>
      <c r="K8" s="654"/>
      <c r="L8" s="654"/>
      <c r="M8" s="654"/>
      <c r="N8" s="654"/>
      <c r="O8" s="158">
        <f>'$_DATI_BASE'!AH73</f>
        <v>1</v>
      </c>
      <c r="P8" s="159">
        <f>$P$6*O8</f>
        <v>14234</v>
      </c>
      <c r="Q8" s="159">
        <f>_xlfn.CEILING.MATH((Q6*O8)/O7)</f>
        <v>14675</v>
      </c>
      <c r="R8" s="2"/>
    </row>
    <row r="9" spans="1:51" x14ac:dyDescent="0.3">
      <c r="A9" s="160"/>
      <c r="B9" s="98"/>
      <c r="C9" s="98"/>
      <c r="D9" s="98" t="s">
        <v>178</v>
      </c>
      <c r="E9" s="98"/>
      <c r="F9" s="1" t="s">
        <v>105</v>
      </c>
      <c r="G9" s="1" t="str">
        <f t="shared" si="0"/>
        <v>INTPSP001</v>
      </c>
      <c r="H9" s="1" t="s">
        <v>178</v>
      </c>
      <c r="I9" s="649" t="s">
        <v>183</v>
      </c>
      <c r="J9" s="649"/>
      <c r="K9" s="649"/>
      <c r="L9" s="649"/>
      <c r="M9" s="649"/>
      <c r="N9" s="649"/>
      <c r="O9" s="105">
        <f>'$_DATI_BASE'!$U$26</f>
        <v>0.98</v>
      </c>
      <c r="P9" s="106"/>
      <c r="Q9" s="564">
        <f>Q8</f>
        <v>14675</v>
      </c>
      <c r="R9" s="149"/>
      <c r="S9" s="566"/>
      <c r="T9" s="2"/>
      <c r="U9" s="131"/>
      <c r="W9" s="149"/>
    </row>
    <row r="10" spans="1:51" x14ac:dyDescent="0.3">
      <c r="A10" s="160"/>
      <c r="B10" s="98"/>
      <c r="C10" s="98"/>
      <c r="D10" s="98" t="s">
        <v>178</v>
      </c>
      <c r="E10" s="98"/>
      <c r="F10" s="1" t="s">
        <v>110</v>
      </c>
      <c r="G10" s="1" t="str">
        <f t="shared" si="0"/>
        <v>INTPSP001-20</v>
      </c>
      <c r="H10" s="1" t="s">
        <v>178</v>
      </c>
      <c r="I10" s="649" t="s">
        <v>109</v>
      </c>
      <c r="J10" s="649"/>
      <c r="K10" s="649"/>
      <c r="L10" s="649"/>
      <c r="M10" s="649"/>
      <c r="N10" s="649"/>
      <c r="O10" s="105">
        <f>'$_DATI_BASE'!$U$28</f>
        <v>0.99</v>
      </c>
      <c r="P10" s="106"/>
      <c r="Q10" s="565">
        <f>_xlfn.CEILING.MATH(Q8/O9)</f>
        <v>14975</v>
      </c>
      <c r="R10" s="149"/>
      <c r="S10" s="149"/>
      <c r="U10" s="131"/>
      <c r="V10" s="149"/>
    </row>
    <row r="11" spans="1:51" x14ac:dyDescent="0.3">
      <c r="A11" s="160"/>
      <c r="B11" s="98"/>
      <c r="C11" s="98"/>
      <c r="D11" s="98">
        <v>4</v>
      </c>
      <c r="E11" s="98"/>
      <c r="F11" s="1" t="str">
        <f>'$_DATI_BASE'!Y74</f>
        <v>ESTLAM001</v>
      </c>
      <c r="G11" s="1" t="str">
        <f t="shared" si="0"/>
        <v>INTPSP001-10</v>
      </c>
      <c r="H11" s="1" t="s">
        <v>152</v>
      </c>
      <c r="I11" s="655" t="s">
        <v>155</v>
      </c>
      <c r="J11" s="655"/>
      <c r="K11" s="655"/>
      <c r="L11" s="655"/>
      <c r="M11" s="655"/>
      <c r="N11" s="655"/>
      <c r="O11" s="161">
        <f>'$_DATI_BASE'!AI74</f>
        <v>5</v>
      </c>
      <c r="P11" s="106">
        <f>_xlfn.CEILING.MATH($P$4/O11)</f>
        <v>2847</v>
      </c>
      <c r="Q11" s="106">
        <f>_xlfn.CEILING.MATH((Q8/O11)/(O9*O10))</f>
        <v>3026</v>
      </c>
      <c r="U11" s="2"/>
    </row>
    <row r="12" spans="1:51" x14ac:dyDescent="0.3">
      <c r="A12" s="160"/>
      <c r="B12" s="98"/>
      <c r="C12" s="98">
        <v>3</v>
      </c>
      <c r="D12" s="98"/>
      <c r="E12" s="98"/>
      <c r="F12" s="1" t="str">
        <f>'$_DATI_BASE'!Y75</f>
        <v>INTPSP003</v>
      </c>
      <c r="G12" s="1" t="str">
        <f>F7</f>
        <v>INTSAL001-10</v>
      </c>
      <c r="H12" s="1" t="s">
        <v>152</v>
      </c>
      <c r="I12" s="652" t="s">
        <v>156</v>
      </c>
      <c r="J12" s="652"/>
      <c r="K12" s="652"/>
      <c r="L12" s="652"/>
      <c r="M12" s="652"/>
      <c r="N12" s="652"/>
      <c r="O12" s="107">
        <f>'$_DATI_BASE'!AH75</f>
        <v>3</v>
      </c>
      <c r="P12" s="106">
        <f>_xlfn.CEILING.MATH($P$6*O12)</f>
        <v>42702</v>
      </c>
      <c r="Q12" s="106">
        <f>_xlfn.CEILING.MATH(P12/O7)</f>
        <v>44023</v>
      </c>
    </row>
    <row r="13" spans="1:51" x14ac:dyDescent="0.3">
      <c r="A13" s="160"/>
      <c r="B13" s="98"/>
      <c r="C13" s="98"/>
      <c r="D13" s="111" t="s">
        <v>178</v>
      </c>
      <c r="E13" s="98"/>
      <c r="F13" s="1" t="s">
        <v>124</v>
      </c>
      <c r="G13" s="1" t="str">
        <f>F12</f>
        <v>INTPSP003</v>
      </c>
      <c r="H13" s="1" t="s">
        <v>178</v>
      </c>
      <c r="I13" s="649" t="s">
        <v>184</v>
      </c>
      <c r="J13" s="649"/>
      <c r="K13" s="649"/>
      <c r="L13" s="649"/>
      <c r="M13" s="649"/>
      <c r="N13" s="649"/>
      <c r="O13" s="105">
        <f>'$_DATI_BASE'!$U$26</f>
        <v>0.98</v>
      </c>
      <c r="P13" s="106"/>
      <c r="Q13" s="564">
        <f>Q12</f>
        <v>44023</v>
      </c>
      <c r="R13" s="149"/>
      <c r="S13" s="566"/>
    </row>
    <row r="14" spans="1:51" x14ac:dyDescent="0.3">
      <c r="A14" s="160"/>
      <c r="B14" s="98"/>
      <c r="C14" s="98"/>
      <c r="D14" s="111" t="s">
        <v>178</v>
      </c>
      <c r="E14" s="98"/>
      <c r="F14" s="1" t="s">
        <v>126</v>
      </c>
      <c r="G14" s="1" t="str">
        <f>F13</f>
        <v>INTPSP003-20</v>
      </c>
      <c r="H14" s="1" t="s">
        <v>178</v>
      </c>
      <c r="I14" s="649" t="s">
        <v>125</v>
      </c>
      <c r="J14" s="649"/>
      <c r="K14" s="649"/>
      <c r="L14" s="649"/>
      <c r="M14" s="649"/>
      <c r="N14" s="649"/>
      <c r="O14" s="105">
        <f>'$_DATI_BASE'!$U$28</f>
        <v>0.99</v>
      </c>
      <c r="P14" s="106"/>
      <c r="Q14" s="565">
        <f>_xlfn.CEILING.MATH(Q12/O13)</f>
        <v>44922</v>
      </c>
      <c r="R14" s="149"/>
      <c r="S14" s="149"/>
    </row>
    <row r="15" spans="1:51" x14ac:dyDescent="0.3">
      <c r="A15" s="160"/>
      <c r="B15" s="98"/>
      <c r="C15" s="98"/>
      <c r="D15" s="98">
        <v>4</v>
      </c>
      <c r="E15" s="98"/>
      <c r="F15" s="1" t="str">
        <f>'$_DATI_BASE'!Y76</f>
        <v>ESTLAM002</v>
      </c>
      <c r="G15" s="1" t="str">
        <f>F14</f>
        <v>INTPSP003-10</v>
      </c>
      <c r="H15" s="1" t="s">
        <v>152</v>
      </c>
      <c r="I15" s="656" t="s">
        <v>157</v>
      </c>
      <c r="J15" s="656"/>
      <c r="K15" s="656"/>
      <c r="L15" s="656"/>
      <c r="M15" s="656"/>
      <c r="N15" s="656"/>
      <c r="O15" s="161">
        <f>'$_DATI_BASE'!AI76</f>
        <v>20</v>
      </c>
      <c r="P15" s="106">
        <f>_xlfn.CEILING.MATH(P12/O15)</f>
        <v>2136</v>
      </c>
      <c r="Q15" s="106">
        <f>_xlfn.CEILING.MATH((Q12/O15)/(O13*O14))</f>
        <v>2269</v>
      </c>
      <c r="R15" s="2"/>
    </row>
    <row r="16" spans="1:51" x14ac:dyDescent="0.3">
      <c r="A16" s="160"/>
      <c r="B16" s="98"/>
      <c r="C16" s="98">
        <v>3</v>
      </c>
      <c r="D16" s="98"/>
      <c r="E16" s="98"/>
      <c r="F16" s="1" t="str">
        <f>'$_DATI_BASE'!Y77</f>
        <v>INTPSP004</v>
      </c>
      <c r="G16" s="1" t="str">
        <f>F7</f>
        <v>INTSAL001-10</v>
      </c>
      <c r="H16" s="1" t="s">
        <v>152</v>
      </c>
      <c r="I16" s="652" t="s">
        <v>158</v>
      </c>
      <c r="J16" s="652"/>
      <c r="K16" s="652"/>
      <c r="L16" s="652"/>
      <c r="M16" s="652"/>
      <c r="N16" s="652"/>
      <c r="O16" s="107">
        <f>'$_DATI_BASE'!AH77</f>
        <v>2</v>
      </c>
      <c r="P16" s="106">
        <f>_xlfn.CEILING.MATH($P$4*O16)</f>
        <v>28468</v>
      </c>
      <c r="Q16" s="106">
        <f>_xlfn.CEILING.MATH(P16/O7)</f>
        <v>29349</v>
      </c>
    </row>
    <row r="17" spans="1:19" x14ac:dyDescent="0.3">
      <c r="A17" s="160"/>
      <c r="B17" s="98"/>
      <c r="C17" s="98"/>
      <c r="D17" s="111" t="s">
        <v>178</v>
      </c>
      <c r="E17" s="98"/>
      <c r="F17" s="1" t="s">
        <v>128</v>
      </c>
      <c r="G17" s="1" t="str">
        <f>F16</f>
        <v>INTPSP004</v>
      </c>
      <c r="H17" s="1" t="s">
        <v>178</v>
      </c>
      <c r="I17" s="649" t="s">
        <v>185</v>
      </c>
      <c r="J17" s="649"/>
      <c r="K17" s="649"/>
      <c r="L17" s="649"/>
      <c r="M17" s="649"/>
      <c r="N17" s="649"/>
      <c r="O17" s="105">
        <f>'$_DATI_BASE'!$U$26</f>
        <v>0.98</v>
      </c>
      <c r="P17" s="106"/>
      <c r="Q17" s="565">
        <f>Q16</f>
        <v>29349</v>
      </c>
      <c r="R17" s="149"/>
      <c r="S17" s="566"/>
    </row>
    <row r="18" spans="1:19" x14ac:dyDescent="0.3">
      <c r="A18" s="160"/>
      <c r="B18" s="98"/>
      <c r="C18" s="98"/>
      <c r="D18" s="111" t="s">
        <v>178</v>
      </c>
      <c r="E18" s="98"/>
      <c r="F18" s="1" t="s">
        <v>132</v>
      </c>
      <c r="G18" s="1" t="str">
        <f>F17</f>
        <v>INTPSP004-20</v>
      </c>
      <c r="H18" s="1" t="s">
        <v>178</v>
      </c>
      <c r="I18" s="649" t="s">
        <v>186</v>
      </c>
      <c r="J18" s="649"/>
      <c r="K18" s="649"/>
      <c r="L18" s="649"/>
      <c r="M18" s="649"/>
      <c r="N18" s="649"/>
      <c r="O18" s="105">
        <f>'$_DATI_BASE'!$U$28</f>
        <v>0.99</v>
      </c>
      <c r="P18" s="106"/>
      <c r="Q18" s="565">
        <f>_xlfn.CEILING.MATH(Q16/O17)</f>
        <v>29948</v>
      </c>
      <c r="R18" s="149"/>
      <c r="S18" s="149"/>
    </row>
    <row r="19" spans="1:19" x14ac:dyDescent="0.3">
      <c r="A19" s="160"/>
      <c r="B19" s="98"/>
      <c r="C19" s="98"/>
      <c r="D19" s="98">
        <v>4</v>
      </c>
      <c r="E19" s="98"/>
      <c r="F19" s="1" t="str">
        <f>'$_DATI_BASE'!Y78</f>
        <v>ESTLAM003</v>
      </c>
      <c r="G19" s="1" t="str">
        <f>F18</f>
        <v>INTPSP004-10</v>
      </c>
      <c r="H19" s="1" t="s">
        <v>152</v>
      </c>
      <c r="I19" s="651" t="s">
        <v>159</v>
      </c>
      <c r="J19" s="651"/>
      <c r="K19" s="651"/>
      <c r="L19" s="651"/>
      <c r="M19" s="651"/>
      <c r="N19" s="651"/>
      <c r="O19" s="161">
        <f>'$_DATI_BASE'!AI78</f>
        <v>4</v>
      </c>
      <c r="P19" s="106">
        <f>_xlfn.CEILING.MATH(P16/O19)</f>
        <v>7117</v>
      </c>
      <c r="Q19" s="106">
        <f>_xlfn.CEILING.MATH((Q16/O19)/(O17*O18))</f>
        <v>7563</v>
      </c>
      <c r="R19" s="2"/>
    </row>
    <row r="20" spans="1:19" x14ac:dyDescent="0.3">
      <c r="A20" s="160"/>
      <c r="B20" s="98"/>
      <c r="C20" s="98">
        <v>3</v>
      </c>
      <c r="D20" s="98"/>
      <c r="E20" s="98"/>
      <c r="F20" s="1" t="str">
        <f>'$_DATI_BASE'!Y79</f>
        <v>INTTRA001</v>
      </c>
      <c r="G20" s="1" t="str">
        <f>F7</f>
        <v>INTSAL001-10</v>
      </c>
      <c r="H20" s="1" t="s">
        <v>152</v>
      </c>
      <c r="I20" s="652" t="s">
        <v>160</v>
      </c>
      <c r="J20" s="652"/>
      <c r="K20" s="652"/>
      <c r="L20" s="652"/>
      <c r="M20" s="652"/>
      <c r="N20" s="652"/>
      <c r="O20" s="107">
        <f>'$_DATI_BASE'!AH79</f>
        <v>2</v>
      </c>
      <c r="P20" s="106">
        <f>_xlfn.CEILING.MATH($P$6*O20)</f>
        <v>28468</v>
      </c>
      <c r="Q20" s="106">
        <f>_xlfn.CEILING.MATH(P20/O7)</f>
        <v>29349</v>
      </c>
    </row>
    <row r="21" spans="1:19" x14ac:dyDescent="0.3">
      <c r="A21" s="160"/>
      <c r="B21" s="98"/>
      <c r="C21" s="98"/>
      <c r="D21" s="111" t="s">
        <v>178</v>
      </c>
      <c r="E21" s="98"/>
      <c r="F21" s="1" t="s">
        <v>136</v>
      </c>
      <c r="G21" s="1" t="str">
        <f>F20</f>
        <v>INTTRA001</v>
      </c>
      <c r="H21" s="1" t="s">
        <v>178</v>
      </c>
      <c r="I21" s="649" t="s">
        <v>135</v>
      </c>
      <c r="J21" s="649"/>
      <c r="K21" s="649"/>
      <c r="L21" s="649"/>
      <c r="M21" s="649"/>
      <c r="N21" s="649"/>
      <c r="O21" s="105">
        <f>'$_DATI_BASE'!$U$28</f>
        <v>0.99</v>
      </c>
      <c r="P21" s="106"/>
      <c r="Q21" s="565">
        <f>Q20</f>
        <v>29349</v>
      </c>
      <c r="R21" s="149"/>
      <c r="S21" s="149"/>
    </row>
    <row r="22" spans="1:19" x14ac:dyDescent="0.3">
      <c r="A22" s="162"/>
      <c r="B22" s="163"/>
      <c r="C22" s="163"/>
      <c r="D22" s="163">
        <v>4</v>
      </c>
      <c r="E22" s="163"/>
      <c r="F22" s="164" t="str">
        <f>'$_DATI_BASE'!Y80</f>
        <v>ESTLAM003</v>
      </c>
      <c r="G22" s="164" t="str">
        <f>F21</f>
        <v>INTTRA001-10</v>
      </c>
      <c r="H22" s="164" t="s">
        <v>152</v>
      </c>
      <c r="I22" s="653" t="s">
        <v>159</v>
      </c>
      <c r="J22" s="653"/>
      <c r="K22" s="653"/>
      <c r="L22" s="653"/>
      <c r="M22" s="653"/>
      <c r="N22" s="653"/>
      <c r="O22" s="165">
        <f>'$_DATI_BASE'!AI80</f>
        <v>4</v>
      </c>
      <c r="P22" s="166">
        <f>_xlfn.CEILING.MATH(P20/O22)</f>
        <v>7117</v>
      </c>
      <c r="Q22" s="167">
        <f>_xlfn.CEILING.MATH((Q20/O22)/O21)</f>
        <v>7412</v>
      </c>
      <c r="R22" s="2"/>
    </row>
    <row r="23" spans="1:19" x14ac:dyDescent="0.3">
      <c r="A23" s="98"/>
      <c r="B23" s="98">
        <v>2</v>
      </c>
      <c r="C23" s="98"/>
      <c r="D23" s="98"/>
      <c r="E23" s="98"/>
      <c r="F23" s="1" t="str">
        <f>'$_DATI_BASE'!Y81</f>
        <v>ESTALB001</v>
      </c>
      <c r="G23" s="1" t="str">
        <f>F5</f>
        <v>INTASS001-10</v>
      </c>
      <c r="H23" s="1" t="s">
        <v>152</v>
      </c>
      <c r="I23" s="647" t="s">
        <v>161</v>
      </c>
      <c r="J23" s="647"/>
      <c r="K23" s="647"/>
      <c r="L23" s="647"/>
      <c r="M23" s="647"/>
      <c r="N23" s="647"/>
      <c r="O23" s="111">
        <v>1</v>
      </c>
      <c r="P23" s="106">
        <f>$P$4*O23</f>
        <v>14234</v>
      </c>
      <c r="Q23" s="106">
        <f>_xlfn.CEILING.MATH($Q$4*O23/O5)</f>
        <v>14234</v>
      </c>
      <c r="R23" s="2"/>
    </row>
    <row r="24" spans="1:19" x14ac:dyDescent="0.3">
      <c r="A24" s="98"/>
      <c r="B24" s="98">
        <v>2</v>
      </c>
      <c r="C24" s="98"/>
      <c r="D24" s="98"/>
      <c r="E24" s="98"/>
      <c r="F24" s="1" t="str">
        <f>'$_DATI_BASE'!Y82</f>
        <v>ESTING001</v>
      </c>
      <c r="G24" s="1" t="str">
        <f>F5</f>
        <v>INTASS001-10</v>
      </c>
      <c r="H24" s="1" t="s">
        <v>152</v>
      </c>
      <c r="I24" s="648" t="s">
        <v>162</v>
      </c>
      <c r="J24" s="648"/>
      <c r="K24" s="648"/>
      <c r="L24" s="648"/>
      <c r="M24" s="648"/>
      <c r="N24" s="648"/>
      <c r="O24" s="111">
        <v>2</v>
      </c>
      <c r="P24" s="106">
        <f>$P$4*O24</f>
        <v>28468</v>
      </c>
      <c r="Q24" s="106">
        <f>_xlfn.CEILING.MATH($Q$4*O24/O5)</f>
        <v>28468</v>
      </c>
      <c r="R24" s="2"/>
    </row>
    <row r="25" spans="1:19" x14ac:dyDescent="0.3">
      <c r="A25" s="98"/>
      <c r="B25" s="98">
        <v>2</v>
      </c>
      <c r="C25" s="98"/>
      <c r="D25" s="98"/>
      <c r="E25" s="98"/>
      <c r="F25" s="1" t="str">
        <f>'$_DATI_BASE'!Y83</f>
        <v>ESTING002</v>
      </c>
      <c r="G25" s="1" t="str">
        <f>F5</f>
        <v>INTASS001-10</v>
      </c>
      <c r="H25" s="1" t="s">
        <v>152</v>
      </c>
      <c r="I25" s="648" t="s">
        <v>163</v>
      </c>
      <c r="J25" s="648"/>
      <c r="K25" s="648"/>
      <c r="L25" s="648"/>
      <c r="M25" s="648"/>
      <c r="N25" s="648"/>
      <c r="O25" s="111">
        <v>3</v>
      </c>
      <c r="P25" s="106">
        <f>$P$4*O25</f>
        <v>42702</v>
      </c>
      <c r="Q25" s="106">
        <f>_xlfn.CEILING.MATH($Q$4*O25/O5)</f>
        <v>42702</v>
      </c>
      <c r="R25" s="2"/>
    </row>
    <row r="26" spans="1:19" x14ac:dyDescent="0.3">
      <c r="A26" s="98"/>
      <c r="B26" s="98">
        <v>2</v>
      </c>
      <c r="C26" s="98"/>
      <c r="D26" s="98"/>
      <c r="E26" s="98"/>
      <c r="F26" s="1" t="str">
        <f>'$_DATI_BASE'!Y84</f>
        <v>ESTASS001</v>
      </c>
      <c r="G26" s="1" t="str">
        <f>F5</f>
        <v>INTASS001-10</v>
      </c>
      <c r="H26" s="1" t="s">
        <v>152</v>
      </c>
      <c r="I26" s="647" t="s">
        <v>164</v>
      </c>
      <c r="J26" s="647"/>
      <c r="K26" s="647"/>
      <c r="L26" s="647"/>
      <c r="M26" s="647"/>
      <c r="N26" s="647"/>
      <c r="O26" s="111">
        <v>1</v>
      </c>
      <c r="P26" s="106">
        <f>$P$4*O26</f>
        <v>14234</v>
      </c>
      <c r="Q26" s="106">
        <f>_xlfn.CEILING.MATH($Q$4*O26/O5)</f>
        <v>14234</v>
      </c>
      <c r="R26" s="2"/>
    </row>
    <row r="27" spans="1:19" hidden="1" x14ac:dyDescent="0.3">
      <c r="A27" s="112"/>
      <c r="B27" s="1"/>
      <c r="C27" s="1"/>
      <c r="D27" s="1"/>
      <c r="E27" s="1"/>
      <c r="F27" s="1"/>
      <c r="G27" s="1"/>
      <c r="H27" s="1"/>
      <c r="I27" s="649"/>
      <c r="J27" s="649"/>
      <c r="K27" s="649"/>
      <c r="L27" s="649"/>
      <c r="M27" s="649"/>
      <c r="N27" s="649"/>
      <c r="P27" s="2"/>
      <c r="Q27" s="2"/>
      <c r="R27" s="106">
        <v>300</v>
      </c>
    </row>
    <row r="28" spans="1:19" x14ac:dyDescent="0.3">
      <c r="A28" s="98">
        <v>1</v>
      </c>
      <c r="B28" s="98"/>
      <c r="C28" s="98"/>
      <c r="D28" s="98"/>
      <c r="E28" s="98"/>
      <c r="F28" s="99" t="str">
        <f>'$_DATI_BASE'!Y85</f>
        <v>INTASS002</v>
      </c>
      <c r="G28" s="100" t="s">
        <v>187</v>
      </c>
      <c r="H28" s="99" t="s">
        <v>152</v>
      </c>
      <c r="I28" s="657" t="s">
        <v>91</v>
      </c>
      <c r="J28" s="657"/>
      <c r="K28" s="657"/>
      <c r="L28" s="657"/>
      <c r="M28" s="657"/>
      <c r="N28" s="657"/>
      <c r="O28" s="101">
        <f>_xlfn.CEILING.MATH('$_DATI_BASE'!J20)</f>
        <v>6100</v>
      </c>
      <c r="P28" s="102">
        <f>O28/O29</f>
        <v>6100</v>
      </c>
      <c r="Q28" s="102">
        <f>O28/O29</f>
        <v>6100</v>
      </c>
      <c r="R28" s="2"/>
    </row>
    <row r="29" spans="1:19" x14ac:dyDescent="0.3">
      <c r="A29" s="98"/>
      <c r="B29" s="111" t="s">
        <v>178</v>
      </c>
      <c r="C29" s="98"/>
      <c r="D29" s="98"/>
      <c r="E29" s="98"/>
      <c r="F29" s="1" t="s">
        <v>89</v>
      </c>
      <c r="G29" s="1" t="str">
        <f t="shared" ref="G29:G35" si="1">F28</f>
        <v>INTASS002</v>
      </c>
      <c r="H29" s="1" t="s">
        <v>178</v>
      </c>
      <c r="I29" s="649" t="s">
        <v>188</v>
      </c>
      <c r="J29" s="649"/>
      <c r="K29" s="649"/>
      <c r="L29" s="649"/>
      <c r="M29" s="649"/>
      <c r="N29" s="649"/>
      <c r="O29" s="105">
        <f>'$_DATI_BASE'!$U$16</f>
        <v>1</v>
      </c>
      <c r="P29" s="106"/>
      <c r="Q29" s="106"/>
    </row>
    <row r="30" spans="1:19" x14ac:dyDescent="0.3">
      <c r="A30" s="98"/>
      <c r="B30" s="98">
        <v>2</v>
      </c>
      <c r="C30" s="98"/>
      <c r="D30" s="98"/>
      <c r="E30" s="98"/>
      <c r="F30" s="1" t="str">
        <f>'$_DATI_BASE'!Y86</f>
        <v>INTSAL002</v>
      </c>
      <c r="G30" s="1" t="str">
        <f t="shared" si="1"/>
        <v>INTASS002-10</v>
      </c>
      <c r="H30" s="1" t="s">
        <v>152</v>
      </c>
      <c r="I30" s="647" t="s">
        <v>165</v>
      </c>
      <c r="J30" s="647"/>
      <c r="K30" s="647"/>
      <c r="L30" s="647"/>
      <c r="M30" s="647"/>
      <c r="N30" s="647"/>
      <c r="O30" s="111">
        <v>1</v>
      </c>
      <c r="P30" s="106">
        <f>_xlfn.CEILING.MATH(P28/O30)</f>
        <v>6100</v>
      </c>
      <c r="Q30" s="106">
        <f>_xlfn.CEILING.MATH(P30/O29)</f>
        <v>6100</v>
      </c>
      <c r="R30" s="2"/>
    </row>
    <row r="31" spans="1:19" x14ac:dyDescent="0.3">
      <c r="A31" s="98"/>
      <c r="B31" s="98"/>
      <c r="C31" s="111" t="s">
        <v>178</v>
      </c>
      <c r="D31" s="98"/>
      <c r="E31" s="98"/>
      <c r="F31" s="1" t="s">
        <v>100</v>
      </c>
      <c r="G31" s="1" t="str">
        <f t="shared" si="1"/>
        <v>INTSAL002</v>
      </c>
      <c r="H31" s="1" t="s">
        <v>178</v>
      </c>
      <c r="I31" s="649" t="s">
        <v>189</v>
      </c>
      <c r="J31" s="649"/>
      <c r="K31" s="649"/>
      <c r="L31" s="649"/>
      <c r="M31" s="649"/>
      <c r="N31" s="649"/>
      <c r="O31" s="105">
        <f>'$_DATI_BASE'!$U$20</f>
        <v>0.97</v>
      </c>
      <c r="P31" s="106"/>
      <c r="Q31" s="106"/>
      <c r="R31" s="2"/>
    </row>
    <row r="32" spans="1:19" x14ac:dyDescent="0.3">
      <c r="A32" s="155"/>
      <c r="B32" s="156"/>
      <c r="C32" s="156">
        <v>3</v>
      </c>
      <c r="D32" s="156"/>
      <c r="E32" s="156"/>
      <c r="F32" s="157" t="str">
        <f>'$_DATI_BASE'!Y87</f>
        <v>INTPSP002</v>
      </c>
      <c r="G32" s="157" t="str">
        <f t="shared" si="1"/>
        <v>INTSAL002-10</v>
      </c>
      <c r="H32" s="157" t="s">
        <v>152</v>
      </c>
      <c r="I32" s="654" t="s">
        <v>166</v>
      </c>
      <c r="J32" s="654"/>
      <c r="K32" s="654"/>
      <c r="L32" s="654"/>
      <c r="M32" s="654"/>
      <c r="N32" s="654"/>
      <c r="O32" s="168">
        <v>1</v>
      </c>
      <c r="P32" s="159">
        <f>_xlfn.CEILING.MATH(P30*O32)</f>
        <v>6100</v>
      </c>
      <c r="Q32" s="159">
        <f>_xlfn.CEILING.MATH(P32/O31)</f>
        <v>6289</v>
      </c>
      <c r="R32" s="2"/>
    </row>
    <row r="33" spans="1:53" x14ac:dyDescent="0.3">
      <c r="A33" s="160"/>
      <c r="B33" s="98"/>
      <c r="C33" s="98"/>
      <c r="D33" s="111" t="s">
        <v>178</v>
      </c>
      <c r="E33" s="98"/>
      <c r="F33" s="1" t="s">
        <v>114</v>
      </c>
      <c r="G33" s="1" t="str">
        <f t="shared" si="1"/>
        <v>INTPSP002</v>
      </c>
      <c r="H33" s="1" t="s">
        <v>178</v>
      </c>
      <c r="I33" s="649" t="s">
        <v>190</v>
      </c>
      <c r="J33" s="649"/>
      <c r="K33" s="649"/>
      <c r="L33" s="649"/>
      <c r="M33" s="649"/>
      <c r="N33" s="649"/>
      <c r="O33" s="105">
        <f>'$_DATI_BASE'!$U$26</f>
        <v>0.98</v>
      </c>
      <c r="P33" s="106"/>
      <c r="Q33" s="564">
        <f>Q32</f>
        <v>6289</v>
      </c>
      <c r="R33" s="149"/>
      <c r="S33" s="566"/>
    </row>
    <row r="34" spans="1:53" x14ac:dyDescent="0.3">
      <c r="A34" s="160"/>
      <c r="B34" s="98"/>
      <c r="C34" s="98"/>
      <c r="D34" s="111" t="s">
        <v>178</v>
      </c>
      <c r="E34" s="98"/>
      <c r="F34" s="1" t="s">
        <v>119</v>
      </c>
      <c r="G34" s="1" t="str">
        <f t="shared" si="1"/>
        <v>INTPSP002-20</v>
      </c>
      <c r="H34" s="1" t="s">
        <v>178</v>
      </c>
      <c r="I34" s="649" t="s">
        <v>118</v>
      </c>
      <c r="J34" s="649"/>
      <c r="K34" s="649"/>
      <c r="L34" s="649"/>
      <c r="M34" s="649"/>
      <c r="N34" s="649"/>
      <c r="O34" s="105">
        <f>'$_DATI_BASE'!$U$28</f>
        <v>0.99</v>
      </c>
      <c r="P34" s="106"/>
      <c r="Q34" s="565">
        <f>_xlfn.CEILING.MATH(Q32/O33)</f>
        <v>6418</v>
      </c>
      <c r="R34" s="149"/>
      <c r="S34" s="149"/>
    </row>
    <row r="35" spans="1:53" x14ac:dyDescent="0.3">
      <c r="A35" s="160"/>
      <c r="B35" s="98"/>
      <c r="C35" s="98"/>
      <c r="D35" s="98">
        <v>4</v>
      </c>
      <c r="E35" s="98"/>
      <c r="F35" s="1" t="str">
        <f>'$_DATI_BASE'!Y88</f>
        <v>ESTLAM001</v>
      </c>
      <c r="G35" s="1" t="str">
        <f t="shared" si="1"/>
        <v>INTPSP002-10</v>
      </c>
      <c r="H35" s="1" t="s">
        <v>152</v>
      </c>
      <c r="I35" s="655" t="s">
        <v>155</v>
      </c>
      <c r="J35" s="655"/>
      <c r="K35" s="655"/>
      <c r="L35" s="655"/>
      <c r="M35" s="655"/>
      <c r="N35" s="655"/>
      <c r="O35" s="161">
        <f>'$_DATI_BASE'!AI88</f>
        <v>5</v>
      </c>
      <c r="P35" s="106">
        <f>_xlfn.CEILING.MATH(P32/O35)</f>
        <v>1220</v>
      </c>
      <c r="Q35" s="106">
        <f>_xlfn.CEILING.MATH((Q32/O35)/(O34*O33))</f>
        <v>1297</v>
      </c>
    </row>
    <row r="36" spans="1:53" x14ac:dyDescent="0.3">
      <c r="A36" s="160"/>
      <c r="B36" s="98"/>
      <c r="C36" s="98">
        <v>3</v>
      </c>
      <c r="D36" s="98"/>
      <c r="E36" s="98"/>
      <c r="F36" s="1" t="str">
        <f>'$_DATI_BASE'!Y89</f>
        <v>INTPSP003</v>
      </c>
      <c r="G36" s="1" t="str">
        <f>F31</f>
        <v>INTSAL002-10</v>
      </c>
      <c r="H36" s="1" t="s">
        <v>152</v>
      </c>
      <c r="I36" s="652" t="s">
        <v>156</v>
      </c>
      <c r="J36" s="652"/>
      <c r="K36" s="652"/>
      <c r="L36" s="652"/>
      <c r="M36" s="652"/>
      <c r="N36" s="652"/>
      <c r="O36" s="111">
        <v>5</v>
      </c>
      <c r="P36" s="106">
        <f>_xlfn.CEILING.MATH(P30*O36)</f>
        <v>30500</v>
      </c>
      <c r="Q36" s="106">
        <f>_xlfn.CEILING.MATH(P36/O31)</f>
        <v>31444</v>
      </c>
    </row>
    <row r="37" spans="1:53" x14ac:dyDescent="0.3">
      <c r="A37" s="160"/>
      <c r="B37" s="98"/>
      <c r="C37" s="98"/>
      <c r="D37" s="111" t="s">
        <v>178</v>
      </c>
      <c r="E37" s="98"/>
      <c r="F37" s="1" t="s">
        <v>124</v>
      </c>
      <c r="G37" s="1" t="str">
        <f>F36</f>
        <v>INTPSP003</v>
      </c>
      <c r="H37" s="1" t="s">
        <v>178</v>
      </c>
      <c r="I37" s="649" t="s">
        <v>184</v>
      </c>
      <c r="J37" s="649"/>
      <c r="K37" s="649"/>
      <c r="L37" s="649"/>
      <c r="M37" s="649"/>
      <c r="N37" s="649"/>
      <c r="O37" s="105">
        <f>'$_DATI_BASE'!$U$26</f>
        <v>0.98</v>
      </c>
      <c r="P37" s="106"/>
      <c r="Q37" s="564">
        <f>Q36</f>
        <v>31444</v>
      </c>
      <c r="R37" s="149"/>
      <c r="S37" s="566"/>
    </row>
    <row r="38" spans="1:53" ht="31.2" customHeight="1" x14ac:dyDescent="0.85">
      <c r="A38" s="160"/>
      <c r="B38" s="98"/>
      <c r="C38" s="98"/>
      <c r="D38" s="111" t="s">
        <v>178</v>
      </c>
      <c r="E38" s="98"/>
      <c r="F38" s="1" t="s">
        <v>126</v>
      </c>
      <c r="G38" s="1" t="str">
        <f>F37</f>
        <v>INTPSP003-20</v>
      </c>
      <c r="H38" s="1" t="s">
        <v>178</v>
      </c>
      <c r="I38" s="649" t="s">
        <v>125</v>
      </c>
      <c r="J38" s="649"/>
      <c r="K38" s="649"/>
      <c r="L38" s="649"/>
      <c r="M38" s="649"/>
      <c r="N38" s="649"/>
      <c r="O38" s="105">
        <f>'$_DATI_BASE'!$U$28</f>
        <v>0.99</v>
      </c>
      <c r="P38" s="106"/>
      <c r="Q38" s="565">
        <f>_xlfn.CEILING.MATH(Q36/O37)</f>
        <v>32086</v>
      </c>
      <c r="R38" s="149"/>
      <c r="S38" s="149"/>
      <c r="AH38" s="113"/>
      <c r="AI38" s="113"/>
      <c r="AJ38" s="113"/>
      <c r="AK38" s="113"/>
      <c r="AL38" s="113"/>
      <c r="AM38" s="113"/>
      <c r="AN38" s="113"/>
      <c r="AO38" s="113"/>
    </row>
    <row r="39" spans="1:53" x14ac:dyDescent="0.3">
      <c r="A39" s="160"/>
      <c r="B39" s="98"/>
      <c r="C39" s="98"/>
      <c r="D39" s="98">
        <v>4</v>
      </c>
      <c r="E39" s="98"/>
      <c r="F39" s="1" t="str">
        <f>'$_DATI_BASE'!Y90</f>
        <v>ESTLAM002</v>
      </c>
      <c r="G39" s="1" t="str">
        <f>F38</f>
        <v>INTPSP003-10</v>
      </c>
      <c r="H39" s="1" t="s">
        <v>152</v>
      </c>
      <c r="I39" s="656" t="s">
        <v>157</v>
      </c>
      <c r="J39" s="656"/>
      <c r="K39" s="656"/>
      <c r="L39" s="656"/>
      <c r="M39" s="656"/>
      <c r="N39" s="656"/>
      <c r="O39" s="161">
        <v>20</v>
      </c>
      <c r="P39" s="106">
        <f>_xlfn.CEILING.MATH(P36/O39)</f>
        <v>1525</v>
      </c>
      <c r="Q39" s="106">
        <f>_xlfn.CEILING.MATH((Q36/O39)/(O37*O38))</f>
        <v>1621</v>
      </c>
      <c r="R39" s="2"/>
    </row>
    <row r="40" spans="1:53" x14ac:dyDescent="0.3">
      <c r="A40" s="160"/>
      <c r="B40" s="98"/>
      <c r="C40" s="98">
        <v>3</v>
      </c>
      <c r="D40" s="98"/>
      <c r="E40" s="98"/>
      <c r="F40" s="1" t="str">
        <f>'$_DATI_BASE'!Y91</f>
        <v>INTPSP004</v>
      </c>
      <c r="G40" s="1" t="str">
        <f>F31</f>
        <v>INTSAL002-10</v>
      </c>
      <c r="H40" s="1" t="s">
        <v>152</v>
      </c>
      <c r="I40" s="652" t="s">
        <v>158</v>
      </c>
      <c r="J40" s="652"/>
      <c r="K40" s="652"/>
      <c r="L40" s="652"/>
      <c r="M40" s="652"/>
      <c r="N40" s="652"/>
      <c r="O40" s="111">
        <v>2</v>
      </c>
      <c r="P40" s="106">
        <f>_xlfn.CEILING.MATH(P30*O40)</f>
        <v>12200</v>
      </c>
      <c r="Q40" s="106">
        <f>_xlfn.CEILING.MATH(P40/O31)</f>
        <v>12578</v>
      </c>
    </row>
    <row r="41" spans="1:53" x14ac:dyDescent="0.3">
      <c r="A41" s="160"/>
      <c r="B41" s="98"/>
      <c r="C41" s="98"/>
      <c r="D41" s="111" t="s">
        <v>178</v>
      </c>
      <c r="E41" s="98"/>
      <c r="F41" s="1" t="s">
        <v>128</v>
      </c>
      <c r="G41" s="1" t="str">
        <f>F40</f>
        <v>INTPSP004</v>
      </c>
      <c r="H41" s="1" t="s">
        <v>178</v>
      </c>
      <c r="I41" s="649" t="s">
        <v>191</v>
      </c>
      <c r="J41" s="649"/>
      <c r="K41" s="649"/>
      <c r="L41" s="649"/>
      <c r="M41" s="649"/>
      <c r="N41" s="649"/>
      <c r="O41" s="105">
        <f>'$_DATI_BASE'!$U$26</f>
        <v>0.98</v>
      </c>
      <c r="P41" s="106"/>
      <c r="Q41" s="564">
        <f>Q40</f>
        <v>12578</v>
      </c>
      <c r="R41" s="149"/>
      <c r="S41" s="566"/>
    </row>
    <row r="42" spans="1:53" x14ac:dyDescent="0.3">
      <c r="A42" s="160"/>
      <c r="B42" s="98"/>
      <c r="C42" s="98"/>
      <c r="D42" s="111" t="s">
        <v>178</v>
      </c>
      <c r="E42" s="98"/>
      <c r="F42" s="1" t="s">
        <v>132</v>
      </c>
      <c r="G42" s="1" t="str">
        <f>F41</f>
        <v>INTPSP004-20</v>
      </c>
      <c r="H42" s="1" t="s">
        <v>178</v>
      </c>
      <c r="I42" s="649" t="s">
        <v>186</v>
      </c>
      <c r="J42" s="649"/>
      <c r="K42" s="649"/>
      <c r="L42" s="649"/>
      <c r="M42" s="649"/>
      <c r="N42" s="649"/>
      <c r="O42" s="105">
        <f>'$_DATI_BASE'!$U$28</f>
        <v>0.99</v>
      </c>
      <c r="P42" s="106"/>
      <c r="Q42" s="565">
        <f>_xlfn.CEILING.MATH(Q40/O41)</f>
        <v>12835</v>
      </c>
      <c r="R42" s="149"/>
      <c r="S42" s="149"/>
    </row>
    <row r="43" spans="1:53" x14ac:dyDescent="0.3">
      <c r="A43" s="160"/>
      <c r="B43" s="98"/>
      <c r="C43" s="98"/>
      <c r="D43" s="98">
        <v>4</v>
      </c>
      <c r="E43" s="98"/>
      <c r="F43" s="1" t="str">
        <f>'$_DATI_BASE'!Y92</f>
        <v>ESTLAM003</v>
      </c>
      <c r="G43" s="1" t="str">
        <f>F42</f>
        <v>INTPSP004-10</v>
      </c>
      <c r="H43" s="1" t="s">
        <v>152</v>
      </c>
      <c r="I43" s="651" t="s">
        <v>159</v>
      </c>
      <c r="J43" s="651"/>
      <c r="K43" s="651"/>
      <c r="L43" s="651"/>
      <c r="M43" s="651"/>
      <c r="N43" s="651"/>
      <c r="O43" s="161">
        <v>4</v>
      </c>
      <c r="P43" s="106">
        <f>_xlfn.CEILING.MATH(P40/O43)</f>
        <v>3050</v>
      </c>
      <c r="Q43" s="106">
        <f>_xlfn.CEILING.MATH((Q40/O43)/(O41*O42))</f>
        <v>3242</v>
      </c>
      <c r="R43" s="2"/>
    </row>
    <row r="44" spans="1:53" x14ac:dyDescent="0.3">
      <c r="A44" s="160"/>
      <c r="B44" s="98"/>
      <c r="C44" s="98">
        <v>3</v>
      </c>
      <c r="D44" s="98"/>
      <c r="E44" s="98"/>
      <c r="F44" s="1" t="str">
        <f>'$_DATI_BASE'!Y93</f>
        <v>INTTRA001</v>
      </c>
      <c r="G44" s="1" t="str">
        <f>F31</f>
        <v>INTSAL002-10</v>
      </c>
      <c r="H44" s="1" t="s">
        <v>152</v>
      </c>
      <c r="I44" s="652" t="s">
        <v>160</v>
      </c>
      <c r="J44" s="652"/>
      <c r="K44" s="652"/>
      <c r="L44" s="652"/>
      <c r="M44" s="652"/>
      <c r="N44" s="652"/>
      <c r="O44" s="111">
        <v>2</v>
      </c>
      <c r="P44" s="106">
        <f>_xlfn.CEILING.MATH(P30*O44)</f>
        <v>12200</v>
      </c>
      <c r="Q44" s="106">
        <f>_xlfn.CEILING.MATH(P44/O31)</f>
        <v>12578</v>
      </c>
    </row>
    <row r="45" spans="1:53" x14ac:dyDescent="0.3">
      <c r="A45" s="160"/>
      <c r="B45" s="98"/>
      <c r="C45" s="98"/>
      <c r="D45" s="111" t="s">
        <v>178</v>
      </c>
      <c r="E45" s="98"/>
      <c r="F45" s="1" t="s">
        <v>136</v>
      </c>
      <c r="G45" s="1" t="str">
        <f>F44</f>
        <v>INTTRA001</v>
      </c>
      <c r="H45" s="1" t="s">
        <v>178</v>
      </c>
      <c r="I45" s="649" t="s">
        <v>135</v>
      </c>
      <c r="J45" s="649"/>
      <c r="K45" s="649"/>
      <c r="L45" s="649"/>
      <c r="M45" s="649"/>
      <c r="N45" s="649"/>
      <c r="O45" s="105">
        <f>'$_DATI_BASE'!$U$28</f>
        <v>0.99</v>
      </c>
      <c r="P45" s="106"/>
      <c r="Q45" s="565">
        <f>Q44</f>
        <v>12578</v>
      </c>
      <c r="R45" s="149"/>
      <c r="S45" s="149"/>
    </row>
    <row r="46" spans="1:53" x14ac:dyDescent="0.3">
      <c r="A46" s="162"/>
      <c r="B46" s="163"/>
      <c r="C46" s="163"/>
      <c r="D46" s="163">
        <v>4</v>
      </c>
      <c r="E46" s="163"/>
      <c r="F46" s="164" t="str">
        <f>'$_DATI_BASE'!Y94</f>
        <v>ESTLAM003</v>
      </c>
      <c r="G46" s="164" t="str">
        <f>F45</f>
        <v>INTTRA001-10</v>
      </c>
      <c r="H46" s="164" t="s">
        <v>152</v>
      </c>
      <c r="I46" s="653" t="s">
        <v>159</v>
      </c>
      <c r="J46" s="653"/>
      <c r="K46" s="653"/>
      <c r="L46" s="653"/>
      <c r="M46" s="653"/>
      <c r="N46" s="653"/>
      <c r="O46" s="165">
        <v>4</v>
      </c>
      <c r="P46" s="166">
        <f>_xlfn.CEILING.MATH(P44/O46)</f>
        <v>3050</v>
      </c>
      <c r="Q46" s="167">
        <f>_xlfn.CEILING.MATH((Q44/O46)/O45)</f>
        <v>3177</v>
      </c>
      <c r="R46" s="2"/>
    </row>
    <row r="47" spans="1:53" x14ac:dyDescent="0.3">
      <c r="A47" s="98"/>
      <c r="B47" s="98">
        <v>2</v>
      </c>
      <c r="C47" s="98"/>
      <c r="D47" s="98"/>
      <c r="E47" s="98"/>
      <c r="F47" s="1" t="str">
        <f>'$_DATI_BASE'!Y95</f>
        <v>ESTALB002</v>
      </c>
      <c r="G47" s="1" t="str">
        <f>F5</f>
        <v>INTASS001-10</v>
      </c>
      <c r="H47" s="1" t="s">
        <v>152</v>
      </c>
      <c r="I47" s="647" t="s">
        <v>167</v>
      </c>
      <c r="J47" s="647"/>
      <c r="K47" s="647"/>
      <c r="L47" s="647"/>
      <c r="M47" s="647"/>
      <c r="N47" s="647"/>
      <c r="O47" s="111">
        <v>1</v>
      </c>
      <c r="P47" s="106">
        <f>_xlfn.CEILING.MATH($P$28*O47)</f>
        <v>6100</v>
      </c>
      <c r="Q47" s="106">
        <f>_xlfn.CEILING.MATH($Q$28*O47/O29)</f>
        <v>6100</v>
      </c>
      <c r="R47" s="2"/>
    </row>
    <row r="48" spans="1:53" x14ac:dyDescent="0.3">
      <c r="A48" s="98"/>
      <c r="B48" s="98">
        <v>2</v>
      </c>
      <c r="C48" s="98"/>
      <c r="D48" s="98"/>
      <c r="E48" s="98"/>
      <c r="F48" s="1" t="str">
        <f>'$_DATI_BASE'!Y96</f>
        <v>ESTING001</v>
      </c>
      <c r="G48" s="1" t="str">
        <f>F29</f>
        <v>INTASS002-10</v>
      </c>
      <c r="H48" s="1" t="s">
        <v>152</v>
      </c>
      <c r="I48" s="648" t="s">
        <v>162</v>
      </c>
      <c r="J48" s="648"/>
      <c r="K48" s="648"/>
      <c r="L48" s="648"/>
      <c r="M48" s="648"/>
      <c r="N48" s="648"/>
      <c r="O48" s="111">
        <v>2</v>
      </c>
      <c r="P48" s="106">
        <f>_xlfn.CEILING.MATH($P$28*O48)</f>
        <v>12200</v>
      </c>
      <c r="Q48" s="106">
        <f>_xlfn.CEILING.MATH($Q$28*O48/O29)</f>
        <v>12200</v>
      </c>
      <c r="R48" s="2"/>
      <c r="S48" s="114"/>
      <c r="T48" s="114"/>
      <c r="U48" s="114"/>
      <c r="V48" s="114"/>
      <c r="W48" s="114"/>
      <c r="X48" s="114"/>
      <c r="Y48" s="114"/>
      <c r="Z48" s="114"/>
      <c r="AA48" s="114"/>
      <c r="AB48" s="114"/>
      <c r="AC48" s="114"/>
      <c r="AD48" s="114"/>
      <c r="AE48" s="114"/>
      <c r="AF48" s="114"/>
      <c r="AG48" s="114"/>
      <c r="AH48" s="114"/>
      <c r="AI48" s="114"/>
      <c r="AJ48" s="114"/>
      <c r="AK48" s="114"/>
      <c r="AL48" s="114"/>
      <c r="AM48" s="114"/>
      <c r="AN48" s="114"/>
      <c r="AO48" s="114"/>
      <c r="AP48" s="114"/>
      <c r="AQ48" s="114"/>
      <c r="AR48" s="114"/>
      <c r="AS48" s="114"/>
      <c r="AT48" s="114"/>
      <c r="AU48" s="114"/>
      <c r="AV48" s="114"/>
      <c r="AW48" s="114"/>
      <c r="AX48" s="114"/>
      <c r="AY48" s="114"/>
      <c r="AZ48" s="114"/>
      <c r="BA48" s="114"/>
    </row>
    <row r="49" spans="1:50" x14ac:dyDescent="0.3">
      <c r="A49" s="98"/>
      <c r="B49" s="98">
        <v>2</v>
      </c>
      <c r="C49" s="98"/>
      <c r="D49" s="98"/>
      <c r="E49" s="98"/>
      <c r="F49" s="1" t="str">
        <f>'$_DATI_BASE'!Y97</f>
        <v>ESTING002</v>
      </c>
      <c r="G49" s="1" t="str">
        <f>F29</f>
        <v>INTASS002-10</v>
      </c>
      <c r="H49" s="1" t="s">
        <v>152</v>
      </c>
      <c r="I49" s="648" t="s">
        <v>163</v>
      </c>
      <c r="J49" s="648"/>
      <c r="K49" s="648"/>
      <c r="L49" s="648"/>
      <c r="M49" s="648"/>
      <c r="N49" s="648"/>
      <c r="O49" s="111">
        <v>3</v>
      </c>
      <c r="P49" s="106">
        <f>_xlfn.CEILING.MATH($P$28*O49)</f>
        <v>18300</v>
      </c>
      <c r="Q49" s="106">
        <f>_xlfn.CEILING.MATH($Q$28*O49/O29)</f>
        <v>18300</v>
      </c>
      <c r="R49" s="2"/>
    </row>
    <row r="50" spans="1:50" x14ac:dyDescent="0.3">
      <c r="A50" s="98"/>
      <c r="B50" s="98">
        <v>2</v>
      </c>
      <c r="C50" s="98"/>
      <c r="D50" s="98"/>
      <c r="E50" s="98"/>
      <c r="F50" s="1" t="str">
        <f>'$_DATI_BASE'!Y98</f>
        <v>ESTASS002</v>
      </c>
      <c r="G50" s="1" t="str">
        <f>F29</f>
        <v>INTASS002-10</v>
      </c>
      <c r="H50" s="1" t="s">
        <v>152</v>
      </c>
      <c r="I50" s="647" t="s">
        <v>168</v>
      </c>
      <c r="J50" s="647"/>
      <c r="K50" s="647"/>
      <c r="L50" s="647"/>
      <c r="M50" s="647"/>
      <c r="N50" s="647"/>
      <c r="O50" s="111">
        <v>1</v>
      </c>
      <c r="P50" s="106">
        <f>_xlfn.CEILING.MATH($P$28*O50)</f>
        <v>6100</v>
      </c>
      <c r="Q50" s="106">
        <f>_xlfn.CEILING.MATH($Q$28*O50/O29)</f>
        <v>6100</v>
      </c>
      <c r="R50" s="2"/>
    </row>
    <row r="51" spans="1:50" hidden="1" x14ac:dyDescent="0.3">
      <c r="I51" s="649"/>
      <c r="J51" s="649"/>
      <c r="K51" s="649"/>
      <c r="L51" s="649"/>
      <c r="M51" s="649"/>
      <c r="N51" s="649"/>
    </row>
    <row r="52" spans="1:50" ht="35.4" customHeight="1" x14ac:dyDescent="0.85">
      <c r="AB52" s="650" t="s">
        <v>192</v>
      </c>
      <c r="AC52" s="650"/>
      <c r="AD52" s="650"/>
      <c r="AE52" s="650"/>
      <c r="AF52" s="650"/>
      <c r="AG52" s="650"/>
      <c r="AH52" s="650"/>
      <c r="AI52" s="650"/>
      <c r="AJ52" s="650"/>
      <c r="AK52" s="650"/>
      <c r="AL52" s="650"/>
      <c r="AM52" s="650"/>
      <c r="AN52" s="650"/>
      <c r="AO52" s="104"/>
      <c r="AP52" s="104"/>
    </row>
    <row r="53" spans="1:50" x14ac:dyDescent="0.3">
      <c r="A53" s="646" t="s">
        <v>193</v>
      </c>
      <c r="B53" s="646"/>
      <c r="C53" s="646"/>
      <c r="D53" s="646"/>
      <c r="E53" s="646"/>
      <c r="F53" s="646"/>
      <c r="G53" s="646"/>
      <c r="H53" s="646"/>
      <c r="I53" s="646"/>
      <c r="J53" s="646"/>
      <c r="K53" s="646"/>
      <c r="L53" s="646"/>
      <c r="M53" s="646"/>
      <c r="N53" s="646"/>
      <c r="O53" s="646"/>
      <c r="P53" s="646"/>
      <c r="Q53" s="646"/>
    </row>
    <row r="54" spans="1:50" ht="23.4" x14ac:dyDescent="0.45">
      <c r="A54" s="646"/>
      <c r="B54" s="646"/>
      <c r="C54" s="646"/>
      <c r="D54" s="646"/>
      <c r="E54" s="646"/>
      <c r="F54" s="646"/>
      <c r="G54" s="646"/>
      <c r="H54" s="646"/>
      <c r="I54" s="646"/>
      <c r="J54" s="646"/>
      <c r="K54" s="646"/>
      <c r="L54" s="646"/>
      <c r="M54" s="646"/>
      <c r="N54" s="646"/>
      <c r="O54" s="646"/>
      <c r="P54" s="646"/>
      <c r="Q54" s="646"/>
      <c r="T54" s="108"/>
      <c r="U54" s="115" t="s">
        <v>180</v>
      </c>
    </row>
    <row r="55" spans="1:50" ht="23.4" x14ac:dyDescent="0.45">
      <c r="A55" s="646"/>
      <c r="B55" s="646"/>
      <c r="C55" s="646"/>
      <c r="D55" s="646"/>
      <c r="E55" s="646"/>
      <c r="F55" s="646"/>
      <c r="G55" s="646"/>
      <c r="H55" s="646"/>
      <c r="I55" s="646"/>
      <c r="J55" s="646"/>
      <c r="K55" s="646"/>
      <c r="L55" s="646"/>
      <c r="M55" s="646"/>
      <c r="N55" s="646"/>
      <c r="O55" s="646"/>
      <c r="P55" s="646"/>
      <c r="Q55" s="646"/>
      <c r="T55" s="110"/>
      <c r="U55" s="115" t="s">
        <v>182</v>
      </c>
    </row>
    <row r="59" spans="1:50" ht="25.2" customHeight="1" x14ac:dyDescent="0.3"/>
    <row r="60" spans="1:50" ht="31.95" customHeight="1" x14ac:dyDescent="0.3">
      <c r="G60" s="301"/>
      <c r="H60" s="301"/>
      <c r="I60" s="301"/>
      <c r="J60" s="301"/>
      <c r="K60" s="301"/>
      <c r="L60" s="301"/>
      <c r="M60" s="301"/>
      <c r="N60" s="301"/>
      <c r="O60" s="301"/>
      <c r="P60" s="301"/>
      <c r="Q60" s="301"/>
    </row>
    <row r="61" spans="1:50" ht="49.95" customHeight="1" x14ac:dyDescent="0.55000000000000004">
      <c r="G61" s="301"/>
      <c r="H61" s="301"/>
      <c r="I61" s="301"/>
      <c r="J61" s="301"/>
      <c r="K61" s="301"/>
      <c r="L61" s="301"/>
      <c r="M61" s="301"/>
      <c r="N61" s="301"/>
      <c r="O61" s="301"/>
      <c r="P61" s="301"/>
      <c r="Q61" s="301"/>
      <c r="AX61" s="135"/>
    </row>
    <row r="62" spans="1:50" ht="32.4" customHeight="1" x14ac:dyDescent="0.3">
      <c r="G62" s="301"/>
      <c r="H62" s="301"/>
      <c r="I62" s="301"/>
      <c r="J62" s="301"/>
      <c r="K62" s="301"/>
      <c r="L62" s="301"/>
      <c r="M62" s="301"/>
      <c r="N62" s="301"/>
      <c r="O62" s="301"/>
      <c r="P62" s="301"/>
      <c r="Q62" s="301"/>
    </row>
    <row r="65" spans="6:49" ht="19.2" customHeight="1" x14ac:dyDescent="0.6">
      <c r="F65" s="150"/>
      <c r="H65" s="151"/>
      <c r="I65" s="152"/>
      <c r="J65" s="152"/>
      <c r="K65" s="152"/>
      <c r="L65" s="152"/>
      <c r="M65" s="152"/>
      <c r="AW65" s="133"/>
    </row>
    <row r="66" spans="6:49" ht="18" x14ac:dyDescent="0.35">
      <c r="F66" s="153"/>
      <c r="H66" s="151"/>
      <c r="I66" s="151"/>
      <c r="J66" s="151"/>
      <c r="K66" s="151"/>
      <c r="L66" s="151"/>
      <c r="M66" s="151"/>
    </row>
    <row r="67" spans="6:49" ht="18" x14ac:dyDescent="0.35">
      <c r="F67" s="153"/>
      <c r="H67" s="154"/>
    </row>
    <row r="72" spans="6:49" ht="36.6" x14ac:dyDescent="0.7">
      <c r="AW72" s="134"/>
    </row>
  </sheetData>
  <autoFilter ref="A1:Q51" xr:uid="{00000000-0009-0000-0000-000001000000}">
    <filterColumn colId="7">
      <customFilters>
        <customFilter operator="notEqual" val=" "/>
      </customFilters>
    </filterColumn>
    <filterColumn colId="8" showButton="0"/>
    <filterColumn colId="9" showButton="0"/>
    <filterColumn colId="10" showButton="0"/>
    <filterColumn colId="11" showButton="0"/>
    <filterColumn colId="12" showButton="0"/>
  </autoFilter>
  <mergeCells count="54">
    <mergeCell ref="AS4:AY4"/>
    <mergeCell ref="I1:N1"/>
    <mergeCell ref="I3:N3"/>
    <mergeCell ref="I4:N4"/>
    <mergeCell ref="AA4:AM4"/>
    <mergeCell ref="I16:N16"/>
    <mergeCell ref="I5:N5"/>
    <mergeCell ref="I6:N6"/>
    <mergeCell ref="I7:N7"/>
    <mergeCell ref="I8:N8"/>
    <mergeCell ref="I9:N9"/>
    <mergeCell ref="I10:N10"/>
    <mergeCell ref="I11:N11"/>
    <mergeCell ref="I12:N12"/>
    <mergeCell ref="I13:N13"/>
    <mergeCell ref="I14:N14"/>
    <mergeCell ref="I15:N15"/>
    <mergeCell ref="I28:N28"/>
    <mergeCell ref="I17:N17"/>
    <mergeCell ref="I18:N18"/>
    <mergeCell ref="I19:N19"/>
    <mergeCell ref="I20:N20"/>
    <mergeCell ref="I21:N21"/>
    <mergeCell ref="I22:N22"/>
    <mergeCell ref="I23:N23"/>
    <mergeCell ref="I24:N24"/>
    <mergeCell ref="I25:N25"/>
    <mergeCell ref="I26:N26"/>
    <mergeCell ref="I27:N27"/>
    <mergeCell ref="I40:N40"/>
    <mergeCell ref="I29:N29"/>
    <mergeCell ref="I30:N30"/>
    <mergeCell ref="I31:N31"/>
    <mergeCell ref="I32:N32"/>
    <mergeCell ref="I33:N33"/>
    <mergeCell ref="I34:N34"/>
    <mergeCell ref="I35:N35"/>
    <mergeCell ref="I36:N36"/>
    <mergeCell ref="I37:N37"/>
    <mergeCell ref="I38:N38"/>
    <mergeCell ref="I39:N39"/>
    <mergeCell ref="AB52:AN52"/>
    <mergeCell ref="I41:N41"/>
    <mergeCell ref="I42:N42"/>
    <mergeCell ref="I43:N43"/>
    <mergeCell ref="I44:N44"/>
    <mergeCell ref="I45:N45"/>
    <mergeCell ref="I46:N46"/>
    <mergeCell ref="A53:Q55"/>
    <mergeCell ref="I47:N47"/>
    <mergeCell ref="I48:N48"/>
    <mergeCell ref="I49:N49"/>
    <mergeCell ref="I50:N50"/>
    <mergeCell ref="I51:N5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E34A7-ED59-4E05-8CE7-C73C5C0BBEA2}">
  <dimension ref="A1:AQ201"/>
  <sheetViews>
    <sheetView zoomScale="48" zoomScaleNormal="70" workbookViewId="0">
      <pane xSplit="12" ySplit="6" topLeftCell="M32" activePane="bottomRight" state="frozen"/>
      <selection pane="topRight" activeCell="M1" sqref="M1"/>
      <selection pane="bottomLeft" activeCell="A7" sqref="A7"/>
      <selection pane="bottomRight" activeCell="J76" sqref="J76"/>
    </sheetView>
  </sheetViews>
  <sheetFormatPr defaultRowHeight="14.4" x14ac:dyDescent="0.3"/>
  <cols>
    <col min="1" max="1" width="51.6640625" customWidth="1"/>
    <col min="2" max="2" width="22" customWidth="1"/>
    <col min="3" max="3" width="20" customWidth="1"/>
    <col min="4" max="4" width="12.109375" customWidth="1"/>
    <col min="5" max="5" width="9.6640625" customWidth="1"/>
    <col min="6" max="6" width="11.88671875" customWidth="1"/>
    <col min="7" max="7" width="12.6640625" customWidth="1"/>
    <col min="8" max="8" width="21.44140625" customWidth="1"/>
    <col min="9" max="9" width="9.109375" bestFit="1" customWidth="1"/>
    <col min="10" max="10" width="17.6640625" customWidth="1"/>
    <col min="11" max="11" width="11.109375" customWidth="1"/>
    <col min="12" max="12" width="12.44140625" customWidth="1"/>
    <col min="13" max="13" width="8.88671875" customWidth="1"/>
    <col min="14" max="14" width="18.6640625" customWidth="1"/>
    <col min="15" max="15" width="9.33203125" bestFit="1" customWidth="1"/>
    <col min="16" max="16" width="12.44140625" customWidth="1"/>
    <col min="17" max="17" width="12.6640625" customWidth="1"/>
    <col min="18" max="18" width="9.109375" bestFit="1" customWidth="1"/>
    <col min="19" max="19" width="17.44140625" customWidth="1"/>
    <col min="20" max="20" width="16.5546875" customWidth="1"/>
    <col min="21" max="21" width="20.88671875" bestFit="1" customWidth="1"/>
    <col min="22" max="22" width="9.109375" bestFit="1" customWidth="1"/>
    <col min="23" max="23" width="12" bestFit="1" customWidth="1"/>
    <col min="24" max="24" width="10.44140625" customWidth="1"/>
    <col min="25" max="25" width="9.109375" bestFit="1" customWidth="1"/>
    <col min="26" max="26" width="20.33203125" customWidth="1"/>
    <col min="27" max="27" width="27.33203125" customWidth="1"/>
    <col min="28" max="28" width="26.33203125" customWidth="1"/>
    <col min="29" max="29" width="27.44140625" bestFit="1" customWidth="1"/>
    <col min="30" max="38" width="9.109375" bestFit="1" customWidth="1"/>
    <col min="39" max="39" width="10.44140625" customWidth="1"/>
  </cols>
  <sheetData>
    <row r="1" spans="1:29" ht="14.4" customHeight="1" x14ac:dyDescent="0.3">
      <c r="A1" s="690" t="s">
        <v>194</v>
      </c>
      <c r="B1" s="690"/>
      <c r="C1" s="690"/>
      <c r="D1" s="46">
        <f>'$_DATI_BASE'!I11</f>
        <v>20333.333333333332</v>
      </c>
      <c r="E1" s="8" t="s">
        <v>36</v>
      </c>
      <c r="F1" s="47">
        <f>'$_DATI_BASE'!I12</f>
        <v>925</v>
      </c>
      <c r="G1" s="1" t="s">
        <v>195</v>
      </c>
      <c r="J1" s="1"/>
      <c r="M1" s="600" t="s">
        <v>196</v>
      </c>
      <c r="N1" s="600" t="s">
        <v>197</v>
      </c>
      <c r="O1" s="600" t="s">
        <v>198</v>
      </c>
      <c r="P1" s="600" t="s">
        <v>199</v>
      </c>
      <c r="Q1" s="600" t="s">
        <v>200</v>
      </c>
      <c r="R1" s="600" t="s">
        <v>201</v>
      </c>
      <c r="S1" s="600" t="s">
        <v>202</v>
      </c>
      <c r="T1" s="600" t="s">
        <v>203</v>
      </c>
      <c r="U1" s="600" t="s">
        <v>204</v>
      </c>
      <c r="V1" s="600" t="s">
        <v>205</v>
      </c>
      <c r="W1" s="600" t="s">
        <v>206</v>
      </c>
      <c r="X1" s="470"/>
      <c r="Y1" s="470"/>
    </row>
    <row r="2" spans="1:29" ht="14.4" customHeight="1" x14ac:dyDescent="0.3">
      <c r="A2" s="681" t="s">
        <v>208</v>
      </c>
      <c r="B2" s="681"/>
      <c r="C2" s="681"/>
      <c r="D2" s="46">
        <f>_xlfn.CEILING.MATH(D1*70%)</f>
        <v>14234</v>
      </c>
      <c r="E2" s="682" t="s">
        <v>209</v>
      </c>
      <c r="F2" s="682"/>
      <c r="G2" s="1">
        <f>'$_DATI_BASE'!M6</f>
        <v>22</v>
      </c>
      <c r="H2" s="1" t="s">
        <v>210</v>
      </c>
      <c r="I2" s="3">
        <f>'$_DATI_BASE'!M8</f>
        <v>330</v>
      </c>
      <c r="J2" s="1"/>
      <c r="M2" s="600"/>
      <c r="N2" s="600"/>
      <c r="O2" s="600"/>
      <c r="P2" s="590"/>
      <c r="Q2" s="590"/>
      <c r="R2" s="590"/>
      <c r="S2" s="590"/>
      <c r="T2" s="590"/>
      <c r="U2" s="590"/>
      <c r="V2" s="590"/>
      <c r="W2" s="590"/>
      <c r="X2" s="470"/>
      <c r="Y2" s="470"/>
    </row>
    <row r="3" spans="1:29" ht="14.4" customHeight="1" x14ac:dyDescent="0.3">
      <c r="A3" s="681" t="s">
        <v>211</v>
      </c>
      <c r="B3" s="681"/>
      <c r="C3" s="681"/>
      <c r="D3" s="46">
        <f>_xlfn.CEILING.MATH(D1*30%)</f>
        <v>6100</v>
      </c>
      <c r="E3" s="682" t="s">
        <v>212</v>
      </c>
      <c r="F3" s="682"/>
      <c r="G3" s="1">
        <f>'$_DATI_BASE'!M7</f>
        <v>15</v>
      </c>
      <c r="I3" s="1"/>
      <c r="J3" s="1"/>
      <c r="M3" s="600"/>
      <c r="N3" s="600"/>
      <c r="O3" s="600"/>
      <c r="P3" s="590"/>
      <c r="Q3" s="590"/>
      <c r="R3" s="590"/>
      <c r="S3" s="590"/>
      <c r="T3" s="590"/>
      <c r="U3" s="590"/>
      <c r="V3" s="590"/>
      <c r="W3" s="590"/>
      <c r="X3" s="470"/>
      <c r="Y3" s="470"/>
    </row>
    <row r="4" spans="1:29" ht="23.25" customHeight="1" x14ac:dyDescent="0.3">
      <c r="A4" s="590" t="s">
        <v>76</v>
      </c>
      <c r="B4" s="590"/>
      <c r="C4" s="643" t="s">
        <v>77</v>
      </c>
      <c r="D4" s="643" t="s">
        <v>149</v>
      </c>
      <c r="E4" s="643"/>
      <c r="F4" s="643"/>
      <c r="G4" s="643"/>
      <c r="H4" s="643"/>
      <c r="I4" s="643"/>
      <c r="J4" s="591" t="s">
        <v>213</v>
      </c>
      <c r="K4" s="591"/>
      <c r="L4" s="683" t="s">
        <v>214</v>
      </c>
      <c r="M4" s="600"/>
      <c r="N4" s="600"/>
      <c r="O4" s="590"/>
      <c r="P4" s="590"/>
      <c r="Q4" s="590"/>
      <c r="R4" s="590"/>
      <c r="S4" s="590"/>
      <c r="T4" s="590"/>
      <c r="U4" s="590"/>
      <c r="V4" s="590"/>
      <c r="W4" s="590"/>
      <c r="X4" s="470"/>
      <c r="Y4" s="470"/>
    </row>
    <row r="5" spans="1:29" ht="23.25" customHeight="1" x14ac:dyDescent="0.3">
      <c r="A5" s="590"/>
      <c r="B5" s="590"/>
      <c r="C5" s="643"/>
      <c r="D5" s="643"/>
      <c r="E5" s="643"/>
      <c r="F5" s="643"/>
      <c r="G5" s="643"/>
      <c r="H5" s="643"/>
      <c r="I5" s="643"/>
      <c r="J5" s="21" t="s">
        <v>215</v>
      </c>
      <c r="K5" s="21" t="s">
        <v>216</v>
      </c>
      <c r="L5" s="683"/>
      <c r="M5" s="600"/>
      <c r="N5" s="600"/>
      <c r="O5" s="590"/>
      <c r="P5" s="590"/>
      <c r="Q5" s="590"/>
      <c r="R5" s="590"/>
      <c r="S5" s="590"/>
      <c r="T5" s="590"/>
      <c r="U5" s="590"/>
      <c r="V5" s="590"/>
      <c r="W5" s="590"/>
      <c r="X5" s="470"/>
      <c r="Y5" s="470"/>
    </row>
    <row r="6" spans="1:29" ht="15" thickBot="1" x14ac:dyDescent="0.35">
      <c r="A6" s="690"/>
      <c r="B6" s="690"/>
      <c r="C6" s="690"/>
      <c r="D6" s="690"/>
      <c r="E6" s="690"/>
      <c r="F6" s="690"/>
      <c r="G6" s="690"/>
      <c r="H6" s="690"/>
      <c r="I6" s="690"/>
      <c r="J6" s="690"/>
      <c r="K6" s="690"/>
      <c r="L6" s="690"/>
      <c r="X6" s="5"/>
      <c r="Y6" s="5"/>
    </row>
    <row r="7" spans="1:29" x14ac:dyDescent="0.3">
      <c r="A7" s="600" t="s">
        <v>81</v>
      </c>
      <c r="B7" s="600"/>
      <c r="C7" s="11" t="str">
        <f>'$_DB_CICLI'!F5</f>
        <v>INTASS001-10</v>
      </c>
      <c r="D7" s="686" t="s">
        <v>179</v>
      </c>
      <c r="E7" s="686"/>
      <c r="F7" s="686"/>
      <c r="G7" s="686"/>
      <c r="H7" s="686"/>
      <c r="I7" s="686"/>
      <c r="J7" s="121">
        <f>'$_DB_CICLI'!Q4</f>
        <v>14234</v>
      </c>
      <c r="K7" s="121"/>
      <c r="L7" s="185">
        <f>J7</f>
        <v>14234</v>
      </c>
      <c r="M7" s="169">
        <f>'$_DATI_BASE'!T45</f>
        <v>500</v>
      </c>
      <c r="N7" s="170">
        <f>'$_DATI_BASE'!U45</f>
        <v>120</v>
      </c>
      <c r="O7" s="171">
        <v>1.7</v>
      </c>
      <c r="P7" s="189">
        <f>$G$3*$G$2*60</f>
        <v>19800</v>
      </c>
      <c r="Q7" s="124">
        <f>P7*'$_DATI_BASE'!$S$16</f>
        <v>19206</v>
      </c>
      <c r="R7" s="124">
        <f>(L7/M7)*N7</f>
        <v>3416.16</v>
      </c>
      <c r="S7" s="125">
        <f>Q7-R7</f>
        <v>15789.84</v>
      </c>
      <c r="T7" s="125">
        <f>S7*'$_DATI_BASE'!$T$16</f>
        <v>15631.9416</v>
      </c>
      <c r="U7" s="123">
        <f>T7/L7</f>
        <v>1.0982114374034002</v>
      </c>
      <c r="V7" s="123">
        <f>O7/U7</f>
        <v>1.5479714944687357</v>
      </c>
      <c r="W7" s="684">
        <f>SUM(V7+V8)</f>
        <v>2.2108736038178662</v>
      </c>
      <c r="AA7" s="65"/>
      <c r="AB7" s="65"/>
      <c r="AC7" s="65"/>
    </row>
    <row r="8" spans="1:29" x14ac:dyDescent="0.3">
      <c r="A8" s="600"/>
      <c r="B8" s="600"/>
      <c r="C8" s="11" t="str">
        <f>'$_DB_CICLI'!F29</f>
        <v>INTASS002-10</v>
      </c>
      <c r="D8" s="686" t="str">
        <f>'$_DB_CICLI'!I29</f>
        <v>ASSEMBLAGGIO FRESATRICE COMPLETA L=1750</v>
      </c>
      <c r="E8" s="686"/>
      <c r="F8" s="686"/>
      <c r="G8" s="686"/>
      <c r="H8" s="686"/>
      <c r="I8" s="686"/>
      <c r="J8" s="121"/>
      <c r="K8" s="121">
        <f>'$_DB_CICLI'!Q28</f>
        <v>6100</v>
      </c>
      <c r="L8" s="185">
        <f>K8</f>
        <v>6100</v>
      </c>
      <c r="M8" s="172">
        <f>'$_DATI_BASE'!T46</f>
        <v>215</v>
      </c>
      <c r="N8" s="122">
        <f>'$_DATI_BASE'!U46</f>
        <v>120</v>
      </c>
      <c r="O8" s="173">
        <v>1.7</v>
      </c>
      <c r="P8" s="189">
        <f>$G$3*$G$2*60</f>
        <v>19800</v>
      </c>
      <c r="Q8" s="124">
        <f>P8*'$_DATI_BASE'!$S$16</f>
        <v>19206</v>
      </c>
      <c r="R8" s="124">
        <f>(L8/M8)*N8</f>
        <v>3404.6511627906975</v>
      </c>
      <c r="S8" s="125">
        <f>Q8-R8</f>
        <v>15801.348837209302</v>
      </c>
      <c r="T8" s="125">
        <f>S8*'$_DATI_BASE'!$T$16</f>
        <v>15643.335348837209</v>
      </c>
      <c r="U8" s="123">
        <f>T8/L8</f>
        <v>2.5644812047274113</v>
      </c>
      <c r="V8" s="123">
        <f>O8/U8</f>
        <v>0.66290210934913041</v>
      </c>
      <c r="W8" s="685"/>
      <c r="AA8" s="65"/>
      <c r="AB8" s="65"/>
      <c r="AC8" s="65"/>
    </row>
    <row r="9" spans="1:29" x14ac:dyDescent="0.3">
      <c r="A9" s="687"/>
      <c r="B9" s="687"/>
      <c r="C9" s="687"/>
      <c r="D9" s="687"/>
      <c r="E9" s="687"/>
      <c r="F9" s="687"/>
      <c r="G9" s="687"/>
      <c r="H9" s="687"/>
      <c r="I9" s="687"/>
      <c r="J9" s="687"/>
      <c r="K9" s="687"/>
      <c r="L9" s="687"/>
      <c r="M9" s="174"/>
      <c r="N9" s="1"/>
      <c r="O9" s="175"/>
      <c r="AB9" s="65"/>
      <c r="AC9" s="65"/>
    </row>
    <row r="10" spans="1:29" x14ac:dyDescent="0.3">
      <c r="A10" s="600" t="s">
        <v>92</v>
      </c>
      <c r="B10" s="600"/>
      <c r="C10" s="11" t="str">
        <f>'$_DB_CICLI'!F7</f>
        <v>INTSAL001-10</v>
      </c>
      <c r="D10" s="686" t="str">
        <f>'$_DB_CICLI'!I7</f>
        <v xml:space="preserve"> SALD. TELAIO COMPL CON ATTACCHI TRATTORE L=1500</v>
      </c>
      <c r="E10" s="686"/>
      <c r="F10" s="686"/>
      <c r="G10" s="686"/>
      <c r="H10" s="686"/>
      <c r="I10" s="686"/>
      <c r="J10" s="126">
        <f>'$_DB_CICLI'!Q6</f>
        <v>14234</v>
      </c>
      <c r="K10" s="126"/>
      <c r="L10" s="186">
        <f>J10</f>
        <v>14234</v>
      </c>
      <c r="M10" s="176">
        <f>'$_DATI_BASE'!T47</f>
        <v>500</v>
      </c>
      <c r="N10" s="127">
        <f>'$_DATI_BASE'!U47</f>
        <v>60</v>
      </c>
      <c r="O10" s="177">
        <f>'$_DATI_BASE'!V47</f>
        <v>8</v>
      </c>
      <c r="P10" s="190">
        <f>$G$3*$G$2*60</f>
        <v>19800</v>
      </c>
      <c r="Q10" s="129">
        <f>P10*'$_DATI_BASE'!$S$20</f>
        <v>19404</v>
      </c>
      <c r="R10" s="129">
        <f>(L10/M10)*N10</f>
        <v>1708.08</v>
      </c>
      <c r="S10" s="130">
        <f>Q10-R10</f>
        <v>17695.919999999998</v>
      </c>
      <c r="T10" s="130">
        <f>S10*'$_DATI_BASE'!$T$20</f>
        <v>17165.042399999998</v>
      </c>
      <c r="U10" s="128">
        <f>T10/L10</f>
        <v>1.2059183925811436</v>
      </c>
      <c r="V10" s="128">
        <f>O10/U10</f>
        <v>6.6339480757705562</v>
      </c>
      <c r="W10" s="688">
        <f>SUM(V10:V11)</f>
        <v>9.4760113270096511</v>
      </c>
      <c r="AA10" s="65"/>
      <c r="AB10" s="65"/>
      <c r="AC10" s="65"/>
    </row>
    <row r="11" spans="1:29" x14ac:dyDescent="0.3">
      <c r="A11" s="600"/>
      <c r="B11" s="600"/>
      <c r="C11" s="11" t="str">
        <f>'$_DB_CICLI'!F31</f>
        <v>INTSAL002-10</v>
      </c>
      <c r="D11" s="686" t="str">
        <f>'$_DB_CICLI'!I31</f>
        <v xml:space="preserve"> SALD. TELAIO COMPL. CON ATTACCHI TRATTORE L=1750</v>
      </c>
      <c r="E11" s="686"/>
      <c r="F11" s="686"/>
      <c r="G11" s="686"/>
      <c r="H11" s="686"/>
      <c r="I11" s="686"/>
      <c r="J11" s="126"/>
      <c r="K11" s="126">
        <f>'$_DB_CICLI'!Q30</f>
        <v>6100</v>
      </c>
      <c r="L11" s="186">
        <f>K11</f>
        <v>6100</v>
      </c>
      <c r="M11" s="176">
        <f>'$_DATI_BASE'!T48</f>
        <v>215</v>
      </c>
      <c r="N11" s="127">
        <f>'$_DATI_BASE'!U48</f>
        <v>60</v>
      </c>
      <c r="O11" s="177">
        <f>'$_DATI_BASE'!V48</f>
        <v>8</v>
      </c>
      <c r="P11" s="190">
        <f>$G$3*$G$2*60</f>
        <v>19800</v>
      </c>
      <c r="Q11" s="129">
        <f>P11*'$_DATI_BASE'!$S$20</f>
        <v>19404</v>
      </c>
      <c r="R11" s="129">
        <f>(L11/M11)*N11</f>
        <v>1702.3255813953488</v>
      </c>
      <c r="S11" s="130">
        <f>Q11-R11</f>
        <v>17701.674418604653</v>
      </c>
      <c r="T11" s="130">
        <f>S11*'$_DATI_BASE'!$T$20</f>
        <v>17170.624186046512</v>
      </c>
      <c r="U11" s="128">
        <f>T11/L11</f>
        <v>2.814856423942051</v>
      </c>
      <c r="V11" s="128">
        <f>O11/U11</f>
        <v>2.8420632512390958</v>
      </c>
      <c r="W11" s="689"/>
      <c r="AA11" s="65"/>
      <c r="AB11" s="65"/>
      <c r="AC11" s="65"/>
    </row>
    <row r="12" spans="1:29" x14ac:dyDescent="0.3">
      <c r="A12" s="690"/>
      <c r="B12" s="690"/>
      <c r="C12" s="690"/>
      <c r="D12" s="690"/>
      <c r="E12" s="690"/>
      <c r="F12" s="690"/>
      <c r="G12" s="690"/>
      <c r="H12" s="690"/>
      <c r="I12" s="690"/>
      <c r="J12" s="690"/>
      <c r="K12" s="690"/>
      <c r="L12" s="690"/>
      <c r="M12" s="174"/>
      <c r="N12" s="1"/>
      <c r="O12" s="175"/>
      <c r="AB12" s="65"/>
      <c r="AC12" s="65"/>
    </row>
    <row r="13" spans="1:29" x14ac:dyDescent="0.3">
      <c r="A13" s="3"/>
      <c r="B13" s="3"/>
      <c r="D13" s="649"/>
      <c r="E13" s="649"/>
      <c r="F13" s="649"/>
      <c r="G13" s="649"/>
      <c r="H13" s="649"/>
      <c r="I13" s="649"/>
      <c r="J13" s="2"/>
      <c r="K13" s="2"/>
      <c r="L13" s="2"/>
      <c r="M13" s="174"/>
      <c r="N13" s="1"/>
      <c r="O13" s="175"/>
      <c r="AB13" s="65"/>
      <c r="AC13" s="65"/>
    </row>
    <row r="14" spans="1:29" ht="15" customHeight="1" x14ac:dyDescent="0.3">
      <c r="A14" s="642" t="s">
        <v>217</v>
      </c>
      <c r="B14" s="642"/>
      <c r="C14" s="11" t="s">
        <v>105</v>
      </c>
      <c r="D14" s="686" t="str">
        <f>'$_DB_CICLI'!I9</f>
        <v>PRESSOPIEGATURA CARTER L=1500</v>
      </c>
      <c r="E14" s="686"/>
      <c r="F14" s="686"/>
      <c r="G14" s="686"/>
      <c r="H14" s="686"/>
      <c r="I14" s="686"/>
      <c r="J14" s="116">
        <f>'$_DB_CICLI'!Q9</f>
        <v>14675</v>
      </c>
      <c r="K14" s="116"/>
      <c r="L14" s="187">
        <f>J14</f>
        <v>14675</v>
      </c>
      <c r="M14" s="178">
        <f>'$_DATI_BASE'!T49</f>
        <v>500</v>
      </c>
      <c r="N14" s="117">
        <f>'$_DATI_BASE'!U49</f>
        <v>30</v>
      </c>
      <c r="O14" s="179">
        <f>'$_DATI_BASE'!V49</f>
        <v>1</v>
      </c>
      <c r="P14" s="191">
        <f t="shared" ref="P14:P22" si="0">$G$3*$G$2*60</f>
        <v>19800</v>
      </c>
      <c r="Q14" s="119">
        <f>P14*'$_DATI_BASE'!$S$26</f>
        <v>19404</v>
      </c>
      <c r="R14" s="119">
        <f>(L14/M14)*N14</f>
        <v>880.5</v>
      </c>
      <c r="S14" s="120">
        <f t="shared" ref="S14:S22" si="1">Q14-R14</f>
        <v>18523.5</v>
      </c>
      <c r="T14" s="120">
        <f>S14*'$_DATI_BASE'!$T$26</f>
        <v>18338.264999999999</v>
      </c>
      <c r="U14" s="118">
        <f>T14/L14</f>
        <v>1.2496262350936966</v>
      </c>
      <c r="V14" s="118">
        <f t="shared" ref="V14:V22" si="2">O14/U14</f>
        <v>0.80023928108793285</v>
      </c>
      <c r="W14" s="701">
        <f>SUM(V14,V16,V18,V20)</f>
        <v>3.5657961725232514</v>
      </c>
      <c r="AB14" s="65"/>
      <c r="AC14" s="65"/>
    </row>
    <row r="15" spans="1:29" ht="15" customHeight="1" x14ac:dyDescent="0.3">
      <c r="A15" s="642"/>
      <c r="B15" s="642"/>
      <c r="C15" s="11" t="s">
        <v>110</v>
      </c>
      <c r="D15" s="686" t="str">
        <f>'$_DB_CICLI'!I10</f>
        <v>TRANCIATURA CARTER L=1500</v>
      </c>
      <c r="E15" s="686"/>
      <c r="F15" s="686"/>
      <c r="G15" s="686"/>
      <c r="H15" s="686"/>
      <c r="I15" s="686"/>
      <c r="J15" s="29">
        <f>'$_DB_CICLI'!Q10</f>
        <v>14975</v>
      </c>
      <c r="K15" s="29"/>
      <c r="L15" s="188">
        <f>J15</f>
        <v>14975</v>
      </c>
      <c r="M15" s="180">
        <f>'$_DATI_BASE'!T50</f>
        <v>500</v>
      </c>
      <c r="N15" s="30">
        <f>'$_DATI_BASE'!U50</f>
        <v>30</v>
      </c>
      <c r="O15" s="181">
        <f>'$_DATI_BASE'!V50</f>
        <v>1</v>
      </c>
      <c r="P15" s="192">
        <f t="shared" si="0"/>
        <v>19800</v>
      </c>
      <c r="Q15" s="32">
        <f>P15*'$_DATI_BASE'!$S$26</f>
        <v>19404</v>
      </c>
      <c r="R15" s="32">
        <f t="shared" ref="R15:R22" si="3">(L15/M15)*N15</f>
        <v>898.5</v>
      </c>
      <c r="S15" s="33">
        <f t="shared" si="1"/>
        <v>18505.5</v>
      </c>
      <c r="T15" s="33">
        <f>S15*'$_DATI_BASE'!$T$26</f>
        <v>18320.445</v>
      </c>
      <c r="U15" s="31">
        <f t="shared" ref="U15:U22" si="4">T15/L15</f>
        <v>1.2234020033388981</v>
      </c>
      <c r="V15" s="31">
        <f t="shared" si="2"/>
        <v>0.81739280896288269</v>
      </c>
      <c r="W15" s="701"/>
      <c r="AB15" s="65"/>
      <c r="AC15" s="65"/>
    </row>
    <row r="16" spans="1:29" ht="15" customHeight="1" x14ac:dyDescent="0.3">
      <c r="A16" s="642"/>
      <c r="B16" s="642"/>
      <c r="C16" s="11" t="s">
        <v>114</v>
      </c>
      <c r="D16" s="686" t="str">
        <f>'$_DB_CICLI'!I33</f>
        <v>PRESSOPIEGATURA CARTER L=1750</v>
      </c>
      <c r="E16" s="686"/>
      <c r="F16" s="686"/>
      <c r="G16" s="686"/>
      <c r="H16" s="686"/>
      <c r="I16" s="686"/>
      <c r="J16" s="116"/>
      <c r="K16" s="116">
        <f>'$_DB_CICLI'!Q33</f>
        <v>6289</v>
      </c>
      <c r="L16" s="187">
        <f>K16</f>
        <v>6289</v>
      </c>
      <c r="M16" s="178">
        <f>'$_DATI_BASE'!T51</f>
        <v>215</v>
      </c>
      <c r="N16" s="117">
        <f>'$_DATI_BASE'!U51</f>
        <v>30</v>
      </c>
      <c r="O16" s="179">
        <f>'$_DATI_BASE'!V51</f>
        <v>1.2</v>
      </c>
      <c r="P16" s="191">
        <f t="shared" si="0"/>
        <v>19800</v>
      </c>
      <c r="Q16" s="119">
        <f>P16*'$_DATI_BASE'!$S$26</f>
        <v>19404</v>
      </c>
      <c r="R16" s="119">
        <f t="shared" si="3"/>
        <v>877.53488372093022</v>
      </c>
      <c r="S16" s="120">
        <f t="shared" si="1"/>
        <v>18526.465116279069</v>
      </c>
      <c r="T16" s="120">
        <f>S16*'$_DATI_BASE'!$T$26</f>
        <v>18341.200465116279</v>
      </c>
      <c r="U16" s="118">
        <f t="shared" si="4"/>
        <v>2.9163937772485733</v>
      </c>
      <c r="V16" s="118">
        <f t="shared" si="2"/>
        <v>0.4114670691459647</v>
      </c>
      <c r="W16" s="701"/>
      <c r="Z16" s="402"/>
      <c r="AA16" s="555"/>
      <c r="AB16" s="555"/>
      <c r="AC16" s="65"/>
    </row>
    <row r="17" spans="1:29" ht="15" customHeight="1" x14ac:dyDescent="0.3">
      <c r="A17" s="642"/>
      <c r="B17" s="642"/>
      <c r="C17" s="11" t="s">
        <v>119</v>
      </c>
      <c r="D17" s="686" t="str">
        <f>'$_DB_CICLI'!I34</f>
        <v>TRANCIATURA CARTER L=1750</v>
      </c>
      <c r="E17" s="686"/>
      <c r="F17" s="686"/>
      <c r="G17" s="686"/>
      <c r="H17" s="686"/>
      <c r="I17" s="686"/>
      <c r="J17" s="29"/>
      <c r="K17" s="29">
        <f>'$_DB_CICLI'!Q34</f>
        <v>6418</v>
      </c>
      <c r="L17" s="188">
        <f>K17</f>
        <v>6418</v>
      </c>
      <c r="M17" s="180">
        <f>'$_DATI_BASE'!T52</f>
        <v>215</v>
      </c>
      <c r="N17" s="30">
        <f>'$_DATI_BASE'!U52</f>
        <v>30</v>
      </c>
      <c r="O17" s="181">
        <f>'$_DATI_BASE'!V52</f>
        <v>1.2</v>
      </c>
      <c r="P17" s="192">
        <f t="shared" si="0"/>
        <v>19800</v>
      </c>
      <c r="Q17" s="32">
        <f>P17*'$_DATI_BASE'!$S$26</f>
        <v>19404</v>
      </c>
      <c r="R17" s="32">
        <f t="shared" si="3"/>
        <v>895.53488372093022</v>
      </c>
      <c r="S17" s="33">
        <f t="shared" si="1"/>
        <v>18508.465116279069</v>
      </c>
      <c r="T17" s="33">
        <f>S17*'$_DATI_BASE'!$T$26</f>
        <v>18323.380465116279</v>
      </c>
      <c r="U17" s="31">
        <f t="shared" si="4"/>
        <v>2.8549985143528014</v>
      </c>
      <c r="V17" s="31">
        <f t="shared" si="2"/>
        <v>0.4203154551455266</v>
      </c>
      <c r="W17" s="701"/>
      <c r="AA17" s="65"/>
      <c r="AB17" s="65"/>
      <c r="AC17" s="65"/>
    </row>
    <row r="18" spans="1:29" ht="15" customHeight="1" x14ac:dyDescent="0.3">
      <c r="A18" s="642"/>
      <c r="B18" s="642"/>
      <c r="C18" s="11" t="s">
        <v>124</v>
      </c>
      <c r="D18" s="686" t="str">
        <f>'$_DB_CICLI'!I13</f>
        <v>PRESSOPIEGATURA STAFFE RINFORZO</v>
      </c>
      <c r="E18" s="686"/>
      <c r="F18" s="686"/>
      <c r="G18" s="686"/>
      <c r="H18" s="686"/>
      <c r="I18" s="686"/>
      <c r="J18" s="116">
        <f>'$_DB_CICLI'!Q13</f>
        <v>44023</v>
      </c>
      <c r="K18" s="116">
        <f>'$_DB_CICLI'!Q37</f>
        <v>31444</v>
      </c>
      <c r="L18" s="187">
        <f>SUM(J18:K18)</f>
        <v>75467</v>
      </c>
      <c r="M18" s="178">
        <f>'$_DATI_BASE'!T53</f>
        <v>3000</v>
      </c>
      <c r="N18" s="117">
        <f>'$_DATI_BASE'!U53</f>
        <v>30</v>
      </c>
      <c r="O18" s="179">
        <f>'$_DATI_BASE'!V53</f>
        <v>0.3</v>
      </c>
      <c r="P18" s="191">
        <f t="shared" si="0"/>
        <v>19800</v>
      </c>
      <c r="Q18" s="119">
        <f>P18*'$_DATI_BASE'!$S$26</f>
        <v>19404</v>
      </c>
      <c r="R18" s="119">
        <f t="shared" si="3"/>
        <v>754.67</v>
      </c>
      <c r="S18" s="120">
        <f t="shared" si="1"/>
        <v>18649.330000000002</v>
      </c>
      <c r="T18" s="120">
        <f>S18*'$_DATI_BASE'!$T$26</f>
        <v>18462.8367</v>
      </c>
      <c r="U18" s="118">
        <f t="shared" si="4"/>
        <v>0.24464781560152118</v>
      </c>
      <c r="V18" s="118">
        <f t="shared" si="2"/>
        <v>1.2262525183900912</v>
      </c>
      <c r="W18" s="702">
        <f>SUM(V15,V17,V19,V21,V22)</f>
        <v>5.4462260806085965</v>
      </c>
      <c r="AA18" s="65"/>
      <c r="AB18" s="65"/>
      <c r="AC18" s="65"/>
    </row>
    <row r="19" spans="1:29" ht="15" customHeight="1" x14ac:dyDescent="0.3">
      <c r="A19" s="642"/>
      <c r="B19" s="642"/>
      <c r="C19" s="11" t="s">
        <v>126</v>
      </c>
      <c r="D19" s="686" t="str">
        <f>'$_DB_CICLI'!I14</f>
        <v>TRANCIATURA STAFFE RINFORZO</v>
      </c>
      <c r="E19" s="686"/>
      <c r="F19" s="686"/>
      <c r="G19" s="686"/>
      <c r="H19" s="686"/>
      <c r="I19" s="686"/>
      <c r="J19" s="29">
        <f>'$_DB_CICLI'!Q14</f>
        <v>44922</v>
      </c>
      <c r="K19" s="29">
        <f>'$_DB_CICLI'!Q38</f>
        <v>32086</v>
      </c>
      <c r="L19" s="188">
        <f>SUM(J19:K19)</f>
        <v>77008</v>
      </c>
      <c r="M19" s="180">
        <f>'$_DATI_BASE'!T54</f>
        <v>3000</v>
      </c>
      <c r="N19" s="30">
        <f>'$_DATI_BASE'!U54</f>
        <v>30</v>
      </c>
      <c r="O19" s="181">
        <f>'$_DATI_BASE'!V54</f>
        <v>0.3</v>
      </c>
      <c r="P19" s="192">
        <f t="shared" si="0"/>
        <v>19800</v>
      </c>
      <c r="Q19" s="32">
        <f>P19*'$_DATI_BASE'!$S$26</f>
        <v>19404</v>
      </c>
      <c r="R19" s="32">
        <f t="shared" si="3"/>
        <v>770.08</v>
      </c>
      <c r="S19" s="33">
        <f t="shared" si="1"/>
        <v>18633.919999999998</v>
      </c>
      <c r="T19" s="33">
        <f>S19*'$_DATI_BASE'!$T$26</f>
        <v>18447.5808</v>
      </c>
      <c r="U19" s="31">
        <f t="shared" si="4"/>
        <v>0.23955408269270725</v>
      </c>
      <c r="V19" s="31">
        <f t="shared" si="2"/>
        <v>1.252326809160798</v>
      </c>
      <c r="W19" s="703"/>
      <c r="AA19" s="65"/>
      <c r="AB19" s="65"/>
      <c r="AC19" s="65"/>
    </row>
    <row r="20" spans="1:29" ht="15" customHeight="1" x14ac:dyDescent="0.3">
      <c r="A20" s="642"/>
      <c r="B20" s="642"/>
      <c r="C20" s="11" t="s">
        <v>128</v>
      </c>
      <c r="D20" s="686" t="str">
        <f>'$_DB_CICLI'!I17</f>
        <v>PRESSOPIEGATURA PIASTRE ATTACCO TRATTORE</v>
      </c>
      <c r="E20" s="686"/>
      <c r="F20" s="686"/>
      <c r="G20" s="686"/>
      <c r="H20" s="686"/>
      <c r="I20" s="686"/>
      <c r="J20" s="116">
        <f>'$_DB_CICLI'!Q17</f>
        <v>29349</v>
      </c>
      <c r="K20" s="116">
        <f>'$_DB_CICLI'!Q41</f>
        <v>12578</v>
      </c>
      <c r="L20" s="187">
        <f>SUM(J20:K20)</f>
        <v>41927</v>
      </c>
      <c r="M20" s="178">
        <f>'$_DATI_BASE'!T55</f>
        <v>2000</v>
      </c>
      <c r="N20" s="117">
        <f>'$_DATI_BASE'!U55</f>
        <v>30</v>
      </c>
      <c r="O20" s="179">
        <f>'$_DATI_BASE'!V55</f>
        <v>0.5</v>
      </c>
      <c r="P20" s="191">
        <f t="shared" si="0"/>
        <v>19800</v>
      </c>
      <c r="Q20" s="119">
        <f>P20*'$_DATI_BASE'!$S$26</f>
        <v>19404</v>
      </c>
      <c r="R20" s="119">
        <f t="shared" si="3"/>
        <v>628.90499999999997</v>
      </c>
      <c r="S20" s="120">
        <f t="shared" si="1"/>
        <v>18775.095000000001</v>
      </c>
      <c r="T20" s="120">
        <f>S20*'$_DATI_BASE'!$T$26</f>
        <v>18587.34405</v>
      </c>
      <c r="U20" s="118">
        <f t="shared" si="4"/>
        <v>0.44332635413933741</v>
      </c>
      <c r="V20" s="118">
        <f t="shared" si="2"/>
        <v>1.1278373038992626</v>
      </c>
      <c r="W20" s="703"/>
      <c r="AA20" s="65"/>
      <c r="AB20" s="65"/>
      <c r="AC20" s="65"/>
    </row>
    <row r="21" spans="1:29" ht="15" customHeight="1" x14ac:dyDescent="0.3">
      <c r="A21" s="642"/>
      <c r="B21" s="642"/>
      <c r="C21" s="11" t="s">
        <v>132</v>
      </c>
      <c r="D21" s="686" t="str">
        <f>'$_DB_CICLI'!I18</f>
        <v>TRANCIATURA STAFFE ATTACCO TRATTORE</v>
      </c>
      <c r="E21" s="686"/>
      <c r="F21" s="686"/>
      <c r="G21" s="686"/>
      <c r="H21" s="686"/>
      <c r="I21" s="686"/>
      <c r="J21" s="29">
        <f>'$_DB_CICLI'!Q18</f>
        <v>29948</v>
      </c>
      <c r="K21" s="29">
        <f>'$_DB_CICLI'!Q42</f>
        <v>12835</v>
      </c>
      <c r="L21" s="188">
        <f>SUM(J21:K21)</f>
        <v>42783</v>
      </c>
      <c r="M21" s="180">
        <f>'$_DATI_BASE'!T56</f>
        <v>2000</v>
      </c>
      <c r="N21" s="30">
        <f>'$_DATI_BASE'!U56</f>
        <v>30</v>
      </c>
      <c r="O21" s="181">
        <f>'$_DATI_BASE'!V56</f>
        <v>0.5</v>
      </c>
      <c r="P21" s="192">
        <f t="shared" si="0"/>
        <v>19800</v>
      </c>
      <c r="Q21" s="32">
        <f>P21*'$_DATI_BASE'!$S$26</f>
        <v>19404</v>
      </c>
      <c r="R21" s="32">
        <f t="shared" si="3"/>
        <v>641.745</v>
      </c>
      <c r="S21" s="33">
        <f t="shared" si="1"/>
        <v>18762.255000000001</v>
      </c>
      <c r="T21" s="33">
        <f>S21*'$_DATI_BASE'!$T$26</f>
        <v>18574.632450000001</v>
      </c>
      <c r="U21" s="31">
        <f t="shared" si="4"/>
        <v>0.43415918589159247</v>
      </c>
      <c r="V21" s="31">
        <f t="shared" si="2"/>
        <v>1.151651321100569</v>
      </c>
      <c r="W21" s="703"/>
      <c r="AA21" s="65"/>
      <c r="AB21" s="65"/>
      <c r="AC21" s="65"/>
    </row>
    <row r="22" spans="1:29" ht="16.5" customHeight="1" thickBot="1" x14ac:dyDescent="0.35">
      <c r="A22" s="642"/>
      <c r="B22" s="642"/>
      <c r="C22" s="11" t="s">
        <v>136</v>
      </c>
      <c r="D22" s="686" t="str">
        <f>'$_DB_CICLI'!I45</f>
        <v>TRANCIATURA PIASTRE LATERALI</v>
      </c>
      <c r="E22" s="686"/>
      <c r="F22" s="686"/>
      <c r="G22" s="686"/>
      <c r="H22" s="686"/>
      <c r="I22" s="686"/>
      <c r="J22" s="29">
        <f>'$_DB_CICLI'!Q21</f>
        <v>29349</v>
      </c>
      <c r="K22" s="29">
        <f>'$_DB_CICLI'!Q45</f>
        <v>12578</v>
      </c>
      <c r="L22" s="188">
        <f>SUM(J22:K22)</f>
        <v>41927</v>
      </c>
      <c r="M22" s="182">
        <f>'$_DATI_BASE'!T57</f>
        <v>2000</v>
      </c>
      <c r="N22" s="183">
        <f>'$_DATI_BASE'!U57</f>
        <v>30</v>
      </c>
      <c r="O22" s="184">
        <f>'$_DATI_BASE'!V57</f>
        <v>0.8</v>
      </c>
      <c r="P22" s="192">
        <f t="shared" si="0"/>
        <v>19800</v>
      </c>
      <c r="Q22" s="32">
        <f>P22*'$_DATI_BASE'!$S$26</f>
        <v>19404</v>
      </c>
      <c r="R22" s="32">
        <f t="shared" si="3"/>
        <v>628.90499999999997</v>
      </c>
      <c r="S22" s="33">
        <f t="shared" si="1"/>
        <v>18775.095000000001</v>
      </c>
      <c r="T22" s="33">
        <f>S22*'$_DATI_BASE'!$T$26</f>
        <v>18587.34405</v>
      </c>
      <c r="U22" s="31">
        <f t="shared" si="4"/>
        <v>0.44332635413933741</v>
      </c>
      <c r="V22" s="31">
        <f t="shared" si="2"/>
        <v>1.8045396862388203</v>
      </c>
      <c r="W22" s="704"/>
      <c r="AA22" s="65"/>
      <c r="AB22" s="65"/>
      <c r="AC22" s="65"/>
    </row>
    <row r="23" spans="1:29" ht="15" thickBot="1" x14ac:dyDescent="0.35">
      <c r="A23" s="3"/>
      <c r="B23" s="3"/>
      <c r="D23" s="649"/>
      <c r="E23" s="649"/>
      <c r="F23" s="649"/>
      <c r="G23" s="649"/>
      <c r="H23" s="649"/>
      <c r="I23" s="649"/>
      <c r="J23" s="2"/>
      <c r="K23" s="2"/>
      <c r="L23" s="2"/>
      <c r="M23" s="69"/>
      <c r="N23" s="69"/>
      <c r="O23" s="69"/>
      <c r="Q23" s="4"/>
    </row>
    <row r="24" spans="1:29" x14ac:dyDescent="0.3">
      <c r="B24" s="146"/>
      <c r="C24" s="137" t="s">
        <v>218</v>
      </c>
      <c r="D24" s="137"/>
      <c r="E24" s="286"/>
      <c r="G24" s="3"/>
    </row>
    <row r="25" spans="1:29" x14ac:dyDescent="0.3">
      <c r="B25" s="147"/>
      <c r="C25" t="s">
        <v>219</v>
      </c>
      <c r="E25" s="287"/>
      <c r="G25" s="3"/>
      <c r="O25" s="1"/>
    </row>
    <row r="26" spans="1:29" ht="16.2" customHeight="1" x14ac:dyDescent="0.3">
      <c r="B26" s="148"/>
      <c r="C26" s="48" t="s">
        <v>220</v>
      </c>
      <c r="E26" s="139"/>
      <c r="G26" s="3"/>
      <c r="N26" s="300" t="s">
        <v>221</v>
      </c>
      <c r="O26" s="300"/>
      <c r="P26" s="300"/>
      <c r="Q26" s="300"/>
      <c r="R26" s="300"/>
      <c r="S26" s="300"/>
      <c r="T26" s="300"/>
      <c r="U26" s="300"/>
      <c r="V26" s="300"/>
    </row>
    <row r="27" spans="1:29" ht="14.4" customHeight="1" thickBot="1" x14ac:dyDescent="0.35">
      <c r="B27" s="140"/>
      <c r="C27" s="691" t="s">
        <v>222</v>
      </c>
      <c r="D27" s="691"/>
      <c r="E27" s="692"/>
      <c r="G27" s="3"/>
      <c r="N27" s="300"/>
      <c r="O27" s="300"/>
      <c r="P27" s="300"/>
      <c r="Q27" s="300"/>
      <c r="R27" s="300"/>
      <c r="S27" s="300"/>
      <c r="T27" s="300"/>
      <c r="U27" s="300"/>
      <c r="V27" s="300"/>
    </row>
    <row r="28" spans="1:29" ht="14.4" customHeight="1" x14ac:dyDescent="0.3">
      <c r="N28" s="300"/>
      <c r="O28" s="300"/>
      <c r="P28" s="300"/>
      <c r="Q28" s="300"/>
      <c r="R28" s="300"/>
      <c r="S28" s="300"/>
      <c r="T28" s="300"/>
      <c r="U28" s="300"/>
      <c r="V28" s="300"/>
    </row>
    <row r="29" spans="1:29" ht="28.95" customHeight="1" thickBot="1" x14ac:dyDescent="0.35">
      <c r="N29" s="300"/>
      <c r="O29" s="300"/>
      <c r="P29" s="300"/>
      <c r="Q29" s="300"/>
      <c r="R29" s="300"/>
      <c r="S29" s="300"/>
      <c r="T29" s="300"/>
      <c r="U29" s="300"/>
      <c r="V29" s="300"/>
    </row>
    <row r="30" spans="1:29" ht="14.4" customHeight="1" x14ac:dyDescent="0.3">
      <c r="A30" s="660" t="s">
        <v>661</v>
      </c>
      <c r="B30" s="661"/>
      <c r="C30" s="661"/>
      <c r="D30" s="661"/>
      <c r="E30" s="661"/>
      <c r="F30" s="661"/>
      <c r="G30" s="661"/>
      <c r="H30" s="661"/>
      <c r="I30" s="661"/>
      <c r="J30" s="661"/>
      <c r="K30" s="661"/>
      <c r="L30" s="662"/>
      <c r="M30" s="693"/>
      <c r="N30" s="694"/>
      <c r="O30" s="694"/>
      <c r="P30" s="694"/>
      <c r="Q30" s="694"/>
      <c r="R30" s="694"/>
      <c r="S30" s="694"/>
      <c r="T30" s="694"/>
      <c r="U30" s="694"/>
      <c r="V30" s="694"/>
      <c r="W30" s="694"/>
      <c r="X30" s="694"/>
      <c r="Y30" s="694"/>
      <c r="Z30" s="694"/>
      <c r="AA30" s="695"/>
    </row>
    <row r="31" spans="1:29" ht="14.4" customHeight="1" x14ac:dyDescent="0.3">
      <c r="A31" s="663"/>
      <c r="B31" s="664"/>
      <c r="C31" s="664"/>
      <c r="D31" s="664"/>
      <c r="E31" s="664"/>
      <c r="F31" s="664"/>
      <c r="G31" s="664"/>
      <c r="H31" s="664"/>
      <c r="I31" s="664"/>
      <c r="J31" s="664"/>
      <c r="K31" s="664"/>
      <c r="L31" s="665"/>
      <c r="M31" s="696"/>
      <c r="N31" s="690"/>
      <c r="O31" s="690"/>
      <c r="P31" s="690"/>
      <c r="Q31" s="690"/>
      <c r="R31" s="690"/>
      <c r="S31" s="690"/>
      <c r="T31" s="690"/>
      <c r="U31" s="690"/>
      <c r="V31" s="690"/>
      <c r="W31" s="690"/>
      <c r="X31" s="690"/>
      <c r="Y31" s="690"/>
      <c r="Z31" s="690"/>
      <c r="AA31" s="697"/>
    </row>
    <row r="32" spans="1:29" ht="14.4" customHeight="1" thickBot="1" x14ac:dyDescent="0.35">
      <c r="A32" s="666"/>
      <c r="B32" s="667"/>
      <c r="C32" s="667"/>
      <c r="D32" s="667"/>
      <c r="E32" s="667"/>
      <c r="F32" s="667"/>
      <c r="G32" s="667"/>
      <c r="H32" s="667"/>
      <c r="I32" s="667"/>
      <c r="J32" s="667"/>
      <c r="K32" s="667"/>
      <c r="L32" s="668"/>
      <c r="M32" s="698"/>
      <c r="N32" s="699"/>
      <c r="O32" s="699"/>
      <c r="P32" s="699"/>
      <c r="Q32" s="699"/>
      <c r="R32" s="699"/>
      <c r="S32" s="699"/>
      <c r="T32" s="699"/>
      <c r="U32" s="699"/>
      <c r="V32" s="699"/>
      <c r="W32" s="699"/>
      <c r="X32" s="699"/>
      <c r="Y32" s="699"/>
      <c r="Z32" s="699"/>
      <c r="AA32" s="700"/>
    </row>
    <row r="33" spans="1:27" ht="14.4" customHeight="1" thickBot="1" x14ac:dyDescent="0.35">
      <c r="N33" s="300"/>
      <c r="O33" s="300"/>
      <c r="P33" s="300"/>
      <c r="Q33" s="300"/>
      <c r="R33" s="300"/>
      <c r="S33" s="300"/>
      <c r="T33" s="300"/>
      <c r="U33" s="300"/>
      <c r="V33" s="300"/>
    </row>
    <row r="34" spans="1:27" ht="15" customHeight="1" x14ac:dyDescent="0.3">
      <c r="A34" s="327" t="s">
        <v>223</v>
      </c>
      <c r="B34" s="669" t="s">
        <v>224</v>
      </c>
      <c r="C34" s="670"/>
      <c r="D34" s="670"/>
      <c r="E34" s="671"/>
      <c r="F34" s="328" t="s">
        <v>225</v>
      </c>
      <c r="G34" s="328" t="s">
        <v>226</v>
      </c>
      <c r="H34" s="328" t="s">
        <v>227</v>
      </c>
      <c r="I34" s="329" t="s">
        <v>228</v>
      </c>
      <c r="N34" s="300"/>
      <c r="O34" s="300"/>
      <c r="P34" s="300"/>
      <c r="Q34" s="300"/>
      <c r="R34" s="300"/>
      <c r="S34" s="300"/>
      <c r="T34" s="300"/>
      <c r="U34" s="300"/>
      <c r="V34" s="300"/>
    </row>
    <row r="35" spans="1:27" ht="14.4" customHeight="1" x14ac:dyDescent="0.3">
      <c r="A35" s="601" t="s">
        <v>42</v>
      </c>
      <c r="B35" s="672" t="s">
        <v>43</v>
      </c>
      <c r="C35" s="673"/>
      <c r="D35" s="673"/>
      <c r="E35" s="674"/>
      <c r="F35" s="629">
        <v>0.98</v>
      </c>
      <c r="G35" s="629">
        <v>0.97</v>
      </c>
      <c r="H35" s="629">
        <v>0.97</v>
      </c>
      <c r="I35" s="631">
        <f>F35*G35</f>
        <v>0.9506</v>
      </c>
      <c r="N35" s="300"/>
      <c r="O35" s="300"/>
      <c r="P35" s="300"/>
      <c r="Q35" s="300"/>
      <c r="R35" s="300"/>
      <c r="S35" s="300"/>
      <c r="T35" s="300"/>
      <c r="U35" s="300"/>
      <c r="V35" s="300"/>
    </row>
    <row r="36" spans="1:27" ht="15" customHeight="1" thickBot="1" x14ac:dyDescent="0.35">
      <c r="A36" s="602"/>
      <c r="B36" s="675"/>
      <c r="C36" s="676"/>
      <c r="D36" s="676"/>
      <c r="E36" s="677"/>
      <c r="F36" s="630"/>
      <c r="G36" s="630"/>
      <c r="H36" s="630"/>
      <c r="I36" s="632"/>
      <c r="N36" s="300"/>
      <c r="O36" s="300"/>
      <c r="P36" s="300"/>
      <c r="Q36" s="300"/>
      <c r="R36" s="300"/>
      <c r="S36" s="300"/>
      <c r="T36" s="300"/>
      <c r="U36" s="300"/>
      <c r="V36" s="300"/>
    </row>
    <row r="37" spans="1:27" ht="15" customHeight="1" x14ac:dyDescent="0.3">
      <c r="N37" s="300"/>
      <c r="O37" s="300"/>
      <c r="P37" s="300"/>
      <c r="Q37" s="300"/>
      <c r="R37" s="300"/>
      <c r="S37" s="300"/>
      <c r="T37" s="300"/>
      <c r="U37" s="300"/>
      <c r="V37" s="300"/>
    </row>
    <row r="38" spans="1:27" ht="14.4" customHeight="1" thickBot="1" x14ac:dyDescent="0.35">
      <c r="N38" s="300"/>
      <c r="O38" s="300"/>
      <c r="P38" s="300"/>
      <c r="Q38" s="300"/>
      <c r="R38" s="300"/>
      <c r="S38" s="300"/>
      <c r="T38" s="300"/>
      <c r="U38" s="300"/>
      <c r="V38" s="300"/>
    </row>
    <row r="39" spans="1:27" ht="14.4" customHeight="1" thickBot="1" x14ac:dyDescent="0.35">
      <c r="B39" s="144"/>
      <c r="C39" s="678" t="s">
        <v>229</v>
      </c>
      <c r="D39" s="679"/>
      <c r="E39" s="679"/>
      <c r="F39" s="679"/>
      <c r="G39" s="680"/>
      <c r="H39" s="142"/>
      <c r="N39" s="300"/>
      <c r="O39" s="300"/>
      <c r="P39" s="300"/>
      <c r="Q39" s="300"/>
      <c r="R39" s="300"/>
      <c r="S39" s="300"/>
      <c r="T39" s="300"/>
      <c r="U39" s="300"/>
      <c r="V39" s="300"/>
    </row>
    <row r="40" spans="1:27" ht="14.4" customHeight="1" x14ac:dyDescent="0.3">
      <c r="B40" s="138"/>
      <c r="H40" s="139"/>
      <c r="U40" s="300"/>
      <c r="V40" s="300"/>
    </row>
    <row r="41" spans="1:27" ht="15" customHeight="1" x14ac:dyDescent="0.3">
      <c r="B41" s="147" t="s">
        <v>230</v>
      </c>
      <c r="H41" s="139"/>
      <c r="U41" s="300"/>
      <c r="V41" s="300"/>
    </row>
    <row r="42" spans="1:27" ht="15" customHeight="1" x14ac:dyDescent="0.3">
      <c r="B42" s="138"/>
      <c r="H42" s="139"/>
      <c r="U42" s="300"/>
      <c r="V42" s="300"/>
    </row>
    <row r="43" spans="1:27" ht="14.4" customHeight="1" x14ac:dyDescent="0.3">
      <c r="B43" s="27" t="s">
        <v>231</v>
      </c>
      <c r="C43" s="11" t="s">
        <v>232</v>
      </c>
      <c r="D43" s="11" t="s">
        <v>233</v>
      </c>
      <c r="E43" s="11" t="s">
        <v>234</v>
      </c>
      <c r="F43" s="11" t="s">
        <v>235</v>
      </c>
      <c r="G43" s="11" t="s">
        <v>13</v>
      </c>
      <c r="H43" s="214" t="s">
        <v>236</v>
      </c>
      <c r="U43" s="300"/>
      <c r="V43" s="300"/>
    </row>
    <row r="44" spans="1:27" ht="14.4" customHeight="1" x14ac:dyDescent="0.3">
      <c r="B44" s="319" t="s">
        <v>237</v>
      </c>
      <c r="C44" s="320">
        <f>L10</f>
        <v>14234</v>
      </c>
      <c r="D44" s="321">
        <v>1.21</v>
      </c>
      <c r="E44" s="321"/>
      <c r="F44" s="322">
        <v>8</v>
      </c>
      <c r="G44" s="322">
        <f>6.63</f>
        <v>6.63</v>
      </c>
      <c r="H44" s="323">
        <f>((F44*C44)*0.97)/(G44*P10)</f>
        <v>0.84141444612032845</v>
      </c>
      <c r="U44" s="300"/>
      <c r="V44" s="300"/>
    </row>
    <row r="45" spans="1:27" ht="14.4" customHeight="1" x14ac:dyDescent="0.3">
      <c r="B45" s="319" t="s">
        <v>238</v>
      </c>
      <c r="C45" s="320">
        <f>L11</f>
        <v>6100</v>
      </c>
      <c r="D45" s="321">
        <v>2.81</v>
      </c>
      <c r="E45" s="321"/>
      <c r="F45" s="322">
        <v>8</v>
      </c>
      <c r="G45" s="322">
        <f>2.84</f>
        <v>2.84</v>
      </c>
      <c r="H45" s="323">
        <f>((F45*C45)*'$_DATI_BASE'!$U$16)/(G45*P17)</f>
        <v>0.86783326219945933</v>
      </c>
      <c r="U45" s="300"/>
      <c r="V45" s="300"/>
    </row>
    <row r="46" spans="1:27" ht="14.4" customHeight="1" thickBot="1" x14ac:dyDescent="0.35">
      <c r="B46" s="145"/>
      <c r="C46" s="246"/>
      <c r="D46" s="141"/>
      <c r="E46" s="250" t="s">
        <v>239</v>
      </c>
      <c r="F46" s="251"/>
      <c r="G46" s="247">
        <f>_xlfn.CEILING.MATH(SUM(G44:G45))</f>
        <v>10</v>
      </c>
      <c r="H46" s="248">
        <f>(SUM((F44*C44),(F45*C45))*0.97)/(G46*P10)</f>
        <v>0.79692848484848489</v>
      </c>
      <c r="U46" s="300"/>
      <c r="V46" s="300"/>
    </row>
    <row r="47" spans="1:27" ht="15" customHeight="1" thickBot="1" x14ac:dyDescent="0.35">
      <c r="U47" s="300"/>
      <c r="V47" s="300"/>
    </row>
    <row r="48" spans="1:27" x14ac:dyDescent="0.3">
      <c r="A48" s="660" t="s">
        <v>662</v>
      </c>
      <c r="B48" s="661"/>
      <c r="C48" s="661"/>
      <c r="D48" s="661"/>
      <c r="E48" s="661"/>
      <c r="F48" s="661"/>
      <c r="G48" s="661"/>
      <c r="H48" s="661"/>
      <c r="I48" s="661"/>
      <c r="J48" s="661"/>
      <c r="K48" s="661"/>
      <c r="L48" s="662"/>
      <c r="M48" s="693"/>
      <c r="N48" s="694"/>
      <c r="O48" s="694"/>
      <c r="P48" s="694"/>
      <c r="Q48" s="694"/>
      <c r="R48" s="694"/>
      <c r="S48" s="694"/>
      <c r="T48" s="694"/>
      <c r="U48" s="694"/>
      <c r="V48" s="694"/>
      <c r="W48" s="694"/>
      <c r="X48" s="694"/>
      <c r="Y48" s="694"/>
      <c r="Z48" s="694"/>
      <c r="AA48" s="695"/>
    </row>
    <row r="49" spans="1:27" x14ac:dyDescent="0.3">
      <c r="A49" s="663"/>
      <c r="B49" s="664"/>
      <c r="C49" s="664"/>
      <c r="D49" s="664"/>
      <c r="E49" s="664"/>
      <c r="F49" s="664"/>
      <c r="G49" s="664"/>
      <c r="H49" s="664"/>
      <c r="I49" s="664"/>
      <c r="J49" s="664"/>
      <c r="K49" s="664"/>
      <c r="L49" s="665"/>
      <c r="M49" s="696"/>
      <c r="N49" s="690"/>
      <c r="O49" s="690"/>
      <c r="P49" s="690"/>
      <c r="Q49" s="690"/>
      <c r="R49" s="690"/>
      <c r="S49" s="690"/>
      <c r="T49" s="690"/>
      <c r="U49" s="690"/>
      <c r="V49" s="690"/>
      <c r="W49" s="690"/>
      <c r="X49" s="690"/>
      <c r="Y49" s="690"/>
      <c r="Z49" s="690"/>
      <c r="AA49" s="697"/>
    </row>
    <row r="50" spans="1:27" ht="15" customHeight="1" thickBot="1" x14ac:dyDescent="0.35">
      <c r="A50" s="666"/>
      <c r="B50" s="667"/>
      <c r="C50" s="667"/>
      <c r="D50" s="667"/>
      <c r="E50" s="667"/>
      <c r="F50" s="667"/>
      <c r="G50" s="667"/>
      <c r="H50" s="667"/>
      <c r="I50" s="667"/>
      <c r="J50" s="667"/>
      <c r="K50" s="667"/>
      <c r="L50" s="668"/>
      <c r="M50" s="698"/>
      <c r="N50" s="699"/>
      <c r="O50" s="699"/>
      <c r="P50" s="699"/>
      <c r="Q50" s="699"/>
      <c r="R50" s="699"/>
      <c r="S50" s="699"/>
      <c r="T50" s="699"/>
      <c r="U50" s="699"/>
      <c r="V50" s="699"/>
      <c r="W50" s="699"/>
      <c r="X50" s="699"/>
      <c r="Y50" s="699"/>
      <c r="Z50" s="699"/>
      <c r="AA50" s="700"/>
    </row>
    <row r="51" spans="1:27" ht="15" customHeight="1" x14ac:dyDescent="0.3">
      <c r="J51" s="212"/>
      <c r="N51" s="300"/>
      <c r="O51" s="300"/>
      <c r="P51" s="300"/>
      <c r="Q51" s="300"/>
      <c r="R51" s="300"/>
      <c r="S51" s="300"/>
      <c r="T51" s="300"/>
      <c r="U51" s="300"/>
      <c r="V51" s="300"/>
    </row>
    <row r="52" spans="1:27" ht="15" customHeight="1" x14ac:dyDescent="0.3">
      <c r="J52" s="212"/>
      <c r="U52" s="300"/>
      <c r="V52" s="300"/>
    </row>
    <row r="53" spans="1:27" ht="14.4" customHeight="1" x14ac:dyDescent="0.3">
      <c r="B53" s="601" t="s">
        <v>44</v>
      </c>
      <c r="C53" s="592" t="s">
        <v>45</v>
      </c>
      <c r="D53" s="592"/>
      <c r="E53" s="592"/>
      <c r="F53" s="592"/>
      <c r="G53" s="629">
        <v>0.98</v>
      </c>
      <c r="H53" s="629">
        <v>0.99</v>
      </c>
      <c r="I53" s="629">
        <v>0.98</v>
      </c>
      <c r="J53" s="631">
        <f>G53*H53</f>
        <v>0.97019999999999995</v>
      </c>
      <c r="U53" s="300"/>
      <c r="V53" s="300"/>
    </row>
    <row r="54" spans="1:27" ht="14.4" customHeight="1" x14ac:dyDescent="0.3">
      <c r="B54" s="601"/>
      <c r="C54" s="592"/>
      <c r="D54" s="592"/>
      <c r="E54" s="592"/>
      <c r="F54" s="592"/>
      <c r="G54" s="629"/>
      <c r="H54" s="629"/>
      <c r="I54" s="629"/>
      <c r="J54" s="631"/>
      <c r="U54" s="300"/>
      <c r="V54" s="300"/>
    </row>
    <row r="55" spans="1:27" ht="14.4" customHeight="1" x14ac:dyDescent="0.3">
      <c r="B55" s="601" t="s">
        <v>46</v>
      </c>
      <c r="C55" s="592" t="s">
        <v>47</v>
      </c>
      <c r="D55" s="592"/>
      <c r="E55" s="592"/>
      <c r="F55" s="592"/>
      <c r="G55" s="629">
        <v>0.98</v>
      </c>
      <c r="H55" s="629">
        <v>0.99</v>
      </c>
      <c r="I55" s="629">
        <v>0.99</v>
      </c>
      <c r="J55" s="631">
        <f>G55*H55</f>
        <v>0.97019999999999995</v>
      </c>
      <c r="U55" s="300"/>
      <c r="V55" s="300"/>
    </row>
    <row r="56" spans="1:27" ht="14.4" customHeight="1" thickBot="1" x14ac:dyDescent="0.35">
      <c r="B56" s="602"/>
      <c r="C56" s="586"/>
      <c r="D56" s="586"/>
      <c r="E56" s="586"/>
      <c r="F56" s="586"/>
      <c r="G56" s="630"/>
      <c r="H56" s="630"/>
      <c r="I56" s="630"/>
      <c r="J56" s="632"/>
      <c r="U56" s="300"/>
      <c r="V56" s="300"/>
    </row>
    <row r="57" spans="1:27" ht="14.4" customHeight="1" x14ac:dyDescent="0.3">
      <c r="U57" s="300"/>
      <c r="V57" s="300"/>
    </row>
    <row r="58" spans="1:27" ht="14.4" customHeight="1" x14ac:dyDescent="0.3">
      <c r="U58" s="300"/>
      <c r="V58" s="300"/>
    </row>
    <row r="59" spans="1:27" ht="15" customHeight="1" thickBot="1" x14ac:dyDescent="0.35">
      <c r="U59" s="300"/>
      <c r="V59" s="300"/>
    </row>
    <row r="60" spans="1:27" ht="14.4" customHeight="1" thickBot="1" x14ac:dyDescent="0.35">
      <c r="B60" s="144"/>
      <c r="C60" s="678" t="s">
        <v>240</v>
      </c>
      <c r="D60" s="679"/>
      <c r="E60" s="679"/>
      <c r="F60" s="679"/>
      <c r="G60" s="680"/>
      <c r="H60" s="256"/>
      <c r="I60" s="142"/>
      <c r="U60" s="300"/>
      <c r="V60" s="300"/>
    </row>
    <row r="61" spans="1:27" ht="14.4" customHeight="1" x14ac:dyDescent="0.3">
      <c r="B61" s="138"/>
      <c r="I61" s="139"/>
      <c r="J61" s="345"/>
      <c r="U61" s="300"/>
      <c r="V61" s="300"/>
    </row>
    <row r="62" spans="1:27" ht="14.4" customHeight="1" x14ac:dyDescent="0.3">
      <c r="B62" s="148" t="s">
        <v>241</v>
      </c>
      <c r="F62" s="65"/>
      <c r="I62" s="139"/>
      <c r="U62" s="300"/>
      <c r="V62" s="300"/>
    </row>
    <row r="63" spans="1:27" ht="14.4" customHeight="1" x14ac:dyDescent="0.3">
      <c r="B63" s="138"/>
      <c r="I63" s="139"/>
    </row>
    <row r="64" spans="1:27" ht="14.4" customHeight="1" x14ac:dyDescent="0.3">
      <c r="B64" s="27" t="s">
        <v>223</v>
      </c>
      <c r="C64" s="253" t="s">
        <v>231</v>
      </c>
      <c r="D64" s="193" t="s">
        <v>232</v>
      </c>
      <c r="E64" s="193" t="s">
        <v>242</v>
      </c>
      <c r="F64" s="193" t="s">
        <v>234</v>
      </c>
      <c r="G64" s="193" t="s">
        <v>235</v>
      </c>
      <c r="H64" s="193" t="s">
        <v>13</v>
      </c>
      <c r="I64" s="216" t="s">
        <v>236</v>
      </c>
    </row>
    <row r="65" spans="2:15" ht="14.4" customHeight="1" x14ac:dyDescent="0.3">
      <c r="B65" s="305" t="str">
        <f>C14</f>
        <v>INTPSP001-20</v>
      </c>
      <c r="C65" s="306" t="s">
        <v>243</v>
      </c>
      <c r="D65" s="307">
        <f>L14</f>
        <v>14675</v>
      </c>
      <c r="E65" s="308">
        <f>U14</f>
        <v>1.2496262350936966</v>
      </c>
      <c r="F65" s="308"/>
      <c r="G65" s="308">
        <f>O14</f>
        <v>1</v>
      </c>
      <c r="H65" s="308">
        <f>V14</f>
        <v>0.80023928108793285</v>
      </c>
      <c r="I65" s="309">
        <f>((G65*D65)*0.98)/(H65*P16)</f>
        <v>0.90765149999999994</v>
      </c>
    </row>
    <row r="66" spans="2:15" ht="14.4" customHeight="1" x14ac:dyDescent="0.3">
      <c r="B66" s="310" t="str">
        <f>C16</f>
        <v>INTPSP002-20</v>
      </c>
      <c r="C66" s="311" t="s">
        <v>244</v>
      </c>
      <c r="D66" s="312">
        <f>L16</f>
        <v>6289</v>
      </c>
      <c r="E66" s="313">
        <f>U16</f>
        <v>2.9163937772485733</v>
      </c>
      <c r="F66" s="313"/>
      <c r="G66" s="308">
        <f>O16</f>
        <v>1.2</v>
      </c>
      <c r="H66" s="308">
        <f>V16</f>
        <v>0.4114670691459647</v>
      </c>
      <c r="I66" s="309">
        <f>((G66*D66)*0.98)/(H66*P17)</f>
        <v>0.90779679069767438</v>
      </c>
    </row>
    <row r="67" spans="2:15" ht="14.4" customHeight="1" x14ac:dyDescent="0.3">
      <c r="B67" s="305" t="str">
        <f>C18</f>
        <v>INTPSP003-20</v>
      </c>
      <c r="C67" s="314" t="s">
        <v>245</v>
      </c>
      <c r="D67" s="315">
        <f>L18</f>
        <v>75467</v>
      </c>
      <c r="E67" s="316">
        <f>U18</f>
        <v>0.24464781560152118</v>
      </c>
      <c r="F67" s="316"/>
      <c r="G67" s="317">
        <f>O18</f>
        <v>0.3</v>
      </c>
      <c r="H67" s="308">
        <f>V18</f>
        <v>1.2262525183900912</v>
      </c>
      <c r="I67" s="309">
        <f>((G67*D67)*0.98)/(H67*P18)</f>
        <v>0.91381716999999996</v>
      </c>
    </row>
    <row r="68" spans="2:15" ht="14.4" customHeight="1" x14ac:dyDescent="0.3">
      <c r="B68" s="305" t="str">
        <f>C20</f>
        <v>INTPSP004-20</v>
      </c>
      <c r="C68" s="314" t="s">
        <v>246</v>
      </c>
      <c r="D68" s="315">
        <f>L20</f>
        <v>41927</v>
      </c>
      <c r="E68" s="316">
        <f>U20</f>
        <v>0.44332635413933741</v>
      </c>
      <c r="F68" s="316"/>
      <c r="G68" s="317">
        <f>O20</f>
        <v>0.5</v>
      </c>
      <c r="H68" s="313">
        <f>V20</f>
        <v>1.1278373038992626</v>
      </c>
      <c r="I68" s="318">
        <f>((G68*D68)*0.98)/(H68*P19)</f>
        <v>0.9199796549999999</v>
      </c>
    </row>
    <row r="69" spans="2:15" ht="15" customHeight="1" x14ac:dyDescent="0.3">
      <c r="B69" s="138"/>
      <c r="F69" s="96" t="s">
        <v>239</v>
      </c>
      <c r="G69" s="252"/>
      <c r="H69" s="194">
        <f>_xlfn.CEILING.MATH(SUM(H65:H68))</f>
        <v>4</v>
      </c>
      <c r="I69" s="215">
        <f>(SUM((G65*D65),(G66*D66),(G67*D67),(G68*D68))*0.98)/(H69*P18)</f>
        <v>0.81450621212121199</v>
      </c>
    </row>
    <row r="70" spans="2:15" ht="14.4" customHeight="1" x14ac:dyDescent="0.3">
      <c r="B70" s="138"/>
      <c r="I70" s="139"/>
    </row>
    <row r="71" spans="2:15" ht="14.4" customHeight="1" x14ac:dyDescent="0.3">
      <c r="B71" s="213" t="s">
        <v>247</v>
      </c>
      <c r="I71" s="139"/>
    </row>
    <row r="72" spans="2:15" ht="15" customHeight="1" x14ac:dyDescent="0.3">
      <c r="B72" s="138"/>
      <c r="I72" s="139"/>
    </row>
    <row r="73" spans="2:15" ht="14.4" customHeight="1" x14ac:dyDescent="0.3">
      <c r="B73" s="27" t="s">
        <v>223</v>
      </c>
      <c r="C73" s="11" t="s">
        <v>231</v>
      </c>
      <c r="D73" s="11" t="s">
        <v>232</v>
      </c>
      <c r="E73" s="11" t="s">
        <v>242</v>
      </c>
      <c r="F73" s="11" t="s">
        <v>234</v>
      </c>
      <c r="G73" s="11" t="s">
        <v>235</v>
      </c>
      <c r="H73" s="11" t="s">
        <v>13</v>
      </c>
      <c r="I73" s="214" t="s">
        <v>236</v>
      </c>
      <c r="N73" s="300"/>
      <c r="O73" s="300"/>
    </row>
    <row r="74" spans="2:15" ht="14.4" customHeight="1" x14ac:dyDescent="0.3">
      <c r="B74" s="302" t="str">
        <f>C15</f>
        <v>INTPSP001-10</v>
      </c>
      <c r="C74" s="40" t="s">
        <v>243</v>
      </c>
      <c r="D74" s="29">
        <f>L15</f>
        <v>14975</v>
      </c>
      <c r="E74" s="303">
        <f>U15</f>
        <v>1.2234020033388981</v>
      </c>
      <c r="F74" s="303"/>
      <c r="G74" s="303">
        <f>O15</f>
        <v>1</v>
      </c>
      <c r="H74" s="303">
        <f>V15</f>
        <v>0.81739280896288269</v>
      </c>
      <c r="I74" s="304">
        <f>((G74*D74)*0.99)/(H74*$P$20)</f>
        <v>0.91602225000000004</v>
      </c>
      <c r="N74" s="300"/>
      <c r="O74" s="300"/>
    </row>
    <row r="75" spans="2:15" ht="14.4" customHeight="1" x14ac:dyDescent="0.3">
      <c r="B75" s="302" t="str">
        <f>C17</f>
        <v>INTPSP002-10</v>
      </c>
      <c r="C75" s="40" t="s">
        <v>244</v>
      </c>
      <c r="D75" s="29">
        <f>L17</f>
        <v>6418</v>
      </c>
      <c r="E75" s="303">
        <f>U17</f>
        <v>2.8549985143528014</v>
      </c>
      <c r="F75" s="303"/>
      <c r="G75" s="303">
        <f>O17</f>
        <v>1.2</v>
      </c>
      <c r="H75" s="303">
        <f>V17</f>
        <v>0.4203154551455266</v>
      </c>
      <c r="I75" s="304">
        <f>((G75*D75)*0.99)/(H75*$P$20)</f>
        <v>0.91616902325581395</v>
      </c>
      <c r="N75" s="300"/>
      <c r="O75" s="300"/>
    </row>
    <row r="76" spans="2:15" ht="14.4" customHeight="1" x14ac:dyDescent="0.3">
      <c r="B76" s="302" t="str">
        <f>C19</f>
        <v>INTPSP003-10</v>
      </c>
      <c r="C76" s="40" t="s">
        <v>245</v>
      </c>
      <c r="D76" s="29">
        <f>L19</f>
        <v>77008</v>
      </c>
      <c r="E76" s="303">
        <f>U19</f>
        <v>0.23955408269270725</v>
      </c>
      <c r="F76" s="303"/>
      <c r="G76" s="303">
        <f>O19</f>
        <v>0.3</v>
      </c>
      <c r="H76" s="303">
        <f>V19</f>
        <v>1.252326809160798</v>
      </c>
      <c r="I76" s="304">
        <f>((G76*D76)*0.99)/(H76*$P$20)</f>
        <v>0.92237903999999982</v>
      </c>
      <c r="N76" s="300"/>
      <c r="O76" s="300"/>
    </row>
    <row r="77" spans="2:15" ht="15" customHeight="1" x14ac:dyDescent="0.3">
      <c r="B77" s="302" t="str">
        <f>C21</f>
        <v>INTPSP004-10</v>
      </c>
      <c r="C77" s="40" t="s">
        <v>246</v>
      </c>
      <c r="D77" s="29">
        <f>L21</f>
        <v>42783</v>
      </c>
      <c r="E77" s="303">
        <f>U21</f>
        <v>0.43415918589159247</v>
      </c>
      <c r="F77" s="303"/>
      <c r="G77" s="303">
        <f>O21</f>
        <v>0.5</v>
      </c>
      <c r="H77" s="303">
        <f>V21</f>
        <v>1.151651321100569</v>
      </c>
      <c r="I77" s="304">
        <f>((G77*D77)*0.99)/(H77*$P$20)</f>
        <v>0.92873162250000008</v>
      </c>
      <c r="N77" s="300"/>
      <c r="O77" s="300"/>
    </row>
    <row r="78" spans="2:15" ht="18" x14ac:dyDescent="0.3">
      <c r="B78" s="302" t="str">
        <f>C22</f>
        <v>INTTRA001-10</v>
      </c>
      <c r="C78" s="40" t="s">
        <v>248</v>
      </c>
      <c r="D78" s="29">
        <f>L22</f>
        <v>41927</v>
      </c>
      <c r="E78" s="303">
        <f>U22</f>
        <v>0.44332635413933741</v>
      </c>
      <c r="F78" s="40"/>
      <c r="G78" s="303">
        <f>O22</f>
        <v>0.8</v>
      </c>
      <c r="H78" s="303">
        <f>V22</f>
        <v>1.8045396862388203</v>
      </c>
      <c r="I78" s="304">
        <f>((G78*D78)*0.99)/(H78*$P$20)</f>
        <v>0.92936720249999993</v>
      </c>
      <c r="N78" s="300"/>
      <c r="O78" s="300"/>
    </row>
    <row r="79" spans="2:15" ht="15" customHeight="1" x14ac:dyDescent="0.3">
      <c r="B79" s="138"/>
      <c r="F79" s="96" t="s">
        <v>239</v>
      </c>
      <c r="G79" s="254"/>
      <c r="H79" s="195">
        <f>_xlfn.CEILING.MATH(SUM(H74:H78))</f>
        <v>6</v>
      </c>
      <c r="I79" s="255">
        <f>(SUM((G74*D74),(G75*D75),(G76*D76),(G77*D77),(G78*D78))*0.99)/(H79*P20)</f>
        <v>0.83926750000000006</v>
      </c>
      <c r="N79" s="300"/>
      <c r="O79" s="300"/>
    </row>
    <row r="80" spans="2:15" ht="14.4" customHeight="1" thickBot="1" x14ac:dyDescent="0.35">
      <c r="B80" s="145"/>
      <c r="C80" s="141"/>
      <c r="D80" s="141"/>
      <c r="E80" s="141"/>
      <c r="F80" s="141"/>
      <c r="G80" s="141"/>
      <c r="H80" s="141"/>
      <c r="I80" s="143"/>
      <c r="N80" s="300"/>
      <c r="O80" s="300"/>
    </row>
    <row r="81" spans="1:43" ht="14.4" customHeight="1" x14ac:dyDescent="0.3">
      <c r="N81" s="300"/>
      <c r="O81" s="300"/>
    </row>
    <row r="82" spans="1:43" ht="14.4" customHeight="1" x14ac:dyDescent="0.3">
      <c r="N82" s="300"/>
      <c r="O82" s="300"/>
    </row>
    <row r="83" spans="1:43" ht="14.4" customHeight="1" x14ac:dyDescent="0.3">
      <c r="N83" s="300"/>
      <c r="O83" s="300"/>
      <c r="AI83" s="690"/>
      <c r="AJ83" s="690"/>
      <c r="AK83" s="690"/>
    </row>
    <row r="84" spans="1:43" ht="14.4" customHeight="1" x14ac:dyDescent="0.3">
      <c r="AI84" s="1"/>
    </row>
    <row r="85" spans="1:43" ht="14.4" customHeight="1" x14ac:dyDescent="0.3"/>
    <row r="86" spans="1:43" ht="15" customHeight="1" x14ac:dyDescent="0.3"/>
    <row r="87" spans="1:43" ht="14.4" customHeight="1" x14ac:dyDescent="0.3">
      <c r="N87" s="300"/>
      <c r="O87" s="300"/>
      <c r="P87" s="300"/>
      <c r="Q87" s="300"/>
      <c r="R87" s="300"/>
      <c r="S87" s="300"/>
      <c r="T87" s="300"/>
      <c r="U87" s="300"/>
      <c r="V87" s="300"/>
      <c r="AE87" s="364"/>
      <c r="AQ87" s="364"/>
    </row>
    <row r="88" spans="1:43" ht="15" customHeight="1" x14ac:dyDescent="0.3">
      <c r="N88" s="300"/>
      <c r="O88" s="300"/>
      <c r="P88" s="300"/>
      <c r="Q88" s="300"/>
      <c r="R88" s="300"/>
      <c r="S88" s="300"/>
      <c r="T88" s="300"/>
      <c r="U88" s="300"/>
      <c r="V88" s="300"/>
      <c r="AE88" s="364"/>
      <c r="AQ88" s="364"/>
    </row>
    <row r="89" spans="1:43" ht="14.4" customHeight="1" x14ac:dyDescent="0.35">
      <c r="E89" s="705"/>
      <c r="F89" s="705"/>
      <c r="G89" s="705"/>
      <c r="N89" s="300"/>
      <c r="O89" s="300"/>
      <c r="P89" s="300"/>
      <c r="Q89" s="300"/>
      <c r="R89" s="300"/>
      <c r="S89" s="300"/>
      <c r="T89" s="300"/>
      <c r="U89" s="300"/>
      <c r="V89" s="300"/>
      <c r="AH89" s="364"/>
      <c r="AQ89" s="364"/>
    </row>
    <row r="90" spans="1:43" ht="14.4" customHeight="1" x14ac:dyDescent="0.3">
      <c r="AH90" s="364"/>
      <c r="AQ90" s="364"/>
    </row>
    <row r="91" spans="1:43" ht="14.4" customHeight="1" x14ac:dyDescent="0.3">
      <c r="AE91" s="364"/>
      <c r="AH91" s="364"/>
      <c r="AQ91" s="364"/>
    </row>
    <row r="92" spans="1:43" ht="15" customHeight="1" x14ac:dyDescent="0.3"/>
    <row r="93" spans="1:43" ht="14.4" customHeight="1" x14ac:dyDescent="0.3">
      <c r="A93" s="486"/>
      <c r="B93" s="486"/>
      <c r="C93" s="486"/>
      <c r="D93" s="486"/>
      <c r="E93" s="486"/>
      <c r="F93" s="486"/>
      <c r="G93" s="486"/>
      <c r="H93" s="486"/>
      <c r="I93" s="486"/>
      <c r="J93" s="486"/>
      <c r="K93" s="486"/>
      <c r="L93" s="486"/>
    </row>
    <row r="94" spans="1:43" ht="15" customHeight="1" x14ac:dyDescent="0.3">
      <c r="A94" s="486"/>
      <c r="B94" s="486"/>
      <c r="C94" s="486"/>
      <c r="D94" s="486"/>
      <c r="E94" s="486"/>
      <c r="F94" s="486"/>
      <c r="G94" s="486"/>
      <c r="H94" s="486"/>
      <c r="I94" s="486"/>
      <c r="J94" s="486"/>
      <c r="K94" s="486"/>
      <c r="L94" s="486"/>
    </row>
    <row r="95" spans="1:43" ht="14.4" customHeight="1" x14ac:dyDescent="0.3">
      <c r="A95" s="486"/>
      <c r="B95" s="486"/>
      <c r="C95" s="486"/>
      <c r="D95" s="486"/>
      <c r="E95" s="486"/>
      <c r="F95" s="486"/>
      <c r="G95" s="486"/>
      <c r="H95" s="486"/>
      <c r="I95" s="486"/>
      <c r="J95" s="486"/>
      <c r="K95" s="486"/>
      <c r="L95" s="486"/>
    </row>
    <row r="96" spans="1:43" ht="15" customHeight="1" x14ac:dyDescent="0.3">
      <c r="N96" s="300"/>
      <c r="O96" s="300"/>
      <c r="P96" s="300"/>
      <c r="Q96" s="300"/>
      <c r="R96" s="300"/>
      <c r="S96" s="300"/>
      <c r="T96" s="300"/>
      <c r="U96" s="300"/>
      <c r="V96" s="300"/>
      <c r="AE96" s="364"/>
      <c r="AQ96" s="364"/>
    </row>
    <row r="97" spans="1:43" x14ac:dyDescent="0.3">
      <c r="B97" s="69"/>
      <c r="C97" s="69"/>
      <c r="D97" s="69"/>
      <c r="E97" s="69"/>
      <c r="F97" s="69"/>
      <c r="G97" s="69"/>
      <c r="H97" s="69"/>
      <c r="I97" s="69"/>
      <c r="J97" s="69"/>
      <c r="AH97" s="364"/>
      <c r="AQ97" s="364"/>
    </row>
    <row r="98" spans="1:43" x14ac:dyDescent="0.3">
      <c r="B98" s="82"/>
      <c r="C98" s="5"/>
      <c r="D98" s="5"/>
      <c r="E98" s="5"/>
      <c r="F98" s="5"/>
      <c r="G98" s="392"/>
      <c r="H98" s="392"/>
      <c r="I98" s="392"/>
      <c r="J98" s="392"/>
      <c r="AE98" s="364"/>
      <c r="AH98" s="364"/>
      <c r="AQ98" s="364"/>
    </row>
    <row r="99" spans="1:43" ht="14.4" customHeight="1" x14ac:dyDescent="0.3">
      <c r="A99" s="71"/>
      <c r="B99" s="82"/>
      <c r="C99" s="5"/>
      <c r="D99" s="5"/>
      <c r="E99" s="5"/>
      <c r="F99" s="5"/>
      <c r="G99" s="392"/>
      <c r="H99" s="392"/>
      <c r="I99" s="392"/>
      <c r="J99" s="392"/>
      <c r="K99" s="2"/>
      <c r="L99" s="2"/>
      <c r="M99" s="5"/>
      <c r="N99" s="5"/>
      <c r="O99" s="5"/>
      <c r="P99" s="2"/>
      <c r="Q99" s="2"/>
      <c r="R99" s="2"/>
      <c r="S99" s="529"/>
      <c r="T99" s="529"/>
      <c r="U99" s="531"/>
      <c r="V99" s="531"/>
    </row>
    <row r="100" spans="1:43" ht="14.4" customHeight="1" x14ac:dyDescent="0.3">
      <c r="A100" s="71"/>
      <c r="B100" s="82"/>
      <c r="C100" s="5"/>
      <c r="D100" s="5"/>
      <c r="E100" s="5"/>
      <c r="F100" s="5"/>
      <c r="G100" s="392"/>
      <c r="H100" s="392"/>
      <c r="I100" s="392"/>
      <c r="J100" s="392"/>
      <c r="K100" s="2"/>
      <c r="L100" s="2"/>
      <c r="M100" s="5"/>
      <c r="N100" s="5"/>
      <c r="O100" s="5"/>
      <c r="P100" s="2"/>
      <c r="Q100" s="2"/>
      <c r="R100" s="2"/>
      <c r="S100" s="529"/>
      <c r="T100" s="529"/>
      <c r="U100" s="531"/>
      <c r="V100" s="531"/>
    </row>
    <row r="101" spans="1:43" ht="14.4" customHeight="1" x14ac:dyDescent="0.3">
      <c r="A101" s="71"/>
      <c r="B101" s="82"/>
      <c r="C101" s="5"/>
      <c r="D101" s="5"/>
      <c r="E101" s="5"/>
      <c r="F101" s="5"/>
      <c r="G101" s="392"/>
      <c r="H101" s="392"/>
      <c r="I101" s="392"/>
      <c r="J101" s="392"/>
      <c r="K101" s="2"/>
      <c r="L101" s="2"/>
      <c r="M101" s="5"/>
      <c r="N101" s="5"/>
      <c r="O101" s="5"/>
      <c r="P101" s="2"/>
      <c r="Q101" s="2"/>
      <c r="R101" s="2"/>
      <c r="S101" s="529"/>
      <c r="T101" s="529"/>
      <c r="U101" s="531"/>
      <c r="V101" s="531"/>
    </row>
    <row r="102" spans="1:43" ht="14.4" customHeight="1" x14ac:dyDescent="0.3">
      <c r="A102" s="71"/>
      <c r="K102" s="2"/>
      <c r="L102" s="2"/>
      <c r="M102" s="5"/>
      <c r="N102" s="5"/>
      <c r="O102" s="5"/>
      <c r="P102" s="2"/>
      <c r="Q102" s="2"/>
      <c r="R102" s="2"/>
      <c r="S102" s="529"/>
      <c r="T102" s="529"/>
      <c r="U102" s="531"/>
      <c r="V102" s="531"/>
      <c r="AE102" s="364"/>
      <c r="AQ102" s="364"/>
    </row>
    <row r="103" spans="1:43" ht="14.4" customHeight="1" x14ac:dyDescent="0.3">
      <c r="A103" s="71"/>
      <c r="K103" s="2"/>
      <c r="L103" s="2"/>
      <c r="M103" s="5"/>
      <c r="N103" s="5"/>
      <c r="O103" s="5"/>
      <c r="P103" s="2"/>
      <c r="Q103" s="2"/>
      <c r="R103" s="2"/>
      <c r="S103" s="529"/>
      <c r="T103" s="529"/>
      <c r="U103" s="531"/>
      <c r="V103" s="531"/>
      <c r="AE103" s="364"/>
      <c r="AQ103" s="364"/>
    </row>
    <row r="104" spans="1:43" ht="14.4" customHeight="1" x14ac:dyDescent="0.3">
      <c r="A104" s="71"/>
      <c r="K104" s="2"/>
      <c r="L104" s="2"/>
      <c r="M104" s="1"/>
      <c r="N104" s="1"/>
      <c r="O104" s="1"/>
      <c r="P104" s="4"/>
      <c r="Q104" s="4"/>
      <c r="R104" s="4"/>
      <c r="S104" s="8"/>
      <c r="T104" s="8"/>
      <c r="U104" s="391"/>
      <c r="V104" s="391"/>
      <c r="AH104" s="364"/>
      <c r="AQ104" s="364"/>
    </row>
    <row r="105" spans="1:43" ht="14.4" customHeight="1" x14ac:dyDescent="0.3">
      <c r="A105" s="71"/>
      <c r="K105" s="2"/>
      <c r="L105" s="2"/>
      <c r="M105" s="1"/>
      <c r="N105" s="1"/>
      <c r="O105" s="1"/>
      <c r="P105" s="4"/>
      <c r="Q105" s="4"/>
      <c r="R105" s="4"/>
      <c r="S105" s="8"/>
      <c r="T105" s="8"/>
      <c r="U105" s="391"/>
      <c r="V105" s="391"/>
      <c r="AK105" s="364"/>
      <c r="AQ105" s="364"/>
    </row>
    <row r="106" spans="1:43" ht="14.4" customHeight="1" x14ac:dyDescent="0.3">
      <c r="A106" s="71"/>
      <c r="K106" s="2"/>
      <c r="L106" s="2"/>
      <c r="M106" s="1"/>
      <c r="N106" s="1"/>
      <c r="O106" s="1"/>
      <c r="P106" s="4"/>
      <c r="Q106" s="4"/>
      <c r="R106" s="4"/>
      <c r="S106" s="8"/>
      <c r="T106" s="8"/>
      <c r="U106" s="391"/>
      <c r="V106" s="391"/>
      <c r="AE106" s="364"/>
      <c r="AH106" s="364"/>
      <c r="AK106" s="364"/>
      <c r="AQ106" s="364"/>
    </row>
    <row r="107" spans="1:43" ht="14.4" customHeight="1" x14ac:dyDescent="0.3">
      <c r="A107" s="71"/>
      <c r="K107" s="2"/>
      <c r="L107" s="2"/>
      <c r="M107" s="1"/>
      <c r="N107" s="1"/>
      <c r="O107" s="1"/>
      <c r="P107" s="4"/>
      <c r="Q107" s="4"/>
      <c r="R107" s="4"/>
      <c r="S107" s="8"/>
      <c r="T107" s="8"/>
      <c r="U107" s="391"/>
      <c r="V107" s="391"/>
      <c r="AE107" s="364"/>
    </row>
    <row r="110" spans="1:43" x14ac:dyDescent="0.3">
      <c r="A110" s="82"/>
      <c r="B110" s="5"/>
      <c r="C110" s="5"/>
      <c r="D110" s="5"/>
      <c r="E110" s="5"/>
      <c r="F110" s="392"/>
      <c r="G110" s="392"/>
      <c r="H110" s="392"/>
      <c r="I110" s="392"/>
    </row>
    <row r="111" spans="1:43" x14ac:dyDescent="0.3">
      <c r="A111" s="82"/>
      <c r="B111" s="5"/>
      <c r="C111" s="5"/>
      <c r="D111" s="5"/>
      <c r="E111" s="5"/>
      <c r="F111" s="392"/>
      <c r="G111" s="392"/>
      <c r="H111" s="392"/>
      <c r="I111" s="392"/>
      <c r="AE111" s="364"/>
      <c r="AQ111" s="364"/>
    </row>
    <row r="112" spans="1:43" x14ac:dyDescent="0.3">
      <c r="A112" s="82"/>
      <c r="B112" s="5"/>
      <c r="C112" s="5"/>
      <c r="D112" s="5"/>
      <c r="E112" s="5"/>
      <c r="F112" s="392"/>
      <c r="G112" s="392"/>
      <c r="H112" s="392"/>
      <c r="I112" s="392"/>
      <c r="AE112" s="364"/>
      <c r="AQ112" s="364"/>
    </row>
    <row r="113" spans="1:43" x14ac:dyDescent="0.3">
      <c r="A113" s="82"/>
      <c r="B113" s="5"/>
      <c r="C113" s="5"/>
      <c r="D113" s="5"/>
      <c r="E113" s="5"/>
      <c r="F113" s="392"/>
      <c r="G113" s="392"/>
      <c r="H113" s="392"/>
      <c r="I113" s="392"/>
      <c r="AH113" s="364"/>
      <c r="AQ113" s="364"/>
    </row>
    <row r="114" spans="1:43" x14ac:dyDescent="0.3">
      <c r="AK114" s="364"/>
      <c r="AQ114" s="364"/>
    </row>
    <row r="115" spans="1:43" x14ac:dyDescent="0.3">
      <c r="AN115" s="364"/>
      <c r="AQ115" s="364"/>
    </row>
    <row r="116" spans="1:43" x14ac:dyDescent="0.3">
      <c r="AE116" s="364"/>
      <c r="AH116" s="364"/>
      <c r="AK116" s="364"/>
      <c r="AN116" s="364"/>
      <c r="AQ116" s="364"/>
    </row>
    <row r="117" spans="1:43" x14ac:dyDescent="0.3">
      <c r="AE117" s="364"/>
      <c r="AH117" s="364"/>
    </row>
    <row r="118" spans="1:43" x14ac:dyDescent="0.3">
      <c r="N118" s="136"/>
      <c r="U118" s="249"/>
    </row>
    <row r="119" spans="1:43" x14ac:dyDescent="0.3">
      <c r="N119" s="132"/>
    </row>
    <row r="121" spans="1:43" ht="14.4" customHeight="1" x14ac:dyDescent="0.3">
      <c r="J121" s="301"/>
      <c r="K121" s="301"/>
      <c r="L121" s="301"/>
      <c r="P121" s="690"/>
      <c r="Q121" s="690"/>
      <c r="R121" s="690"/>
    </row>
    <row r="122" spans="1:43" x14ac:dyDescent="0.3">
      <c r="J122" s="301"/>
      <c r="K122" s="301"/>
      <c r="L122" s="301"/>
      <c r="Q122" s="96"/>
      <c r="R122" s="96"/>
    </row>
    <row r="125" spans="1:43" x14ac:dyDescent="0.3">
      <c r="K125" s="65"/>
    </row>
    <row r="126" spans="1:43" x14ac:dyDescent="0.3">
      <c r="K126" s="554"/>
    </row>
    <row r="127" spans="1:43" x14ac:dyDescent="0.3">
      <c r="C127" s="2"/>
      <c r="D127" s="65"/>
      <c r="E127" s="65"/>
      <c r="F127" s="65"/>
      <c r="G127" s="65"/>
      <c r="H127" s="290"/>
      <c r="O127" s="2"/>
      <c r="P127" s="65"/>
      <c r="Q127" s="65"/>
      <c r="R127" s="65"/>
      <c r="S127" s="65"/>
      <c r="T127" s="290"/>
    </row>
    <row r="128" spans="1:43" x14ac:dyDescent="0.3">
      <c r="C128" s="2"/>
      <c r="D128" s="65"/>
      <c r="E128" s="65"/>
      <c r="F128" s="65"/>
      <c r="G128" s="65"/>
      <c r="H128" s="290"/>
      <c r="O128" s="2"/>
      <c r="P128" s="65"/>
      <c r="Q128" s="65"/>
      <c r="R128" s="65"/>
      <c r="S128" s="65"/>
      <c r="T128" s="290"/>
    </row>
    <row r="129" spans="3:20" x14ac:dyDescent="0.3">
      <c r="G129" s="65"/>
      <c r="H129" s="364"/>
      <c r="K129" s="65"/>
      <c r="S129" s="65"/>
      <c r="T129" s="364"/>
    </row>
    <row r="130" spans="3:20" x14ac:dyDescent="0.3">
      <c r="K130" s="364"/>
    </row>
    <row r="131" spans="3:20" x14ac:dyDescent="0.3">
      <c r="C131" s="2"/>
      <c r="D131" s="65"/>
      <c r="E131" s="65"/>
      <c r="F131" s="65"/>
      <c r="G131" s="65"/>
      <c r="H131" s="290"/>
    </row>
    <row r="132" spans="3:20" x14ac:dyDescent="0.3">
      <c r="C132" s="2"/>
      <c r="D132" s="65"/>
      <c r="E132" s="65"/>
      <c r="F132" s="65"/>
      <c r="G132" s="65"/>
      <c r="H132" s="290"/>
    </row>
    <row r="133" spans="3:20" x14ac:dyDescent="0.3">
      <c r="G133" s="65"/>
      <c r="H133" s="364"/>
    </row>
    <row r="134" spans="3:20" x14ac:dyDescent="0.3">
      <c r="O134" s="2"/>
      <c r="P134" s="65"/>
      <c r="Q134" s="65"/>
      <c r="R134" s="65"/>
      <c r="S134" s="65"/>
      <c r="T134" s="290"/>
    </row>
    <row r="135" spans="3:20" x14ac:dyDescent="0.3">
      <c r="O135" s="2"/>
      <c r="P135" s="65"/>
      <c r="Q135" s="65"/>
      <c r="R135" s="65"/>
      <c r="S135" s="65"/>
      <c r="T135" s="290"/>
    </row>
    <row r="136" spans="3:20" x14ac:dyDescent="0.3">
      <c r="S136" s="65"/>
      <c r="T136" s="364"/>
    </row>
    <row r="141" spans="3:20" x14ac:dyDescent="0.3">
      <c r="C141" s="2"/>
      <c r="D141" s="65"/>
      <c r="E141" s="65"/>
      <c r="H141" s="290"/>
      <c r="O141" s="2"/>
      <c r="P141" s="65"/>
      <c r="Q141" s="65"/>
      <c r="T141" s="290"/>
    </row>
    <row r="142" spans="3:20" x14ac:dyDescent="0.3">
      <c r="C142" s="2"/>
      <c r="D142" s="65"/>
      <c r="E142" s="65"/>
      <c r="H142" s="290"/>
      <c r="O142" s="2"/>
      <c r="P142" s="65"/>
      <c r="Q142" s="65"/>
      <c r="T142" s="290"/>
    </row>
    <row r="143" spans="3:20" x14ac:dyDescent="0.3">
      <c r="H143" s="364"/>
      <c r="T143" s="364"/>
    </row>
    <row r="147" spans="3:20" x14ac:dyDescent="0.3">
      <c r="C147" s="2"/>
      <c r="D147" s="65"/>
      <c r="E147" s="65"/>
      <c r="H147" s="290"/>
    </row>
    <row r="148" spans="3:20" x14ac:dyDescent="0.3">
      <c r="C148" s="2"/>
      <c r="D148" s="65"/>
      <c r="E148" s="65"/>
      <c r="H148" s="290"/>
      <c r="O148" s="2"/>
      <c r="P148" s="65"/>
      <c r="Q148" s="65"/>
      <c r="T148" s="290"/>
    </row>
    <row r="149" spans="3:20" x14ac:dyDescent="0.3">
      <c r="H149" s="554"/>
      <c r="O149" s="2"/>
      <c r="P149" s="65"/>
      <c r="Q149" s="65"/>
      <c r="T149" s="290"/>
    </row>
    <row r="150" spans="3:20" x14ac:dyDescent="0.3">
      <c r="T150" s="554"/>
    </row>
    <row r="153" spans="3:20" x14ac:dyDescent="0.3">
      <c r="C153" s="2"/>
      <c r="D153" s="65"/>
      <c r="E153" s="65"/>
      <c r="H153" s="290"/>
    </row>
    <row r="155" spans="3:20" x14ac:dyDescent="0.3">
      <c r="O155" s="2"/>
      <c r="P155" s="65"/>
      <c r="Q155" s="65"/>
      <c r="T155" s="290"/>
    </row>
    <row r="158" spans="3:20" ht="18" x14ac:dyDescent="0.35">
      <c r="D158" s="480"/>
      <c r="E158" s="480"/>
      <c r="F158" s="480"/>
      <c r="G158" s="480"/>
      <c r="H158" s="480"/>
      <c r="I158" s="480"/>
      <c r="J158" s="480"/>
    </row>
    <row r="164" spans="2:20" x14ac:dyDescent="0.3">
      <c r="B164" s="212"/>
      <c r="D164" s="212"/>
      <c r="F164" s="212"/>
      <c r="H164" s="212"/>
      <c r="J164" s="212"/>
      <c r="L164" s="212"/>
    </row>
    <row r="166" spans="2:20" x14ac:dyDescent="0.3">
      <c r="O166" s="2"/>
      <c r="P166" s="65"/>
      <c r="Q166" s="65"/>
      <c r="T166" s="290"/>
    </row>
    <row r="168" spans="2:20" x14ac:dyDescent="0.3">
      <c r="K168" s="212"/>
    </row>
    <row r="171" spans="2:20" x14ac:dyDescent="0.3">
      <c r="B171" s="212"/>
      <c r="D171" s="212"/>
    </row>
    <row r="173" spans="2:20" x14ac:dyDescent="0.3">
      <c r="J173" s="690"/>
      <c r="K173" s="690"/>
      <c r="L173" s="690"/>
    </row>
    <row r="175" spans="2:20" x14ac:dyDescent="0.3">
      <c r="B175" s="212"/>
      <c r="D175" s="212"/>
    </row>
    <row r="176" spans="2:20" x14ac:dyDescent="0.3">
      <c r="K176" s="212"/>
    </row>
    <row r="198" spans="1:9" ht="18" x14ac:dyDescent="0.35">
      <c r="A198" s="705"/>
      <c r="B198" s="705"/>
      <c r="C198" s="705"/>
      <c r="D198" s="705"/>
      <c r="E198" s="705"/>
      <c r="F198" s="705"/>
      <c r="G198" s="705"/>
      <c r="H198" s="705"/>
      <c r="I198" s="705"/>
    </row>
    <row r="200" spans="1:9" x14ac:dyDescent="0.3">
      <c r="A200" s="69"/>
      <c r="B200" s="69"/>
      <c r="C200" s="69"/>
      <c r="D200" s="69"/>
      <c r="E200" s="69"/>
      <c r="F200" s="69"/>
      <c r="G200" s="69"/>
      <c r="H200" s="69"/>
      <c r="I200" s="69"/>
    </row>
    <row r="201" spans="1:9" x14ac:dyDescent="0.3">
      <c r="B201" s="553"/>
    </row>
  </sheetData>
  <mergeCells count="77">
    <mergeCell ref="A198:I198"/>
    <mergeCell ref="J173:L173"/>
    <mergeCell ref="P121:R121"/>
    <mergeCell ref="M48:AA50"/>
    <mergeCell ref="C60:G60"/>
    <mergeCell ref="E89:G89"/>
    <mergeCell ref="B53:B54"/>
    <mergeCell ref="C53:F54"/>
    <mergeCell ref="G53:G54"/>
    <mergeCell ref="H53:H54"/>
    <mergeCell ref="I53:I54"/>
    <mergeCell ref="J53:J54"/>
    <mergeCell ref="B55:B56"/>
    <mergeCell ref="C55:F56"/>
    <mergeCell ref="G55:G56"/>
    <mergeCell ref="H55:H56"/>
    <mergeCell ref="I55:I56"/>
    <mergeCell ref="J55:J56"/>
    <mergeCell ref="AI83:AK83"/>
    <mergeCell ref="M30:AA32"/>
    <mergeCell ref="A14:B22"/>
    <mergeCell ref="D14:I14"/>
    <mergeCell ref="W14:W17"/>
    <mergeCell ref="D15:I15"/>
    <mergeCell ref="D16:I16"/>
    <mergeCell ref="D17:I17"/>
    <mergeCell ref="D18:I18"/>
    <mergeCell ref="W18:W22"/>
    <mergeCell ref="D19:I19"/>
    <mergeCell ref="D20:I20"/>
    <mergeCell ref="D21:I21"/>
    <mergeCell ref="D22:I22"/>
    <mergeCell ref="D23:I23"/>
    <mergeCell ref="C27:E27"/>
    <mergeCell ref="A30:L32"/>
    <mergeCell ref="D13:I13"/>
    <mergeCell ref="A6:L6"/>
    <mergeCell ref="A7:B8"/>
    <mergeCell ref="D7:I7"/>
    <mergeCell ref="A12:L12"/>
    <mergeCell ref="W1:W5"/>
    <mergeCell ref="W7:W8"/>
    <mergeCell ref="D8:I8"/>
    <mergeCell ref="A9:L9"/>
    <mergeCell ref="A10:B11"/>
    <mergeCell ref="D10:I10"/>
    <mergeCell ref="W10:W11"/>
    <mergeCell ref="D11:I11"/>
    <mergeCell ref="R1:R5"/>
    <mergeCell ref="S1:S5"/>
    <mergeCell ref="T1:T5"/>
    <mergeCell ref="U1:U5"/>
    <mergeCell ref="V1:V5"/>
    <mergeCell ref="Q1:Q5"/>
    <mergeCell ref="A1:C1"/>
    <mergeCell ref="M1:M5"/>
    <mergeCell ref="N1:N5"/>
    <mergeCell ref="O1:O5"/>
    <mergeCell ref="P1:P5"/>
    <mergeCell ref="A2:C2"/>
    <mergeCell ref="E2:F2"/>
    <mergeCell ref="A3:C3"/>
    <mergeCell ref="E3:F3"/>
    <mergeCell ref="A4:B5"/>
    <mergeCell ref="C4:C5"/>
    <mergeCell ref="D4:I5"/>
    <mergeCell ref="J4:K4"/>
    <mergeCell ref="L4:L5"/>
    <mergeCell ref="H35:H36"/>
    <mergeCell ref="I35:I36"/>
    <mergeCell ref="A48:L50"/>
    <mergeCell ref="B34:E34"/>
    <mergeCell ref="A35:A36"/>
    <mergeCell ref="B35:E36"/>
    <mergeCell ref="F35:F36"/>
    <mergeCell ref="G35:G36"/>
    <mergeCell ref="C39:G39"/>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sheetPr>
  <dimension ref="A1:BC228"/>
  <sheetViews>
    <sheetView zoomScale="63" zoomScaleNormal="60" workbookViewId="0">
      <pane xSplit="12" ySplit="6" topLeftCell="M78" activePane="bottomRight" state="frozen"/>
      <selection pane="topRight" activeCell="M1" sqref="M1"/>
      <selection pane="bottomLeft" activeCell="A7" sqref="A7"/>
      <selection pane="bottomRight" activeCell="J116" sqref="J116"/>
    </sheetView>
  </sheetViews>
  <sheetFormatPr defaultRowHeight="14.4" x14ac:dyDescent="0.3"/>
  <cols>
    <col min="2" max="2" width="22" customWidth="1"/>
    <col min="3" max="3" width="20" customWidth="1"/>
    <col min="4" max="4" width="14.109375" customWidth="1"/>
    <col min="5" max="5" width="9.6640625" customWidth="1"/>
    <col min="6" max="6" width="11.88671875" customWidth="1"/>
    <col min="7" max="7" width="12.6640625" customWidth="1"/>
    <col min="8" max="8" width="13.88671875" bestFit="1" customWidth="1"/>
    <col min="9" max="9" width="10.44140625" customWidth="1"/>
    <col min="10" max="10" width="17.6640625" customWidth="1"/>
    <col min="11" max="11" width="11.109375" customWidth="1"/>
    <col min="12" max="12" width="12.44140625" customWidth="1"/>
    <col min="13" max="13" width="8.88671875" customWidth="1"/>
    <col min="14" max="14" width="18.6640625" customWidth="1"/>
    <col min="15" max="15" width="11.33203125" customWidth="1"/>
    <col min="16" max="16" width="12.44140625" customWidth="1"/>
    <col min="17" max="17" width="14.44140625" customWidth="1"/>
    <col min="19" max="19" width="17.44140625" customWidth="1"/>
    <col min="20" max="20" width="16.5546875" customWidth="1"/>
    <col min="21" max="21" width="20.88671875" bestFit="1" customWidth="1"/>
    <col min="23" max="23" width="12" bestFit="1" customWidth="1"/>
    <col min="24" max="24" width="10.44140625" customWidth="1"/>
    <col min="25" max="25" width="10.5546875" customWidth="1"/>
    <col min="26" max="26" width="11.33203125" customWidth="1"/>
    <col min="27" max="27" width="10.88671875" customWidth="1"/>
    <col min="39" max="39" width="10.44140625" customWidth="1"/>
  </cols>
  <sheetData>
    <row r="1" spans="1:38" ht="17.399999999999999" customHeight="1" x14ac:dyDescent="0.3">
      <c r="A1" s="690" t="s">
        <v>194</v>
      </c>
      <c r="B1" s="690"/>
      <c r="C1" s="690"/>
      <c r="D1" s="46">
        <f>'$_DATI_BASE'!I11</f>
        <v>20333.333333333332</v>
      </c>
      <c r="E1" s="8" t="s">
        <v>36</v>
      </c>
      <c r="F1" s="47">
        <f>'$_DATI_BASE'!I12</f>
        <v>925</v>
      </c>
      <c r="G1" s="1" t="s">
        <v>195</v>
      </c>
      <c r="J1" s="1"/>
      <c r="M1" s="600" t="s">
        <v>196</v>
      </c>
      <c r="N1" s="600" t="s">
        <v>197</v>
      </c>
      <c r="O1" s="600" t="s">
        <v>198</v>
      </c>
      <c r="P1" s="600" t="s">
        <v>199</v>
      </c>
      <c r="Q1" s="600" t="s">
        <v>200</v>
      </c>
      <c r="R1" s="600" t="s">
        <v>201</v>
      </c>
      <c r="S1" s="600" t="s">
        <v>202</v>
      </c>
      <c r="T1" s="600" t="s">
        <v>203</v>
      </c>
      <c r="U1" s="600" t="s">
        <v>204</v>
      </c>
      <c r="V1" s="600" t="s">
        <v>205</v>
      </c>
      <c r="W1" s="600" t="s">
        <v>206</v>
      </c>
      <c r="X1" s="600" t="s">
        <v>207</v>
      </c>
    </row>
    <row r="2" spans="1:38" ht="14.4" customHeight="1" x14ac:dyDescent="0.3">
      <c r="A2" s="681" t="s">
        <v>208</v>
      </c>
      <c r="B2" s="681"/>
      <c r="C2" s="681"/>
      <c r="D2" s="46">
        <f>_xlfn.CEILING.MATH(D1*70%)</f>
        <v>14234</v>
      </c>
      <c r="E2" s="682" t="s">
        <v>209</v>
      </c>
      <c r="F2" s="682"/>
      <c r="G2" s="1">
        <f>'$_DATI_BASE'!M6</f>
        <v>22</v>
      </c>
      <c r="H2" s="1" t="s">
        <v>210</v>
      </c>
      <c r="I2" s="3">
        <f>'$_DATI_BASE'!M8</f>
        <v>330</v>
      </c>
      <c r="J2" s="1"/>
      <c r="M2" s="600"/>
      <c r="N2" s="600"/>
      <c r="O2" s="600"/>
      <c r="P2" s="590"/>
      <c r="Q2" s="590"/>
      <c r="R2" s="590"/>
      <c r="S2" s="590"/>
      <c r="T2" s="590"/>
      <c r="U2" s="590"/>
      <c r="V2" s="590"/>
      <c r="W2" s="590"/>
      <c r="X2" s="600"/>
    </row>
    <row r="3" spans="1:38" ht="14.4" customHeight="1" x14ac:dyDescent="0.3">
      <c r="A3" s="681" t="s">
        <v>211</v>
      </c>
      <c r="B3" s="681"/>
      <c r="C3" s="681"/>
      <c r="D3" s="46">
        <f>_xlfn.CEILING.MATH(D1*30%)</f>
        <v>6100</v>
      </c>
      <c r="E3" s="682" t="s">
        <v>212</v>
      </c>
      <c r="F3" s="682"/>
      <c r="G3" s="1">
        <f>'$_DATI_BASE'!M7</f>
        <v>15</v>
      </c>
      <c r="I3" s="1"/>
      <c r="J3" s="1"/>
      <c r="M3" s="600"/>
      <c r="N3" s="600"/>
      <c r="O3" s="600"/>
      <c r="P3" s="590"/>
      <c r="Q3" s="590"/>
      <c r="R3" s="590"/>
      <c r="S3" s="590"/>
      <c r="T3" s="590"/>
      <c r="U3" s="590"/>
      <c r="V3" s="590"/>
      <c r="W3" s="590"/>
      <c r="X3" s="600"/>
    </row>
    <row r="4" spans="1:38" ht="23.25" customHeight="1" x14ac:dyDescent="0.3">
      <c r="A4" s="590" t="s">
        <v>76</v>
      </c>
      <c r="B4" s="590"/>
      <c r="C4" s="643" t="s">
        <v>77</v>
      </c>
      <c r="D4" s="643" t="s">
        <v>149</v>
      </c>
      <c r="E4" s="643"/>
      <c r="F4" s="643"/>
      <c r="G4" s="643"/>
      <c r="H4" s="643"/>
      <c r="I4" s="643"/>
      <c r="J4" s="591" t="s">
        <v>213</v>
      </c>
      <c r="K4" s="591"/>
      <c r="L4" s="683" t="s">
        <v>214</v>
      </c>
      <c r="M4" s="600"/>
      <c r="N4" s="600"/>
      <c r="O4" s="590"/>
      <c r="P4" s="590"/>
      <c r="Q4" s="590"/>
      <c r="R4" s="590"/>
      <c r="S4" s="590"/>
      <c r="T4" s="590"/>
      <c r="U4" s="590"/>
      <c r="V4" s="590"/>
      <c r="W4" s="590"/>
      <c r="X4" s="600"/>
    </row>
    <row r="5" spans="1:38" ht="23.25" customHeight="1" x14ac:dyDescent="0.3">
      <c r="A5" s="590"/>
      <c r="B5" s="590"/>
      <c r="C5" s="643"/>
      <c r="D5" s="643"/>
      <c r="E5" s="643"/>
      <c r="F5" s="643"/>
      <c r="G5" s="643"/>
      <c r="H5" s="643"/>
      <c r="I5" s="643"/>
      <c r="J5" s="21" t="s">
        <v>215</v>
      </c>
      <c r="K5" s="21" t="s">
        <v>216</v>
      </c>
      <c r="L5" s="683"/>
      <c r="M5" s="600"/>
      <c r="N5" s="600"/>
      <c r="O5" s="590"/>
      <c r="P5" s="590"/>
      <c r="Q5" s="590"/>
      <c r="R5" s="590"/>
      <c r="S5" s="590"/>
      <c r="T5" s="590"/>
      <c r="U5" s="590"/>
      <c r="V5" s="590"/>
      <c r="W5" s="590"/>
      <c r="X5" s="600"/>
    </row>
    <row r="6" spans="1:38" ht="15" thickBot="1" x14ac:dyDescent="0.35">
      <c r="A6" s="690"/>
      <c r="B6" s="690"/>
      <c r="C6" s="690"/>
      <c r="D6" s="690"/>
      <c r="E6" s="690"/>
      <c r="F6" s="690"/>
      <c r="G6" s="690"/>
      <c r="H6" s="690"/>
      <c r="I6" s="690"/>
      <c r="J6" s="690"/>
      <c r="K6" s="690"/>
      <c r="L6" s="690"/>
      <c r="X6" s="5"/>
    </row>
    <row r="7" spans="1:38" x14ac:dyDescent="0.3">
      <c r="A7" s="600" t="s">
        <v>81</v>
      </c>
      <c r="B7" s="600"/>
      <c r="C7" s="11" t="str">
        <f>'$_DB_CICLI'!F5</f>
        <v>INTASS001-10</v>
      </c>
      <c r="D7" s="686" t="s">
        <v>179</v>
      </c>
      <c r="E7" s="686"/>
      <c r="F7" s="686"/>
      <c r="G7" s="686"/>
      <c r="H7" s="686"/>
      <c r="I7" s="686"/>
      <c r="J7" s="121">
        <f>'$_DB_CICLI'!Q4</f>
        <v>14234</v>
      </c>
      <c r="K7" s="121"/>
      <c r="L7" s="185">
        <f>J7</f>
        <v>14234</v>
      </c>
      <c r="M7" s="169">
        <f>'$_DATI_BASE'!T45</f>
        <v>500</v>
      </c>
      <c r="N7" s="170">
        <f>'$_DATI_BASE'!U45</f>
        <v>120</v>
      </c>
      <c r="O7" s="171">
        <v>1.7</v>
      </c>
      <c r="P7" s="189">
        <f>$G$3*$G$2*60</f>
        <v>19800</v>
      </c>
      <c r="Q7" s="124">
        <f>P7*'$_DATI_BASE'!$S$16</f>
        <v>19206</v>
      </c>
      <c r="R7" s="124">
        <f>(L7/M7)*N7</f>
        <v>3416.16</v>
      </c>
      <c r="S7" s="125">
        <f>Q7-R7</f>
        <v>15789.84</v>
      </c>
      <c r="T7" s="330">
        <f>S7*'$_DATI_BASE'!$T$16</f>
        <v>15631.9416</v>
      </c>
      <c r="U7" s="335">
        <f>T7/L7</f>
        <v>1.0982114374034002</v>
      </c>
      <c r="V7" s="336">
        <f>O7/U7</f>
        <v>1.5479714944687357</v>
      </c>
      <c r="W7" s="710">
        <f>SUM(V7+V8)</f>
        <v>2.2108736038178662</v>
      </c>
      <c r="X7" s="334">
        <f>_xlfn.CEILING.MATH(V7)</f>
        <v>2</v>
      </c>
    </row>
    <row r="8" spans="1:38" x14ac:dyDescent="0.3">
      <c r="A8" s="600"/>
      <c r="B8" s="600"/>
      <c r="C8" s="11" t="str">
        <f>'$_DB_CICLI'!F29</f>
        <v>INTASS002-10</v>
      </c>
      <c r="D8" s="686" t="str">
        <f>'$_DB_CICLI'!I29</f>
        <v>ASSEMBLAGGIO FRESATRICE COMPLETA L=1750</v>
      </c>
      <c r="E8" s="686"/>
      <c r="F8" s="686"/>
      <c r="G8" s="686"/>
      <c r="H8" s="686"/>
      <c r="I8" s="686"/>
      <c r="J8" s="121"/>
      <c r="K8" s="121">
        <f>'$_DB_CICLI'!Q28</f>
        <v>6100</v>
      </c>
      <c r="L8" s="185">
        <f>K8</f>
        <v>6100</v>
      </c>
      <c r="M8" s="172">
        <f>'$_DATI_BASE'!T46</f>
        <v>215</v>
      </c>
      <c r="N8" s="122">
        <f>'$_DATI_BASE'!U46</f>
        <v>120</v>
      </c>
      <c r="O8" s="173">
        <v>1.7</v>
      </c>
      <c r="P8" s="189">
        <f>$G$3*$G$2*60</f>
        <v>19800</v>
      </c>
      <c r="Q8" s="124">
        <f>P8*'$_DATI_BASE'!$S$16</f>
        <v>19206</v>
      </c>
      <c r="R8" s="124">
        <f>(L8/M8)*N8</f>
        <v>3404.6511627906975</v>
      </c>
      <c r="S8" s="125">
        <f>Q8-R8</f>
        <v>15801.348837209302</v>
      </c>
      <c r="T8" s="330">
        <f>S8*'$_DATI_BASE'!$T$16</f>
        <v>15643.335348837209</v>
      </c>
      <c r="U8" s="337">
        <f>T8/L8</f>
        <v>2.5644812047274113</v>
      </c>
      <c r="V8" s="123">
        <f>O8/U8</f>
        <v>0.66290210934913041</v>
      </c>
      <c r="W8" s="711"/>
      <c r="X8" s="334">
        <f t="shared" ref="X8:X22" si="0">_xlfn.CEILING.MATH(V8)</f>
        <v>1</v>
      </c>
    </row>
    <row r="9" spans="1:38" x14ac:dyDescent="0.3">
      <c r="A9" s="687"/>
      <c r="B9" s="687"/>
      <c r="C9" s="687"/>
      <c r="D9" s="687"/>
      <c r="E9" s="687"/>
      <c r="F9" s="687"/>
      <c r="G9" s="687"/>
      <c r="H9" s="687"/>
      <c r="I9" s="687"/>
      <c r="J9" s="687"/>
      <c r="K9" s="687"/>
      <c r="L9" s="687"/>
      <c r="M9" s="174"/>
      <c r="N9" s="1"/>
      <c r="O9" s="175"/>
      <c r="U9" s="138"/>
      <c r="X9" s="3"/>
      <c r="Y9" s="139"/>
    </row>
    <row r="10" spans="1:38" x14ac:dyDescent="0.3">
      <c r="A10" s="600" t="s">
        <v>92</v>
      </c>
      <c r="B10" s="600"/>
      <c r="C10" s="11" t="str">
        <f>'$_DB_CICLI'!F7</f>
        <v>INTSAL001-10</v>
      </c>
      <c r="D10" s="686" t="str">
        <f>'$_DB_CICLI'!I7</f>
        <v xml:space="preserve"> SALD. TELAIO COMPL CON ATTACCHI TRATTORE L=1500</v>
      </c>
      <c r="E10" s="686"/>
      <c r="F10" s="686"/>
      <c r="G10" s="686"/>
      <c r="H10" s="686"/>
      <c r="I10" s="686"/>
      <c r="J10" s="126">
        <f>'$_DB_CICLI'!Q6</f>
        <v>14234</v>
      </c>
      <c r="K10" s="126"/>
      <c r="L10" s="186">
        <f>J10</f>
        <v>14234</v>
      </c>
      <c r="M10" s="176">
        <f>'$_DATI_BASE'!T47</f>
        <v>500</v>
      </c>
      <c r="N10" s="127">
        <f>'$_DATI_BASE'!U47</f>
        <v>60</v>
      </c>
      <c r="O10" s="177">
        <f>'$_DATI_BASE'!V47</f>
        <v>8</v>
      </c>
      <c r="P10" s="190">
        <f>$G$3*$G$2*60</f>
        <v>19800</v>
      </c>
      <c r="Q10" s="129">
        <f>P10*'$_DATI_BASE'!$S$20</f>
        <v>19404</v>
      </c>
      <c r="R10" s="129">
        <f>(L10/M10)*N10</f>
        <v>1708.08</v>
      </c>
      <c r="S10" s="130">
        <f>Q10-R10</f>
        <v>17695.919999999998</v>
      </c>
      <c r="T10" s="331">
        <f>S10*'$_DATI_BASE'!$T$20</f>
        <v>17165.042399999998</v>
      </c>
      <c r="U10" s="338">
        <f>T10/L10</f>
        <v>1.2059183925811436</v>
      </c>
      <c r="V10" s="128">
        <f>O10/U10</f>
        <v>6.6339480757705562</v>
      </c>
      <c r="W10" s="712">
        <f>SUM(V10:V11)</f>
        <v>9.4760113270096511</v>
      </c>
      <c r="X10" s="334">
        <f t="shared" si="0"/>
        <v>7</v>
      </c>
    </row>
    <row r="11" spans="1:38" x14ac:dyDescent="0.3">
      <c r="A11" s="600"/>
      <c r="B11" s="600"/>
      <c r="C11" s="11" t="str">
        <f>'$_DB_CICLI'!F31</f>
        <v>INTSAL002-10</v>
      </c>
      <c r="D11" s="686" t="str">
        <f>'$_DB_CICLI'!I31</f>
        <v xml:space="preserve"> SALD. TELAIO COMPL. CON ATTACCHI TRATTORE L=1750</v>
      </c>
      <c r="E11" s="686"/>
      <c r="F11" s="686"/>
      <c r="G11" s="686"/>
      <c r="H11" s="686"/>
      <c r="I11" s="686"/>
      <c r="J11" s="126"/>
      <c r="K11" s="126">
        <f>'$_DB_CICLI'!Q30</f>
        <v>6100</v>
      </c>
      <c r="L11" s="186">
        <f>K11</f>
        <v>6100</v>
      </c>
      <c r="M11" s="176">
        <f>'$_DATI_BASE'!T48</f>
        <v>215</v>
      </c>
      <c r="N11" s="127">
        <f>'$_DATI_BASE'!U48</f>
        <v>60</v>
      </c>
      <c r="O11" s="177">
        <f>'$_DATI_BASE'!V48</f>
        <v>8</v>
      </c>
      <c r="P11" s="190">
        <f>$G$3*$G$2*60</f>
        <v>19800</v>
      </c>
      <c r="Q11" s="129">
        <f>P11*'$_DATI_BASE'!$S$20</f>
        <v>19404</v>
      </c>
      <c r="R11" s="129">
        <f>(L11/M11)*N11</f>
        <v>1702.3255813953488</v>
      </c>
      <c r="S11" s="130">
        <f>Q11-R11</f>
        <v>17701.674418604653</v>
      </c>
      <c r="T11" s="331">
        <f>S11*'$_DATI_BASE'!$T$20</f>
        <v>17170.624186046512</v>
      </c>
      <c r="U11" s="338">
        <f>T11/L11</f>
        <v>2.814856423942051</v>
      </c>
      <c r="V11" s="128">
        <f>O11/U11</f>
        <v>2.8420632512390958</v>
      </c>
      <c r="W11" s="713"/>
      <c r="X11" s="334">
        <f t="shared" si="0"/>
        <v>3</v>
      </c>
    </row>
    <row r="12" spans="1:38" x14ac:dyDescent="0.3">
      <c r="A12" s="690"/>
      <c r="B12" s="690"/>
      <c r="C12" s="690"/>
      <c r="D12" s="690"/>
      <c r="E12" s="690"/>
      <c r="F12" s="690"/>
      <c r="G12" s="690"/>
      <c r="H12" s="690"/>
      <c r="I12" s="690"/>
      <c r="J12" s="690"/>
      <c r="K12" s="690"/>
      <c r="L12" s="690"/>
      <c r="M12" s="174"/>
      <c r="N12" s="1"/>
      <c r="O12" s="175"/>
      <c r="U12" s="138"/>
      <c r="W12" s="139"/>
      <c r="X12" s="3"/>
    </row>
    <row r="13" spans="1:38" x14ac:dyDescent="0.3">
      <c r="A13" s="3"/>
      <c r="B13" s="3"/>
      <c r="D13" s="649"/>
      <c r="E13" s="649"/>
      <c r="F13" s="649"/>
      <c r="G13" s="649"/>
      <c r="H13" s="649"/>
      <c r="I13" s="649"/>
      <c r="J13" s="2"/>
      <c r="K13" s="2"/>
      <c r="L13" s="2"/>
      <c r="M13" s="174"/>
      <c r="N13" s="1"/>
      <c r="O13" s="175"/>
      <c r="U13" s="138"/>
      <c r="W13" s="139"/>
      <c r="X13" s="3"/>
    </row>
    <row r="14" spans="1:38" ht="15" customHeight="1" x14ac:dyDescent="0.3">
      <c r="A14" s="642" t="s">
        <v>217</v>
      </c>
      <c r="B14" s="642"/>
      <c r="C14" s="11" t="s">
        <v>105</v>
      </c>
      <c r="D14" s="686" t="str">
        <f>'$_DB_CICLI'!I9</f>
        <v>PRESSOPIEGATURA CARTER L=1500</v>
      </c>
      <c r="E14" s="686"/>
      <c r="F14" s="686"/>
      <c r="G14" s="686"/>
      <c r="H14" s="686"/>
      <c r="I14" s="686"/>
      <c r="J14" s="116">
        <f>'$_DB_CICLI'!Q9</f>
        <v>14675</v>
      </c>
      <c r="K14" s="116"/>
      <c r="L14" s="187">
        <f>J14</f>
        <v>14675</v>
      </c>
      <c r="M14" s="178">
        <f>'$_DATI_BASE'!T49</f>
        <v>500</v>
      </c>
      <c r="N14" s="117">
        <f>'$_DATI_BASE'!U49</f>
        <v>30</v>
      </c>
      <c r="O14" s="179">
        <f>'$_DATI_BASE'!V49</f>
        <v>1</v>
      </c>
      <c r="P14" s="191">
        <f>$G$3*$G$2*60</f>
        <v>19800</v>
      </c>
      <c r="Q14" s="119">
        <f>P14*'$_DATI_BASE'!$S$26</f>
        <v>19404</v>
      </c>
      <c r="R14" s="119">
        <f>(L14/M14)*N14</f>
        <v>880.5</v>
      </c>
      <c r="S14" s="120">
        <f t="shared" ref="S14:S22" si="1">Q14-R14</f>
        <v>18523.5</v>
      </c>
      <c r="T14" s="332">
        <f>S14*'$_DATI_BASE'!$T$26</f>
        <v>18338.264999999999</v>
      </c>
      <c r="U14" s="339">
        <f t="shared" ref="U14:U22" si="2">T14/L14</f>
        <v>1.2496262350936966</v>
      </c>
      <c r="V14" s="118">
        <f>O14/U14</f>
        <v>0.80023928108793285</v>
      </c>
      <c r="W14" s="706">
        <f>SUM(V14,V16,V18,V20)</f>
        <v>3.5657961725232514</v>
      </c>
      <c r="X14" s="334">
        <f t="shared" si="0"/>
        <v>1</v>
      </c>
    </row>
    <row r="15" spans="1:38" ht="15" customHeight="1" x14ac:dyDescent="0.3">
      <c r="A15" s="642"/>
      <c r="B15" s="642"/>
      <c r="C15" s="11" t="s">
        <v>110</v>
      </c>
      <c r="D15" s="686" t="str">
        <f>'$_DB_CICLI'!I10</f>
        <v>TRANCIATURA CARTER L=1500</v>
      </c>
      <c r="E15" s="686"/>
      <c r="F15" s="686"/>
      <c r="G15" s="686"/>
      <c r="H15" s="686"/>
      <c r="I15" s="686"/>
      <c r="J15" s="29">
        <f>'$_DB_CICLI'!Q10</f>
        <v>14975</v>
      </c>
      <c r="K15" s="29"/>
      <c r="L15" s="188">
        <f>J15</f>
        <v>14975</v>
      </c>
      <c r="M15" s="180">
        <f>'$_DATI_BASE'!T50</f>
        <v>500</v>
      </c>
      <c r="N15" s="30">
        <f>'$_DATI_BASE'!U50</f>
        <v>30</v>
      </c>
      <c r="O15" s="181">
        <f>'$_DATI_BASE'!V50</f>
        <v>1</v>
      </c>
      <c r="P15" s="192">
        <f t="shared" ref="P15:P22" si="3">$G$3*$G$2*60</f>
        <v>19800</v>
      </c>
      <c r="Q15" s="32">
        <f>P15*'$_DATI_BASE'!$S$26</f>
        <v>19404</v>
      </c>
      <c r="R15" s="32">
        <f t="shared" ref="R15:R22" si="4">(L15/M15)*N15</f>
        <v>898.5</v>
      </c>
      <c r="S15" s="33">
        <f t="shared" si="1"/>
        <v>18505.5</v>
      </c>
      <c r="T15" s="333">
        <f>S15*'$_DATI_BASE'!$T$26</f>
        <v>18320.445</v>
      </c>
      <c r="U15" s="340">
        <f t="shared" si="2"/>
        <v>1.2234020033388981</v>
      </c>
      <c r="V15" s="31">
        <f>O15/U15</f>
        <v>0.81739280896288269</v>
      </c>
      <c r="W15" s="706"/>
      <c r="X15" s="334">
        <f t="shared" si="0"/>
        <v>1</v>
      </c>
    </row>
    <row r="16" spans="1:38" ht="15" customHeight="1" x14ac:dyDescent="0.35">
      <c r="A16" s="642"/>
      <c r="B16" s="642"/>
      <c r="C16" s="11" t="s">
        <v>114</v>
      </c>
      <c r="D16" s="686" t="str">
        <f>'$_DB_CICLI'!I33</f>
        <v>PRESSOPIEGATURA CARTER L=1750</v>
      </c>
      <c r="E16" s="686"/>
      <c r="F16" s="686"/>
      <c r="G16" s="686"/>
      <c r="H16" s="686"/>
      <c r="I16" s="686"/>
      <c r="J16" s="116"/>
      <c r="K16" s="116">
        <f>'$_DB_CICLI'!Q33</f>
        <v>6289</v>
      </c>
      <c r="L16" s="187">
        <f>K16</f>
        <v>6289</v>
      </c>
      <c r="M16" s="178">
        <f>'$_DATI_BASE'!T51</f>
        <v>215</v>
      </c>
      <c r="N16" s="117">
        <f>'$_DATI_BASE'!U51</f>
        <v>30</v>
      </c>
      <c r="O16" s="179">
        <f>'$_DATI_BASE'!V51</f>
        <v>1.2</v>
      </c>
      <c r="P16" s="191">
        <f>$G$3*$G$2*60</f>
        <v>19800</v>
      </c>
      <c r="Q16" s="119">
        <f>P16*'$_DATI_BASE'!$S$26</f>
        <v>19404</v>
      </c>
      <c r="R16" s="119">
        <f>(L16/M16)*N16</f>
        <v>877.53488372093022</v>
      </c>
      <c r="S16" s="120">
        <f t="shared" si="1"/>
        <v>18526.465116279069</v>
      </c>
      <c r="T16" s="332">
        <f>S16*'$_DATI_BASE'!$T$26</f>
        <v>18341.200465116279</v>
      </c>
      <c r="U16" s="339">
        <f>T16/L16</f>
        <v>2.9163937772485733</v>
      </c>
      <c r="V16" s="118">
        <f t="shared" ref="V16:V22" si="5">O16/U16</f>
        <v>0.4114670691459647</v>
      </c>
      <c r="W16" s="706"/>
      <c r="X16" s="334">
        <f t="shared" si="0"/>
        <v>1</v>
      </c>
      <c r="AL16" s="325"/>
    </row>
    <row r="17" spans="1:38" ht="15" customHeight="1" x14ac:dyDescent="0.35">
      <c r="A17" s="642"/>
      <c r="B17" s="642"/>
      <c r="C17" s="11" t="s">
        <v>119</v>
      </c>
      <c r="D17" s="686" t="str">
        <f>'$_DB_CICLI'!I34</f>
        <v>TRANCIATURA CARTER L=1750</v>
      </c>
      <c r="E17" s="686"/>
      <c r="F17" s="686"/>
      <c r="G17" s="686"/>
      <c r="H17" s="686"/>
      <c r="I17" s="686"/>
      <c r="J17" s="29"/>
      <c r="K17" s="29">
        <f>'$_DB_CICLI'!Q34</f>
        <v>6418</v>
      </c>
      <c r="L17" s="188">
        <f>K17</f>
        <v>6418</v>
      </c>
      <c r="M17" s="180">
        <f>'$_DATI_BASE'!T52</f>
        <v>215</v>
      </c>
      <c r="N17" s="30">
        <f>'$_DATI_BASE'!U52</f>
        <v>30</v>
      </c>
      <c r="O17" s="181">
        <f>'$_DATI_BASE'!V52</f>
        <v>1.2</v>
      </c>
      <c r="P17" s="192">
        <f t="shared" si="3"/>
        <v>19800</v>
      </c>
      <c r="Q17" s="32">
        <f>P17*'$_DATI_BASE'!$S$26</f>
        <v>19404</v>
      </c>
      <c r="R17" s="32">
        <f>(L17/M17)*N17</f>
        <v>895.53488372093022</v>
      </c>
      <c r="S17" s="33">
        <f t="shared" si="1"/>
        <v>18508.465116279069</v>
      </c>
      <c r="T17" s="333">
        <f>S17*'$_DATI_BASE'!$T$26</f>
        <v>18323.380465116279</v>
      </c>
      <c r="U17" s="340">
        <f t="shared" si="2"/>
        <v>2.8549985143528014</v>
      </c>
      <c r="V17" s="31">
        <f t="shared" si="5"/>
        <v>0.4203154551455266</v>
      </c>
      <c r="W17" s="706"/>
      <c r="X17" s="334">
        <f t="shared" si="0"/>
        <v>1</v>
      </c>
      <c r="AL17" s="326"/>
    </row>
    <row r="18" spans="1:38" ht="15" customHeight="1" x14ac:dyDescent="0.35">
      <c r="A18" s="642"/>
      <c r="B18" s="642"/>
      <c r="C18" s="11" t="s">
        <v>124</v>
      </c>
      <c r="D18" s="686" t="str">
        <f>'$_DB_CICLI'!I13</f>
        <v>PRESSOPIEGATURA STAFFE RINFORZO</v>
      </c>
      <c r="E18" s="686"/>
      <c r="F18" s="686"/>
      <c r="G18" s="686"/>
      <c r="H18" s="686"/>
      <c r="I18" s="686"/>
      <c r="J18" s="116">
        <f>'$_DB_CICLI'!Q13</f>
        <v>44023</v>
      </c>
      <c r="K18" s="116">
        <f>'$_DB_CICLI'!Q37</f>
        <v>31444</v>
      </c>
      <c r="L18" s="187">
        <f>SUM(J18:K18)</f>
        <v>75467</v>
      </c>
      <c r="M18" s="178">
        <f>'$_DATI_BASE'!T53</f>
        <v>3000</v>
      </c>
      <c r="N18" s="117">
        <f>'$_DATI_BASE'!U53</f>
        <v>30</v>
      </c>
      <c r="O18" s="179">
        <f>'$_DATI_BASE'!V53</f>
        <v>0.3</v>
      </c>
      <c r="P18" s="191">
        <f t="shared" si="3"/>
        <v>19800</v>
      </c>
      <c r="Q18" s="119">
        <f>P18*'$_DATI_BASE'!$S$26</f>
        <v>19404</v>
      </c>
      <c r="R18" s="119">
        <f>(L18/M18)*N18</f>
        <v>754.67</v>
      </c>
      <c r="S18" s="120">
        <f t="shared" si="1"/>
        <v>18649.330000000002</v>
      </c>
      <c r="T18" s="332">
        <f>S18*'$_DATI_BASE'!$T$26</f>
        <v>18462.8367</v>
      </c>
      <c r="U18" s="339">
        <f t="shared" si="2"/>
        <v>0.24464781560152118</v>
      </c>
      <c r="V18" s="118">
        <f t="shared" si="5"/>
        <v>1.2262525183900912</v>
      </c>
      <c r="W18" s="707">
        <f>SUM(V15,V17,V19,V21,V22)</f>
        <v>5.4462260806085965</v>
      </c>
      <c r="X18" s="334">
        <f t="shared" si="0"/>
        <v>2</v>
      </c>
      <c r="AL18" s="326"/>
    </row>
    <row r="19" spans="1:38" ht="15" customHeight="1" x14ac:dyDescent="0.35">
      <c r="A19" s="642"/>
      <c r="B19" s="642"/>
      <c r="C19" s="11" t="s">
        <v>126</v>
      </c>
      <c r="D19" s="686" t="str">
        <f>'$_DB_CICLI'!I14</f>
        <v>TRANCIATURA STAFFE RINFORZO</v>
      </c>
      <c r="E19" s="686"/>
      <c r="F19" s="686"/>
      <c r="G19" s="686"/>
      <c r="H19" s="686"/>
      <c r="I19" s="686"/>
      <c r="J19" s="29">
        <f>'$_DB_CICLI'!Q14</f>
        <v>44922</v>
      </c>
      <c r="K19" s="29">
        <f>'$_DB_CICLI'!Q38</f>
        <v>32086</v>
      </c>
      <c r="L19" s="188">
        <f>SUM(J19:K19)</f>
        <v>77008</v>
      </c>
      <c r="M19" s="180">
        <f>'$_DATI_BASE'!T54</f>
        <v>3000</v>
      </c>
      <c r="N19" s="30">
        <f>'$_DATI_BASE'!U54</f>
        <v>30</v>
      </c>
      <c r="O19" s="181">
        <f>'$_DATI_BASE'!V54</f>
        <v>0.3</v>
      </c>
      <c r="P19" s="192">
        <f t="shared" si="3"/>
        <v>19800</v>
      </c>
      <c r="Q19" s="32">
        <f>P19*'$_DATI_BASE'!$S$26</f>
        <v>19404</v>
      </c>
      <c r="R19" s="32">
        <f t="shared" si="4"/>
        <v>770.08</v>
      </c>
      <c r="S19" s="33">
        <f t="shared" si="1"/>
        <v>18633.919999999998</v>
      </c>
      <c r="T19" s="333">
        <f>S19*'$_DATI_BASE'!$T$26</f>
        <v>18447.5808</v>
      </c>
      <c r="U19" s="340">
        <f t="shared" si="2"/>
        <v>0.23955408269270725</v>
      </c>
      <c r="V19" s="31">
        <f t="shared" si="5"/>
        <v>1.252326809160798</v>
      </c>
      <c r="W19" s="708"/>
      <c r="X19" s="334">
        <f t="shared" si="0"/>
        <v>2</v>
      </c>
      <c r="AL19" s="326"/>
    </row>
    <row r="20" spans="1:38" ht="15" customHeight="1" x14ac:dyDescent="0.35">
      <c r="A20" s="642"/>
      <c r="B20" s="642"/>
      <c r="C20" s="11" t="s">
        <v>128</v>
      </c>
      <c r="D20" s="686" t="str">
        <f>'$_DB_CICLI'!I17</f>
        <v>PRESSOPIEGATURA PIASTRE ATTACCO TRATTORE</v>
      </c>
      <c r="E20" s="686"/>
      <c r="F20" s="686"/>
      <c r="G20" s="686"/>
      <c r="H20" s="686"/>
      <c r="I20" s="686"/>
      <c r="J20" s="116">
        <f>'$_DB_CICLI'!Q17</f>
        <v>29349</v>
      </c>
      <c r="K20" s="116">
        <f>'$_DB_CICLI'!Q41</f>
        <v>12578</v>
      </c>
      <c r="L20" s="187">
        <f>SUM(J20:K20)</f>
        <v>41927</v>
      </c>
      <c r="M20" s="178">
        <f>'$_DATI_BASE'!T55</f>
        <v>2000</v>
      </c>
      <c r="N20" s="117">
        <f>'$_DATI_BASE'!U55</f>
        <v>30</v>
      </c>
      <c r="O20" s="179">
        <f>'$_DATI_BASE'!V55</f>
        <v>0.5</v>
      </c>
      <c r="P20" s="191">
        <f t="shared" si="3"/>
        <v>19800</v>
      </c>
      <c r="Q20" s="119">
        <f>P20*'$_DATI_BASE'!$S$26</f>
        <v>19404</v>
      </c>
      <c r="R20" s="119">
        <f t="shared" si="4"/>
        <v>628.90499999999997</v>
      </c>
      <c r="S20" s="120">
        <f t="shared" si="1"/>
        <v>18775.095000000001</v>
      </c>
      <c r="T20" s="332">
        <f>S20*'$_DATI_BASE'!$T$26</f>
        <v>18587.34405</v>
      </c>
      <c r="U20" s="339">
        <f t="shared" si="2"/>
        <v>0.44332635413933741</v>
      </c>
      <c r="V20" s="118">
        <f t="shared" si="5"/>
        <v>1.1278373038992626</v>
      </c>
      <c r="W20" s="708"/>
      <c r="X20" s="334">
        <f t="shared" si="0"/>
        <v>2</v>
      </c>
      <c r="AL20" s="326"/>
    </row>
    <row r="21" spans="1:38" ht="15" customHeight="1" x14ac:dyDescent="0.35">
      <c r="A21" s="642"/>
      <c r="B21" s="642"/>
      <c r="C21" s="11" t="s">
        <v>132</v>
      </c>
      <c r="D21" s="686" t="str">
        <f>'$_DB_CICLI'!I18</f>
        <v>TRANCIATURA STAFFE ATTACCO TRATTORE</v>
      </c>
      <c r="E21" s="686"/>
      <c r="F21" s="686"/>
      <c r="G21" s="686"/>
      <c r="H21" s="686"/>
      <c r="I21" s="686"/>
      <c r="J21" s="29">
        <f>'$_DB_CICLI'!Q18</f>
        <v>29948</v>
      </c>
      <c r="K21" s="29">
        <f>'$_DB_CICLI'!Q42</f>
        <v>12835</v>
      </c>
      <c r="L21" s="188">
        <f>SUM(J21:K21)</f>
        <v>42783</v>
      </c>
      <c r="M21" s="180">
        <f>'$_DATI_BASE'!T56</f>
        <v>2000</v>
      </c>
      <c r="N21" s="30">
        <f>'$_DATI_BASE'!U56</f>
        <v>30</v>
      </c>
      <c r="O21" s="181">
        <f>'$_DATI_BASE'!V56</f>
        <v>0.5</v>
      </c>
      <c r="P21" s="192">
        <f t="shared" si="3"/>
        <v>19800</v>
      </c>
      <c r="Q21" s="32">
        <f>P21*'$_DATI_BASE'!$S$26</f>
        <v>19404</v>
      </c>
      <c r="R21" s="32">
        <f t="shared" si="4"/>
        <v>641.745</v>
      </c>
      <c r="S21" s="33">
        <f t="shared" si="1"/>
        <v>18762.255000000001</v>
      </c>
      <c r="T21" s="333">
        <f>S21*'$_DATI_BASE'!$T$26</f>
        <v>18574.632450000001</v>
      </c>
      <c r="U21" s="340">
        <f t="shared" si="2"/>
        <v>0.43415918589159247</v>
      </c>
      <c r="V21" s="31">
        <f t="shared" si="5"/>
        <v>1.151651321100569</v>
      </c>
      <c r="W21" s="708"/>
      <c r="X21" s="334">
        <f t="shared" si="0"/>
        <v>2</v>
      </c>
      <c r="AL21" s="326"/>
    </row>
    <row r="22" spans="1:38" ht="16.5" customHeight="1" thickBot="1" x14ac:dyDescent="0.4">
      <c r="A22" s="642"/>
      <c r="B22" s="642"/>
      <c r="C22" s="11" t="s">
        <v>136</v>
      </c>
      <c r="D22" s="686" t="str">
        <f>'$_DB_CICLI'!I45</f>
        <v>TRANCIATURA PIASTRE LATERALI</v>
      </c>
      <c r="E22" s="686"/>
      <c r="F22" s="686"/>
      <c r="G22" s="686"/>
      <c r="H22" s="686"/>
      <c r="I22" s="686"/>
      <c r="J22" s="29">
        <f>'$_DB_CICLI'!Q21</f>
        <v>29349</v>
      </c>
      <c r="K22" s="29">
        <f>'$_DB_CICLI'!Q45</f>
        <v>12578</v>
      </c>
      <c r="L22" s="188">
        <f>SUM(J22:K22)</f>
        <v>41927</v>
      </c>
      <c r="M22" s="182">
        <f>'$_DATI_BASE'!T57</f>
        <v>2000</v>
      </c>
      <c r="N22" s="183">
        <f>'$_DATI_BASE'!U57</f>
        <v>30</v>
      </c>
      <c r="O22" s="184">
        <f>'$_DATI_BASE'!V57</f>
        <v>0.8</v>
      </c>
      <c r="P22" s="192">
        <f t="shared" si="3"/>
        <v>19800</v>
      </c>
      <c r="Q22" s="32">
        <f>P22*'$_DATI_BASE'!$S$26</f>
        <v>19404</v>
      </c>
      <c r="R22" s="32">
        <f t="shared" si="4"/>
        <v>628.90499999999997</v>
      </c>
      <c r="S22" s="33">
        <f t="shared" si="1"/>
        <v>18775.095000000001</v>
      </c>
      <c r="T22" s="333">
        <f>S22*'$_DATI_BASE'!$T$26</f>
        <v>18587.34405</v>
      </c>
      <c r="U22" s="341">
        <f t="shared" si="2"/>
        <v>0.44332635413933741</v>
      </c>
      <c r="V22" s="202">
        <f t="shared" si="5"/>
        <v>1.8045396862388203</v>
      </c>
      <c r="W22" s="709"/>
      <c r="X22" s="334">
        <f t="shared" si="0"/>
        <v>2</v>
      </c>
      <c r="AL22" s="326"/>
    </row>
    <row r="23" spans="1:38" ht="18.600000000000001" thickBot="1" x14ac:dyDescent="0.4">
      <c r="A23" s="3"/>
      <c r="B23" s="3"/>
      <c r="D23" s="649"/>
      <c r="E23" s="649"/>
      <c r="F23" s="649"/>
      <c r="G23" s="649"/>
      <c r="H23" s="649"/>
      <c r="I23" s="649"/>
      <c r="J23" s="2"/>
      <c r="K23" s="2"/>
      <c r="N23" s="69"/>
      <c r="O23" s="69"/>
      <c r="AL23" s="326"/>
    </row>
    <row r="24" spans="1:38" ht="18" x14ac:dyDescent="0.35">
      <c r="B24" s="146"/>
      <c r="C24" s="137" t="s">
        <v>218</v>
      </c>
      <c r="D24" s="137"/>
      <c r="E24" s="286"/>
      <c r="G24" s="3"/>
      <c r="K24" s="2"/>
      <c r="Y24" s="65"/>
      <c r="AL24" s="326"/>
    </row>
    <row r="25" spans="1:38" ht="18" x14ac:dyDescent="0.35">
      <c r="B25" s="147"/>
      <c r="C25" t="s">
        <v>219</v>
      </c>
      <c r="E25" s="287"/>
      <c r="G25" s="3"/>
      <c r="K25" s="2"/>
      <c r="O25" s="1"/>
      <c r="AL25" s="326"/>
    </row>
    <row r="26" spans="1:38" ht="18" customHeight="1" x14ac:dyDescent="0.35">
      <c r="B26" s="148"/>
      <c r="C26" s="48" t="s">
        <v>220</v>
      </c>
      <c r="E26" s="139"/>
      <c r="G26" s="3"/>
      <c r="K26" s="2"/>
      <c r="N26" s="300" t="s">
        <v>221</v>
      </c>
      <c r="O26" s="300"/>
      <c r="P26" s="300"/>
      <c r="Q26" s="300"/>
      <c r="R26" s="300"/>
      <c r="S26" s="300"/>
      <c r="T26" s="300"/>
      <c r="U26" s="300"/>
      <c r="V26" s="300"/>
      <c r="Z26" s="326"/>
      <c r="AL26" s="326"/>
    </row>
    <row r="27" spans="1:38" ht="18" customHeight="1" thickBot="1" x14ac:dyDescent="0.35">
      <c r="B27" s="140"/>
      <c r="C27" s="691" t="s">
        <v>222</v>
      </c>
      <c r="D27" s="691"/>
      <c r="E27" s="692"/>
      <c r="G27" s="3"/>
      <c r="K27" s="2"/>
      <c r="N27" s="300"/>
      <c r="O27" s="300"/>
      <c r="P27" s="300"/>
      <c r="Q27" s="300"/>
      <c r="R27" s="300"/>
      <c r="S27" s="300"/>
      <c r="T27" s="300"/>
      <c r="U27" s="300"/>
      <c r="V27" s="300"/>
    </row>
    <row r="28" spans="1:38" ht="14.4" customHeight="1" x14ac:dyDescent="0.3">
      <c r="K28" s="2"/>
      <c r="N28" s="300"/>
      <c r="O28" s="300"/>
      <c r="P28" s="300"/>
      <c r="Q28" s="300"/>
      <c r="R28" s="300"/>
      <c r="S28" s="300"/>
      <c r="T28" s="300"/>
      <c r="U28" s="300"/>
      <c r="V28" s="300"/>
    </row>
    <row r="29" spans="1:38" ht="16.95" customHeight="1" thickBot="1" x14ac:dyDescent="0.35">
      <c r="N29" s="300"/>
      <c r="O29" s="300"/>
      <c r="P29" s="300"/>
      <c r="Q29" s="300"/>
      <c r="R29" s="300"/>
      <c r="S29" s="300"/>
      <c r="T29" s="300"/>
      <c r="U29" s="300"/>
      <c r="V29" s="300"/>
    </row>
    <row r="30" spans="1:38" ht="14.4" customHeight="1" x14ac:dyDescent="0.3">
      <c r="A30" s="718" t="s">
        <v>252</v>
      </c>
      <c r="B30" s="719"/>
      <c r="C30" s="417" t="s">
        <v>83</v>
      </c>
      <c r="D30" s="714" t="s">
        <v>253</v>
      </c>
      <c r="E30" s="715"/>
      <c r="F30" s="715"/>
      <c r="G30" s="715"/>
      <c r="H30" s="715"/>
      <c r="I30" s="716"/>
      <c r="J30" s="418">
        <v>17955</v>
      </c>
      <c r="K30" s="419"/>
      <c r="L30" s="418">
        <v>17955</v>
      </c>
      <c r="M30" s="420">
        <v>500</v>
      </c>
      <c r="N30" s="420">
        <v>120</v>
      </c>
      <c r="O30" s="420">
        <v>1.8</v>
      </c>
      <c r="P30" s="421">
        <v>19800</v>
      </c>
      <c r="Q30" s="421">
        <v>19206</v>
      </c>
      <c r="R30" s="421">
        <v>4309</v>
      </c>
      <c r="S30" s="421">
        <v>14897</v>
      </c>
      <c r="T30" s="438">
        <v>14748</v>
      </c>
      <c r="U30" s="442">
        <v>0.82</v>
      </c>
      <c r="V30" s="443">
        <v>2.19</v>
      </c>
      <c r="W30" s="730">
        <v>3.13</v>
      </c>
      <c r="X30" s="437">
        <v>3</v>
      </c>
    </row>
    <row r="31" spans="1:38" ht="14.4" customHeight="1" x14ac:dyDescent="0.3">
      <c r="A31" s="720" t="s">
        <v>254</v>
      </c>
      <c r="B31" s="721"/>
      <c r="C31" s="417" t="s">
        <v>89</v>
      </c>
      <c r="D31" s="714" t="s">
        <v>255</v>
      </c>
      <c r="E31" s="715"/>
      <c r="F31" s="715"/>
      <c r="G31" s="715"/>
      <c r="H31" s="715"/>
      <c r="I31" s="716"/>
      <c r="J31" s="419"/>
      <c r="K31" s="418">
        <v>7695</v>
      </c>
      <c r="L31" s="418">
        <v>7695</v>
      </c>
      <c r="M31" s="420">
        <v>215</v>
      </c>
      <c r="N31" s="420">
        <v>120</v>
      </c>
      <c r="O31" s="420">
        <v>1.8</v>
      </c>
      <c r="P31" s="421">
        <v>19800</v>
      </c>
      <c r="Q31" s="421">
        <v>19206</v>
      </c>
      <c r="R31" s="421">
        <v>4295</v>
      </c>
      <c r="S31" s="421">
        <v>14911</v>
      </c>
      <c r="T31" s="438">
        <v>14762</v>
      </c>
      <c r="U31" s="444">
        <v>1.92</v>
      </c>
      <c r="V31" s="420">
        <v>0.94</v>
      </c>
      <c r="W31" s="731"/>
      <c r="X31" s="437">
        <v>1</v>
      </c>
    </row>
    <row r="32" spans="1:38" ht="14.4" customHeight="1" x14ac:dyDescent="0.3">
      <c r="A32" s="717"/>
      <c r="B32" s="717"/>
      <c r="C32" s="717"/>
      <c r="D32" s="717"/>
      <c r="E32" s="717"/>
      <c r="F32" s="717"/>
      <c r="G32" s="717"/>
      <c r="H32" s="717"/>
      <c r="I32" s="717"/>
      <c r="J32" s="717"/>
      <c r="K32" s="717"/>
      <c r="L32" s="717"/>
      <c r="M32" s="404"/>
      <c r="N32" s="404"/>
      <c r="O32" s="404"/>
      <c r="P32" s="422"/>
      <c r="Q32" s="403"/>
      <c r="R32" s="403"/>
      <c r="S32" s="402"/>
      <c r="T32" s="403"/>
      <c r="U32" s="445"/>
      <c r="V32" s="404"/>
      <c r="W32" s="405"/>
      <c r="X32" s="403"/>
    </row>
    <row r="33" spans="1:55" ht="14.4" customHeight="1" x14ac:dyDescent="0.3">
      <c r="A33" s="718" t="s">
        <v>92</v>
      </c>
      <c r="B33" s="719"/>
      <c r="C33" s="417" t="s">
        <v>94</v>
      </c>
      <c r="D33" s="714" t="s">
        <v>256</v>
      </c>
      <c r="E33" s="715"/>
      <c r="F33" s="715"/>
      <c r="G33" s="715"/>
      <c r="H33" s="715"/>
      <c r="I33" s="716"/>
      <c r="J33" s="423">
        <v>17955</v>
      </c>
      <c r="K33" s="424"/>
      <c r="L33" s="423">
        <v>17955</v>
      </c>
      <c r="M33" s="425">
        <v>500</v>
      </c>
      <c r="N33" s="425">
        <v>60</v>
      </c>
      <c r="O33" s="425">
        <v>8</v>
      </c>
      <c r="P33" s="426">
        <v>19800</v>
      </c>
      <c r="Q33" s="426">
        <v>19404</v>
      </c>
      <c r="R33" s="426">
        <v>2155</v>
      </c>
      <c r="S33" s="426">
        <v>17249</v>
      </c>
      <c r="T33" s="439">
        <v>16732</v>
      </c>
      <c r="U33" s="446">
        <v>0.93</v>
      </c>
      <c r="V33" s="425">
        <v>8.58</v>
      </c>
      <c r="W33" s="732">
        <v>12.26</v>
      </c>
      <c r="X33" s="437">
        <v>9</v>
      </c>
    </row>
    <row r="34" spans="1:55" ht="15" customHeight="1" x14ac:dyDescent="0.3">
      <c r="A34" s="720"/>
      <c r="B34" s="721"/>
      <c r="C34" s="417" t="s">
        <v>100</v>
      </c>
      <c r="D34" s="714" t="s">
        <v>257</v>
      </c>
      <c r="E34" s="715"/>
      <c r="F34" s="715"/>
      <c r="G34" s="715"/>
      <c r="H34" s="715"/>
      <c r="I34" s="716"/>
      <c r="J34" s="424"/>
      <c r="K34" s="423">
        <v>7695</v>
      </c>
      <c r="L34" s="423">
        <v>7695</v>
      </c>
      <c r="M34" s="425">
        <v>215</v>
      </c>
      <c r="N34" s="425">
        <v>60</v>
      </c>
      <c r="O34" s="425">
        <v>8</v>
      </c>
      <c r="P34" s="426">
        <v>19800</v>
      </c>
      <c r="Q34" s="426">
        <v>19404</v>
      </c>
      <c r="R34" s="426">
        <v>2147</v>
      </c>
      <c r="S34" s="426">
        <v>17257</v>
      </c>
      <c r="T34" s="439">
        <v>16739</v>
      </c>
      <c r="U34" s="446">
        <v>2.1800000000000002</v>
      </c>
      <c r="V34" s="425">
        <v>3.68</v>
      </c>
      <c r="W34" s="733"/>
      <c r="X34" s="437">
        <v>4</v>
      </c>
    </row>
    <row r="35" spans="1:55" ht="14.4" customHeight="1" x14ac:dyDescent="0.3">
      <c r="A35" s="717"/>
      <c r="B35" s="717"/>
      <c r="C35" s="717"/>
      <c r="D35" s="717"/>
      <c r="E35" s="717"/>
      <c r="F35" s="717"/>
      <c r="G35" s="717"/>
      <c r="H35" s="717"/>
      <c r="I35" s="717"/>
      <c r="J35" s="717"/>
      <c r="K35" s="717"/>
      <c r="L35" s="717"/>
      <c r="M35" s="717"/>
      <c r="N35" s="717"/>
      <c r="O35" s="725"/>
      <c r="P35" s="422"/>
      <c r="Q35" s="403"/>
      <c r="R35" s="403"/>
      <c r="S35" s="402"/>
      <c r="T35" s="403"/>
      <c r="U35" s="445"/>
      <c r="V35" s="404"/>
      <c r="W35" s="405"/>
      <c r="X35" s="403"/>
    </row>
    <row r="36" spans="1:55" ht="15.6" customHeight="1" x14ac:dyDescent="0.3">
      <c r="A36" s="726" t="s">
        <v>258</v>
      </c>
      <c r="B36" s="727"/>
      <c r="C36" s="417" t="s">
        <v>105</v>
      </c>
      <c r="D36" s="714" t="s">
        <v>183</v>
      </c>
      <c r="E36" s="715"/>
      <c r="F36" s="715"/>
      <c r="G36" s="715"/>
      <c r="H36" s="715"/>
      <c r="I36" s="716"/>
      <c r="J36" s="427">
        <v>18511</v>
      </c>
      <c r="K36" s="428"/>
      <c r="L36" s="427">
        <v>18511</v>
      </c>
      <c r="M36" s="429">
        <v>500</v>
      </c>
      <c r="N36" s="429">
        <v>30</v>
      </c>
      <c r="O36" s="429">
        <v>1</v>
      </c>
      <c r="P36" s="430">
        <v>19800</v>
      </c>
      <c r="Q36" s="430">
        <v>19404</v>
      </c>
      <c r="R36" s="430">
        <v>1111</v>
      </c>
      <c r="S36" s="430">
        <v>18293</v>
      </c>
      <c r="T36" s="440">
        <v>18110</v>
      </c>
      <c r="U36" s="447">
        <v>0.98</v>
      </c>
      <c r="V36" s="429">
        <v>1.02</v>
      </c>
      <c r="W36" s="735">
        <v>3.9</v>
      </c>
      <c r="X36" s="437">
        <v>2</v>
      </c>
    </row>
    <row r="37" spans="1:55" ht="15.6" customHeight="1" x14ac:dyDescent="0.3">
      <c r="A37" s="728" t="s">
        <v>259</v>
      </c>
      <c r="B37" s="729"/>
      <c r="C37" s="417" t="s">
        <v>110</v>
      </c>
      <c r="D37" s="714" t="s">
        <v>109</v>
      </c>
      <c r="E37" s="715"/>
      <c r="F37" s="715"/>
      <c r="G37" s="715"/>
      <c r="H37" s="715"/>
      <c r="I37" s="716"/>
      <c r="J37" s="431">
        <v>18889</v>
      </c>
      <c r="K37" s="432"/>
      <c r="L37" s="431">
        <v>18889</v>
      </c>
      <c r="M37" s="433">
        <v>500</v>
      </c>
      <c r="N37" s="433">
        <v>30</v>
      </c>
      <c r="O37" s="433">
        <v>1</v>
      </c>
      <c r="P37" s="434">
        <v>19800</v>
      </c>
      <c r="Q37" s="434">
        <v>19404</v>
      </c>
      <c r="R37" s="434">
        <v>1133</v>
      </c>
      <c r="S37" s="434">
        <v>18271</v>
      </c>
      <c r="T37" s="441">
        <v>18088</v>
      </c>
      <c r="U37" s="448">
        <v>0.96</v>
      </c>
      <c r="V37" s="433">
        <v>1.04</v>
      </c>
      <c r="W37" s="736"/>
      <c r="X37" s="437">
        <v>2</v>
      </c>
    </row>
    <row r="38" spans="1:55" ht="15.6" customHeight="1" x14ac:dyDescent="0.3">
      <c r="A38" s="728" t="s">
        <v>260</v>
      </c>
      <c r="B38" s="729"/>
      <c r="C38" s="417" t="s">
        <v>114</v>
      </c>
      <c r="D38" s="714" t="s">
        <v>190</v>
      </c>
      <c r="E38" s="715"/>
      <c r="F38" s="715"/>
      <c r="G38" s="715"/>
      <c r="H38" s="715"/>
      <c r="I38" s="716"/>
      <c r="J38" s="428"/>
      <c r="K38" s="427">
        <v>7933</v>
      </c>
      <c r="L38" s="427">
        <v>7933</v>
      </c>
      <c r="M38" s="429">
        <v>215</v>
      </c>
      <c r="N38" s="429">
        <v>30</v>
      </c>
      <c r="O38" s="429">
        <v>1.2</v>
      </c>
      <c r="P38" s="430">
        <v>19800</v>
      </c>
      <c r="Q38" s="430">
        <v>19404</v>
      </c>
      <c r="R38" s="430">
        <v>1107</v>
      </c>
      <c r="S38" s="430">
        <v>18297</v>
      </c>
      <c r="T38" s="440">
        <v>18114</v>
      </c>
      <c r="U38" s="447">
        <v>2.2799999999999998</v>
      </c>
      <c r="V38" s="429">
        <v>0.53</v>
      </c>
      <c r="W38" s="736"/>
      <c r="X38" s="437">
        <v>1</v>
      </c>
      <c r="AU38" s="690"/>
      <c r="AV38" s="690"/>
      <c r="AW38" s="690"/>
    </row>
    <row r="39" spans="1:55" ht="15.6" customHeight="1" x14ac:dyDescent="0.3">
      <c r="A39" s="728" t="s">
        <v>47</v>
      </c>
      <c r="B39" s="729"/>
      <c r="C39" s="417" t="s">
        <v>119</v>
      </c>
      <c r="D39" s="714" t="s">
        <v>118</v>
      </c>
      <c r="E39" s="715"/>
      <c r="F39" s="715"/>
      <c r="G39" s="715"/>
      <c r="H39" s="715"/>
      <c r="I39" s="716"/>
      <c r="J39" s="432"/>
      <c r="K39" s="431">
        <v>8095</v>
      </c>
      <c r="L39" s="431">
        <v>8095</v>
      </c>
      <c r="M39" s="433">
        <v>215</v>
      </c>
      <c r="N39" s="433">
        <v>30</v>
      </c>
      <c r="O39" s="433">
        <v>1.2</v>
      </c>
      <c r="P39" s="434">
        <v>19800</v>
      </c>
      <c r="Q39" s="434">
        <v>19404</v>
      </c>
      <c r="R39" s="434">
        <v>1130</v>
      </c>
      <c r="S39" s="434">
        <v>18274</v>
      </c>
      <c r="T39" s="441">
        <v>18092</v>
      </c>
      <c r="U39" s="448">
        <v>2.23</v>
      </c>
      <c r="V39" s="433">
        <v>0.54</v>
      </c>
      <c r="W39" s="737"/>
      <c r="X39" s="437">
        <v>1</v>
      </c>
      <c r="AU39" s="1"/>
    </row>
    <row r="40" spans="1:55" ht="14.4" customHeight="1" x14ac:dyDescent="0.3">
      <c r="A40" s="728"/>
      <c r="B40" s="729"/>
      <c r="C40" s="417" t="s">
        <v>124</v>
      </c>
      <c r="D40" s="714" t="s">
        <v>184</v>
      </c>
      <c r="E40" s="715"/>
      <c r="F40" s="715"/>
      <c r="G40" s="715"/>
      <c r="H40" s="715"/>
      <c r="I40" s="716"/>
      <c r="J40" s="427">
        <v>55531</v>
      </c>
      <c r="K40" s="427">
        <v>1587</v>
      </c>
      <c r="L40" s="427">
        <v>57118</v>
      </c>
      <c r="M40" s="429">
        <v>3000</v>
      </c>
      <c r="N40" s="429">
        <v>30</v>
      </c>
      <c r="O40" s="429">
        <v>0.3</v>
      </c>
      <c r="P40" s="430">
        <v>19800</v>
      </c>
      <c r="Q40" s="430">
        <v>19404</v>
      </c>
      <c r="R40" s="435">
        <v>571</v>
      </c>
      <c r="S40" s="430">
        <v>18833</v>
      </c>
      <c r="T40" s="440">
        <v>18644</v>
      </c>
      <c r="U40" s="447">
        <v>0.33</v>
      </c>
      <c r="V40" s="429">
        <v>0.92</v>
      </c>
      <c r="W40" s="738">
        <v>3.99</v>
      </c>
      <c r="X40" s="437">
        <v>1</v>
      </c>
    </row>
    <row r="41" spans="1:55" ht="15" customHeight="1" x14ac:dyDescent="0.3">
      <c r="A41" s="728"/>
      <c r="B41" s="729"/>
      <c r="C41" s="417" t="s">
        <v>126</v>
      </c>
      <c r="D41" s="714" t="s">
        <v>125</v>
      </c>
      <c r="E41" s="715"/>
      <c r="F41" s="715"/>
      <c r="G41" s="715"/>
      <c r="H41" s="715"/>
      <c r="I41" s="716"/>
      <c r="J41" s="431">
        <v>56665</v>
      </c>
      <c r="K41" s="431">
        <v>1620</v>
      </c>
      <c r="L41" s="431">
        <v>58285</v>
      </c>
      <c r="M41" s="433">
        <v>3000</v>
      </c>
      <c r="N41" s="433">
        <v>30</v>
      </c>
      <c r="O41" s="433">
        <v>0.3</v>
      </c>
      <c r="P41" s="434">
        <v>19800</v>
      </c>
      <c r="Q41" s="434">
        <v>19404</v>
      </c>
      <c r="R41" s="436">
        <v>583</v>
      </c>
      <c r="S41" s="434">
        <v>18821</v>
      </c>
      <c r="T41" s="441">
        <v>18633</v>
      </c>
      <c r="U41" s="448">
        <v>0.32</v>
      </c>
      <c r="V41" s="433">
        <v>0.94</v>
      </c>
      <c r="W41" s="739"/>
      <c r="X41" s="437">
        <v>1</v>
      </c>
    </row>
    <row r="42" spans="1:55" ht="15" customHeight="1" x14ac:dyDescent="0.3">
      <c r="A42" s="728"/>
      <c r="B42" s="729"/>
      <c r="C42" s="417" t="s">
        <v>128</v>
      </c>
      <c r="D42" s="714" t="s">
        <v>185</v>
      </c>
      <c r="E42" s="715"/>
      <c r="F42" s="715"/>
      <c r="G42" s="715"/>
      <c r="H42" s="715"/>
      <c r="I42" s="716"/>
      <c r="J42" s="427">
        <v>37021</v>
      </c>
      <c r="K42" s="427">
        <v>15866</v>
      </c>
      <c r="L42" s="427">
        <v>52887</v>
      </c>
      <c r="M42" s="429">
        <v>2000</v>
      </c>
      <c r="N42" s="429">
        <v>30</v>
      </c>
      <c r="O42" s="429">
        <v>0.5</v>
      </c>
      <c r="P42" s="430">
        <v>19800</v>
      </c>
      <c r="Q42" s="430">
        <v>19404</v>
      </c>
      <c r="R42" s="435">
        <v>793</v>
      </c>
      <c r="S42" s="430">
        <v>18611</v>
      </c>
      <c r="T42" s="440">
        <v>18425</v>
      </c>
      <c r="U42" s="447">
        <v>0.35</v>
      </c>
      <c r="V42" s="429">
        <v>1.44</v>
      </c>
      <c r="W42" s="739"/>
      <c r="X42" s="437">
        <v>2</v>
      </c>
      <c r="AQ42" s="364"/>
      <c r="BC42" s="364"/>
    </row>
    <row r="43" spans="1:55" ht="14.4" customHeight="1" thickBot="1" x14ac:dyDescent="0.35">
      <c r="A43" s="728"/>
      <c r="B43" s="729"/>
      <c r="C43" s="417" t="s">
        <v>132</v>
      </c>
      <c r="D43" s="714" t="s">
        <v>186</v>
      </c>
      <c r="E43" s="715"/>
      <c r="F43" s="715"/>
      <c r="G43" s="715"/>
      <c r="H43" s="715"/>
      <c r="I43" s="716"/>
      <c r="J43" s="431">
        <v>37777</v>
      </c>
      <c r="K43" s="431">
        <v>16190</v>
      </c>
      <c r="L43" s="431">
        <v>53967</v>
      </c>
      <c r="M43" s="433">
        <v>2000</v>
      </c>
      <c r="N43" s="433">
        <v>30</v>
      </c>
      <c r="O43" s="433">
        <v>0.5</v>
      </c>
      <c r="P43" s="434">
        <v>19800</v>
      </c>
      <c r="Q43" s="434">
        <v>19404</v>
      </c>
      <c r="R43" s="436">
        <v>810</v>
      </c>
      <c r="S43" s="434">
        <v>18594</v>
      </c>
      <c r="T43" s="441">
        <v>18409</v>
      </c>
      <c r="U43" s="449">
        <v>0.34</v>
      </c>
      <c r="V43" s="450">
        <v>1.47</v>
      </c>
      <c r="W43" s="740"/>
      <c r="X43" s="437">
        <v>2</v>
      </c>
      <c r="AQ43" s="364"/>
      <c r="BC43" s="364"/>
    </row>
    <row r="44" spans="1:55" ht="14.4" customHeight="1" x14ac:dyDescent="0.3">
      <c r="AT44" s="364"/>
      <c r="BC44" s="364"/>
    </row>
    <row r="45" spans="1:55" ht="14.4" customHeight="1" thickBot="1" x14ac:dyDescent="0.35">
      <c r="AT45" s="364"/>
      <c r="BC45" s="364"/>
    </row>
    <row r="46" spans="1:55" ht="15" customHeight="1" x14ac:dyDescent="0.3">
      <c r="A46" s="660" t="s">
        <v>261</v>
      </c>
      <c r="B46" s="661"/>
      <c r="C46" s="661"/>
      <c r="D46" s="661"/>
      <c r="E46" s="661"/>
      <c r="F46" s="661"/>
      <c r="G46" s="661"/>
      <c r="H46" s="661"/>
      <c r="I46" s="661"/>
      <c r="J46" s="661"/>
      <c r="K46" s="661"/>
      <c r="L46" s="662"/>
      <c r="M46" s="375"/>
      <c r="N46" s="376"/>
      <c r="O46" s="376"/>
      <c r="P46" s="376"/>
      <c r="Q46" s="376"/>
      <c r="R46" s="376"/>
      <c r="S46" s="376"/>
      <c r="T46" s="376"/>
      <c r="U46" s="376"/>
      <c r="V46" s="376"/>
      <c r="W46" s="376"/>
      <c r="X46" s="376"/>
      <c r="Y46" s="376"/>
      <c r="Z46" s="376"/>
      <c r="AA46" s="376"/>
      <c r="AB46" s="376"/>
      <c r="AC46" s="376"/>
      <c r="AD46" s="376"/>
      <c r="AE46" s="376"/>
      <c r="AF46" s="376"/>
      <c r="AG46" s="376"/>
      <c r="AH46" s="376"/>
      <c r="AI46" s="376"/>
      <c r="AJ46" s="376"/>
      <c r="AK46" s="376"/>
      <c r="AL46" s="376"/>
      <c r="AM46" s="376"/>
      <c r="AN46" s="376"/>
      <c r="AO46" s="376"/>
      <c r="AP46" s="377"/>
      <c r="AQ46" s="364"/>
      <c r="AT46" s="364"/>
      <c r="BC46" s="364"/>
    </row>
    <row r="47" spans="1:55" ht="14.4" customHeight="1" x14ac:dyDescent="0.3">
      <c r="A47" s="663"/>
      <c r="B47" s="664"/>
      <c r="C47" s="664"/>
      <c r="D47" s="664"/>
      <c r="E47" s="664"/>
      <c r="F47" s="664"/>
      <c r="G47" s="664"/>
      <c r="H47" s="664"/>
      <c r="I47" s="664"/>
      <c r="J47" s="664"/>
      <c r="K47" s="664"/>
      <c r="L47" s="665"/>
      <c r="M47" s="378"/>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79"/>
    </row>
    <row r="48" spans="1:55" ht="14.4" customHeight="1" thickBot="1" x14ac:dyDescent="0.35">
      <c r="A48" s="666"/>
      <c r="B48" s="667"/>
      <c r="C48" s="667"/>
      <c r="D48" s="667"/>
      <c r="E48" s="667"/>
      <c r="F48" s="667"/>
      <c r="G48" s="667"/>
      <c r="H48" s="667"/>
      <c r="I48" s="667"/>
      <c r="J48" s="667"/>
      <c r="K48" s="667"/>
      <c r="L48" s="668"/>
      <c r="M48" s="380"/>
      <c r="N48" s="381"/>
      <c r="O48" s="381"/>
      <c r="P48" s="381"/>
      <c r="Q48" s="381"/>
      <c r="R48" s="381"/>
      <c r="S48" s="381"/>
      <c r="T48" s="381"/>
      <c r="U48" s="381"/>
      <c r="V48" s="381"/>
      <c r="W48" s="381"/>
      <c r="X48" s="381"/>
      <c r="Y48" s="381"/>
      <c r="Z48" s="381"/>
      <c r="AA48" s="381"/>
      <c r="AB48" s="381"/>
      <c r="AC48" s="381"/>
      <c r="AD48" s="381"/>
      <c r="AE48" s="381"/>
      <c r="AF48" s="381"/>
      <c r="AG48" s="381"/>
      <c r="AH48" s="381"/>
      <c r="AI48" s="381"/>
      <c r="AJ48" s="381"/>
      <c r="AK48" s="381"/>
      <c r="AL48" s="381"/>
      <c r="AM48" s="381"/>
      <c r="AN48" s="381"/>
      <c r="AO48" s="381"/>
      <c r="AP48" s="382"/>
    </row>
    <row r="49" spans="2:55" ht="15" customHeight="1" x14ac:dyDescent="0.3">
      <c r="N49" s="300"/>
      <c r="O49" s="300"/>
      <c r="P49" s="300"/>
      <c r="Q49" s="300"/>
      <c r="R49" s="300"/>
      <c r="S49" s="300"/>
      <c r="T49" s="300"/>
      <c r="U49" s="300"/>
      <c r="V49" s="300"/>
    </row>
    <row r="50" spans="2:55" ht="14.4" customHeight="1" thickBot="1" x14ac:dyDescent="0.35">
      <c r="N50" s="300"/>
      <c r="O50" s="300"/>
      <c r="P50" s="300"/>
      <c r="Q50" s="300"/>
      <c r="R50" s="300"/>
      <c r="S50" s="300"/>
      <c r="T50" s="300"/>
      <c r="U50" s="300"/>
      <c r="V50" s="300"/>
    </row>
    <row r="51" spans="2:55" ht="14.4" customHeight="1" x14ac:dyDescent="0.3">
      <c r="B51" s="327" t="s">
        <v>223</v>
      </c>
      <c r="C51" s="372" t="s">
        <v>224</v>
      </c>
      <c r="D51" s="373"/>
      <c r="E51" s="373"/>
      <c r="F51" s="374"/>
      <c r="G51" s="328" t="s">
        <v>225</v>
      </c>
      <c r="H51" s="328" t="s">
        <v>226</v>
      </c>
      <c r="I51" s="328" t="s">
        <v>227</v>
      </c>
      <c r="J51" s="329" t="s">
        <v>228</v>
      </c>
      <c r="N51" s="300"/>
      <c r="O51" s="300"/>
      <c r="P51" s="300"/>
      <c r="Q51" s="300"/>
      <c r="R51" s="300"/>
      <c r="S51" s="300"/>
      <c r="T51" s="300"/>
      <c r="U51" s="300"/>
      <c r="V51" s="300"/>
      <c r="AQ51" s="364"/>
      <c r="BC51" s="364"/>
    </row>
    <row r="52" spans="2:55" ht="15" customHeight="1" x14ac:dyDescent="0.3">
      <c r="B52" s="366" t="s">
        <v>42</v>
      </c>
      <c r="C52" s="383" t="s">
        <v>43</v>
      </c>
      <c r="D52" s="384"/>
      <c r="E52" s="384"/>
      <c r="F52" s="385"/>
      <c r="G52" s="367">
        <v>0.98</v>
      </c>
      <c r="H52" s="367">
        <v>0.97</v>
      </c>
      <c r="I52" s="367">
        <v>0.97</v>
      </c>
      <c r="J52" s="368">
        <f>G52*H52</f>
        <v>0.9506</v>
      </c>
      <c r="N52" s="300"/>
      <c r="O52" s="300"/>
      <c r="P52" s="300"/>
      <c r="Q52" s="300"/>
      <c r="R52" s="300"/>
      <c r="S52" s="300"/>
      <c r="T52" s="300"/>
      <c r="U52" s="300"/>
      <c r="V52" s="300"/>
      <c r="AT52" s="364"/>
      <c r="BC52" s="364"/>
    </row>
    <row r="53" spans="2:55" ht="15" customHeight="1" thickBot="1" x14ac:dyDescent="0.35">
      <c r="B53" s="369"/>
      <c r="C53" s="386"/>
      <c r="D53" s="387"/>
      <c r="E53" s="387"/>
      <c r="F53" s="388"/>
      <c r="G53" s="370"/>
      <c r="H53" s="370"/>
      <c r="I53" s="370"/>
      <c r="J53" s="371"/>
      <c r="N53" s="300"/>
      <c r="O53" s="300"/>
      <c r="P53" s="300"/>
      <c r="Q53" s="300"/>
      <c r="R53" s="300"/>
      <c r="S53" s="300"/>
      <c r="T53" s="300"/>
      <c r="U53" s="300"/>
      <c r="V53" s="300"/>
      <c r="AQ53" s="364"/>
      <c r="AT53" s="364"/>
      <c r="BC53" s="364"/>
    </row>
    <row r="54" spans="2:55" ht="15" customHeight="1" x14ac:dyDescent="0.3">
      <c r="N54" s="300"/>
      <c r="O54" s="300"/>
      <c r="P54" s="300"/>
      <c r="Q54" s="300"/>
      <c r="R54" s="300"/>
      <c r="S54" s="300"/>
      <c r="T54" s="300"/>
      <c r="U54" s="300"/>
      <c r="V54" s="300"/>
    </row>
    <row r="55" spans="2:55" ht="14.4" customHeight="1" thickBot="1" x14ac:dyDescent="0.35">
      <c r="U55" s="300"/>
      <c r="V55" s="300"/>
    </row>
    <row r="56" spans="2:55" ht="14.4" customHeight="1" thickBot="1" x14ac:dyDescent="0.35">
      <c r="C56" s="144"/>
      <c r="D56" s="678" t="s">
        <v>229</v>
      </c>
      <c r="E56" s="679"/>
      <c r="F56" s="679"/>
      <c r="G56" s="679"/>
      <c r="H56" s="680"/>
      <c r="I56" s="142"/>
      <c r="U56" s="300"/>
      <c r="V56" s="300"/>
    </row>
    <row r="57" spans="2:55" ht="14.4" customHeight="1" x14ac:dyDescent="0.3">
      <c r="C57" s="138"/>
      <c r="I57" s="139"/>
      <c r="U57" s="300"/>
      <c r="V57" s="300"/>
      <c r="AQ57" s="364"/>
      <c r="BC57" s="364"/>
    </row>
    <row r="58" spans="2:55" ht="14.4" customHeight="1" x14ac:dyDescent="0.3">
      <c r="C58" s="147" t="s">
        <v>230</v>
      </c>
      <c r="I58" s="139"/>
      <c r="U58" s="300"/>
      <c r="V58" s="300"/>
      <c r="AQ58" s="364"/>
      <c r="BC58" s="364"/>
    </row>
    <row r="59" spans="2:55" ht="14.4" customHeight="1" x14ac:dyDescent="0.3">
      <c r="C59" s="138"/>
      <c r="I59" s="139"/>
      <c r="U59" s="300"/>
      <c r="V59" s="300"/>
      <c r="AT59" s="364"/>
      <c r="BC59" s="364"/>
    </row>
    <row r="60" spans="2:55" ht="14.4" customHeight="1" x14ac:dyDescent="0.3">
      <c r="C60" s="27" t="s">
        <v>262</v>
      </c>
      <c r="D60" s="393" t="s">
        <v>231</v>
      </c>
      <c r="E60" s="11" t="s">
        <v>232</v>
      </c>
      <c r="F60" s="11" t="s">
        <v>233</v>
      </c>
      <c r="G60" s="11" t="s">
        <v>235</v>
      </c>
      <c r="H60" s="11" t="s">
        <v>13</v>
      </c>
      <c r="I60" s="214" t="s">
        <v>236</v>
      </c>
      <c r="N60" s="402"/>
      <c r="O60" s="402"/>
      <c r="P60" s="402"/>
      <c r="Q60" s="402"/>
      <c r="AW60" s="364"/>
      <c r="BC60" s="364"/>
    </row>
    <row r="61" spans="2:55" ht="15" customHeight="1" x14ac:dyDescent="0.3">
      <c r="C61" s="395" t="s">
        <v>263</v>
      </c>
      <c r="D61" s="394" t="s">
        <v>264</v>
      </c>
      <c r="E61" s="320">
        <f>L10</f>
        <v>14234</v>
      </c>
      <c r="F61" s="321">
        <f>U10</f>
        <v>1.2059183925811436</v>
      </c>
      <c r="G61" s="321">
        <f>O10</f>
        <v>8</v>
      </c>
      <c r="H61" s="321">
        <f>V10</f>
        <v>6.6339480757705562</v>
      </c>
      <c r="I61" s="323">
        <f>((G61*E61)*I52)/(H61*P10)</f>
        <v>0.84091369333333332</v>
      </c>
      <c r="N61" s="402"/>
      <c r="O61" s="402"/>
      <c r="P61" s="402"/>
      <c r="Q61" s="402"/>
      <c r="AQ61" s="364"/>
      <c r="AT61" s="364"/>
      <c r="AW61" s="364"/>
      <c r="BC61" s="364"/>
    </row>
    <row r="62" spans="2:55" ht="14.4" customHeight="1" x14ac:dyDescent="0.3">
      <c r="C62" s="395" t="s">
        <v>263</v>
      </c>
      <c r="D62" s="394" t="s">
        <v>265</v>
      </c>
      <c r="E62" s="320">
        <f>L11</f>
        <v>6100</v>
      </c>
      <c r="F62" s="321">
        <f>U11</f>
        <v>2.814856423942051</v>
      </c>
      <c r="G62" s="321">
        <f>O11</f>
        <v>8</v>
      </c>
      <c r="H62" s="398">
        <f>V11</f>
        <v>2.8420632512390958</v>
      </c>
      <c r="I62" s="397">
        <f>((G62*E62)*I52)/(H62*P10)</f>
        <v>0.84118714446793519</v>
      </c>
      <c r="N62" s="578"/>
      <c r="O62" s="578"/>
      <c r="P62" s="578"/>
      <c r="Q62" s="578"/>
      <c r="AQ62" s="364"/>
    </row>
    <row r="63" spans="2:55" ht="14.4" customHeight="1" x14ac:dyDescent="0.3">
      <c r="C63" s="138"/>
      <c r="H63" s="257">
        <f>SUM(H61:H62)</f>
        <v>9.4760113270096511</v>
      </c>
      <c r="I63" s="399">
        <f>(SUM((G61*E61),(G62*E62))*I52)/(H63*P10)</f>
        <v>0.84099570731514928</v>
      </c>
      <c r="N63" s="578"/>
      <c r="O63" s="578"/>
      <c r="P63" s="578"/>
      <c r="Q63" s="578"/>
      <c r="R63" s="300"/>
      <c r="S63" s="300"/>
      <c r="T63" s="300"/>
      <c r="U63" s="300"/>
      <c r="V63" s="300"/>
    </row>
    <row r="64" spans="2:55" ht="14.4" customHeight="1" x14ac:dyDescent="0.3">
      <c r="C64" s="138"/>
      <c r="I64" s="139"/>
      <c r="N64" s="579"/>
      <c r="O64" s="579"/>
      <c r="P64" s="579"/>
      <c r="Q64" s="579"/>
    </row>
    <row r="65" spans="1:55" ht="14.4" customHeight="1" x14ac:dyDescent="0.3">
      <c r="C65" s="395" t="s">
        <v>266</v>
      </c>
      <c r="D65" s="394" t="s">
        <v>267</v>
      </c>
      <c r="E65" s="320">
        <v>17955</v>
      </c>
      <c r="F65" s="321"/>
      <c r="G65" s="322">
        <v>8</v>
      </c>
      <c r="H65" s="322">
        <v>8.58</v>
      </c>
      <c r="I65" s="323">
        <f>((G65*E65)*I52)/(H65*P10)</f>
        <v>0.82015257469802916</v>
      </c>
      <c r="N65" s="579"/>
      <c r="O65" s="579"/>
      <c r="P65" s="579"/>
      <c r="Q65" s="579"/>
    </row>
    <row r="66" spans="1:55" ht="14.4" customHeight="1" x14ac:dyDescent="0.3">
      <c r="C66" s="395" t="s">
        <v>266</v>
      </c>
      <c r="D66" s="394" t="s">
        <v>268</v>
      </c>
      <c r="E66" s="320">
        <f>7695</f>
        <v>7695</v>
      </c>
      <c r="F66" s="321"/>
      <c r="G66" s="322">
        <v>8</v>
      </c>
      <c r="H66" s="396">
        <v>3.68</v>
      </c>
      <c r="I66" s="397">
        <f>((G66*E66)*I52)/(H66*P10)</f>
        <v>0.81951581027667986</v>
      </c>
      <c r="AQ66" s="364"/>
      <c r="BC66" s="364"/>
    </row>
    <row r="67" spans="1:55" ht="14.4" customHeight="1" x14ac:dyDescent="0.3">
      <c r="C67" s="138"/>
      <c r="H67" s="288">
        <f>SUM(H65:H66)</f>
        <v>12.26</v>
      </c>
      <c r="I67" s="289">
        <f>(SUM((G65*E65),(G66*E66))*I52)/(H67*P10)</f>
        <v>0.81996144149488359</v>
      </c>
      <c r="N67" s="300"/>
      <c r="O67" s="300"/>
      <c r="P67" s="300"/>
      <c r="Q67" s="300"/>
      <c r="R67" s="300"/>
      <c r="S67" s="300"/>
      <c r="T67" s="300"/>
      <c r="U67" s="300"/>
      <c r="V67" s="300"/>
      <c r="AQ67" s="364"/>
      <c r="BC67" s="364"/>
    </row>
    <row r="68" spans="1:55" ht="14.4" customHeight="1" thickBot="1" x14ac:dyDescent="0.35">
      <c r="C68" s="145"/>
      <c r="D68" s="246"/>
      <c r="E68" s="723" t="s">
        <v>239</v>
      </c>
      <c r="F68" s="723"/>
      <c r="G68" s="723"/>
      <c r="H68" s="400">
        <f>_xlfn.CEILING.MATH(SUM(H63,H67))</f>
        <v>22</v>
      </c>
      <c r="I68" s="401">
        <f>(SUM((G61*E61),(G62*E62),(G65*E65),(G66*E66))*I52)/(H68*P10)</f>
        <v>0.8191823691460054</v>
      </c>
      <c r="N68" s="300"/>
      <c r="O68" s="300"/>
      <c r="P68" s="300"/>
      <c r="Q68" s="300"/>
      <c r="R68" s="300"/>
      <c r="S68" s="300"/>
      <c r="T68" s="300"/>
      <c r="U68" s="300"/>
      <c r="V68" s="300"/>
      <c r="AT68" s="364"/>
      <c r="BC68" s="364"/>
    </row>
    <row r="69" spans="1:55" ht="14.4" customHeight="1" thickBot="1" x14ac:dyDescent="0.35">
      <c r="N69" s="300"/>
      <c r="O69" s="300"/>
      <c r="P69" s="300"/>
      <c r="Q69" s="300"/>
      <c r="R69" s="300"/>
      <c r="S69" s="300"/>
      <c r="T69" s="300"/>
      <c r="U69" s="300"/>
      <c r="V69" s="300"/>
      <c r="AW69" s="364"/>
      <c r="BC69" s="364"/>
    </row>
    <row r="70" spans="1:55" ht="14.4" customHeight="1" x14ac:dyDescent="0.3">
      <c r="A70" s="660" t="s">
        <v>269</v>
      </c>
      <c r="B70" s="661"/>
      <c r="C70" s="661"/>
      <c r="D70" s="661"/>
      <c r="E70" s="661"/>
      <c r="F70" s="661"/>
      <c r="G70" s="661"/>
      <c r="H70" s="661"/>
      <c r="I70" s="661"/>
      <c r="J70" s="661"/>
      <c r="K70" s="661"/>
      <c r="L70" s="662"/>
      <c r="M70" s="693"/>
      <c r="N70" s="694"/>
      <c r="O70" s="694"/>
      <c r="P70" s="694"/>
      <c r="Q70" s="694"/>
      <c r="R70" s="694"/>
      <c r="S70" s="694"/>
      <c r="T70" s="694"/>
      <c r="U70" s="694"/>
      <c r="V70" s="694"/>
      <c r="W70" s="694"/>
      <c r="X70" s="694"/>
      <c r="Y70" s="694"/>
      <c r="Z70" s="694"/>
      <c r="AA70" s="694"/>
      <c r="AB70" s="694"/>
      <c r="AC70" s="694"/>
      <c r="AD70" s="694"/>
      <c r="AE70" s="694"/>
      <c r="AF70" s="694"/>
      <c r="AG70" s="694"/>
      <c r="AH70" s="694"/>
      <c r="AI70" s="694"/>
      <c r="AJ70" s="694"/>
      <c r="AK70" s="694"/>
      <c r="AL70" s="694"/>
      <c r="AM70" s="694"/>
      <c r="AN70" s="694"/>
      <c r="AO70" s="694"/>
      <c r="AP70" s="695"/>
      <c r="AZ70" s="364"/>
      <c r="BC70" s="364"/>
    </row>
    <row r="71" spans="1:55" ht="28.2" customHeight="1" x14ac:dyDescent="0.3">
      <c r="A71" s="663"/>
      <c r="B71" s="664"/>
      <c r="C71" s="664"/>
      <c r="D71" s="664"/>
      <c r="E71" s="664"/>
      <c r="F71" s="664"/>
      <c r="G71" s="664"/>
      <c r="H71" s="664"/>
      <c r="I71" s="664"/>
      <c r="J71" s="664"/>
      <c r="K71" s="664"/>
      <c r="L71" s="665"/>
      <c r="M71" s="696"/>
      <c r="N71" s="690"/>
      <c r="O71" s="690"/>
      <c r="P71" s="690"/>
      <c r="Q71" s="690"/>
      <c r="R71" s="690"/>
      <c r="S71" s="690"/>
      <c r="T71" s="690"/>
      <c r="U71" s="690"/>
      <c r="V71" s="690"/>
      <c r="W71" s="690"/>
      <c r="X71" s="690"/>
      <c r="Y71" s="690"/>
      <c r="Z71" s="690"/>
      <c r="AA71" s="690"/>
      <c r="AB71" s="690"/>
      <c r="AC71" s="690"/>
      <c r="AD71" s="690"/>
      <c r="AE71" s="690"/>
      <c r="AF71" s="690"/>
      <c r="AG71" s="690"/>
      <c r="AH71" s="690"/>
      <c r="AI71" s="690"/>
      <c r="AJ71" s="690"/>
      <c r="AK71" s="690"/>
      <c r="AL71" s="690"/>
      <c r="AM71" s="690"/>
      <c r="AN71" s="690"/>
      <c r="AO71" s="690"/>
      <c r="AP71" s="697"/>
      <c r="AQ71" s="364"/>
      <c r="AT71" s="364"/>
      <c r="AW71" s="364"/>
      <c r="AZ71" s="364"/>
      <c r="BC71" s="364"/>
    </row>
    <row r="72" spans="1:55" ht="14.4" customHeight="1" thickBot="1" x14ac:dyDescent="0.35">
      <c r="A72" s="666"/>
      <c r="B72" s="667"/>
      <c r="C72" s="667"/>
      <c r="D72" s="667"/>
      <c r="E72" s="667"/>
      <c r="F72" s="667"/>
      <c r="G72" s="667"/>
      <c r="H72" s="667"/>
      <c r="I72" s="667"/>
      <c r="J72" s="667"/>
      <c r="K72" s="667"/>
      <c r="L72" s="668"/>
      <c r="M72" s="698"/>
      <c r="N72" s="699"/>
      <c r="O72" s="699"/>
      <c r="P72" s="699"/>
      <c r="Q72" s="699"/>
      <c r="R72" s="699"/>
      <c r="S72" s="699"/>
      <c r="T72" s="699"/>
      <c r="U72" s="699"/>
      <c r="V72" s="699"/>
      <c r="W72" s="699"/>
      <c r="X72" s="699"/>
      <c r="Y72" s="699"/>
      <c r="Z72" s="699"/>
      <c r="AA72" s="699"/>
      <c r="AB72" s="699"/>
      <c r="AC72" s="699"/>
      <c r="AD72" s="699"/>
      <c r="AE72" s="699"/>
      <c r="AF72" s="699"/>
      <c r="AG72" s="699"/>
      <c r="AH72" s="699"/>
      <c r="AI72" s="699"/>
      <c r="AJ72" s="699"/>
      <c r="AK72" s="699"/>
      <c r="AL72" s="699"/>
      <c r="AM72" s="699"/>
      <c r="AN72" s="699"/>
      <c r="AO72" s="699"/>
      <c r="AP72" s="700"/>
      <c r="AQ72" s="364"/>
      <c r="AT72" s="364"/>
    </row>
    <row r="73" spans="1:55" ht="14.4" customHeight="1" x14ac:dyDescent="0.3">
      <c r="N73" s="300"/>
      <c r="O73" s="300"/>
      <c r="P73" s="300"/>
      <c r="Q73" s="300"/>
      <c r="R73" s="300"/>
      <c r="S73" s="300"/>
      <c r="T73" s="300"/>
      <c r="U73" s="300"/>
      <c r="V73" s="300"/>
    </row>
    <row r="74" spans="1:55" ht="15" customHeight="1" thickBot="1" x14ac:dyDescent="0.35">
      <c r="N74" s="402"/>
      <c r="O74" s="402"/>
      <c r="P74" s="402"/>
      <c r="Q74" s="402"/>
      <c r="R74" s="300"/>
      <c r="S74" s="300"/>
      <c r="T74" s="300"/>
      <c r="U74" s="300"/>
      <c r="V74" s="300"/>
    </row>
    <row r="75" spans="1:55" ht="14.4" customHeight="1" x14ac:dyDescent="0.3">
      <c r="B75" s="327" t="s">
        <v>223</v>
      </c>
      <c r="C75" s="669" t="s">
        <v>224</v>
      </c>
      <c r="D75" s="670"/>
      <c r="E75" s="670"/>
      <c r="F75" s="671"/>
      <c r="G75" s="328" t="s">
        <v>225</v>
      </c>
      <c r="H75" s="328" t="s">
        <v>226</v>
      </c>
      <c r="I75" s="328" t="s">
        <v>227</v>
      </c>
      <c r="J75" s="329" t="s">
        <v>228</v>
      </c>
      <c r="N75" s="734"/>
      <c r="O75" s="734"/>
      <c r="P75" s="734"/>
      <c r="Q75" s="734"/>
      <c r="R75" s="300"/>
      <c r="S75" s="300"/>
      <c r="T75" s="300"/>
      <c r="U75" s="300"/>
      <c r="V75" s="300"/>
    </row>
    <row r="76" spans="1:55" ht="14.4" customHeight="1" x14ac:dyDescent="0.3">
      <c r="B76" s="601" t="s">
        <v>44</v>
      </c>
      <c r="C76" s="592" t="s">
        <v>45</v>
      </c>
      <c r="D76" s="592"/>
      <c r="E76" s="592"/>
      <c r="F76" s="592"/>
      <c r="G76" s="629">
        <v>0.98</v>
      </c>
      <c r="H76" s="629">
        <v>0.99</v>
      </c>
      <c r="I76" s="629">
        <v>0.98</v>
      </c>
      <c r="J76" s="631">
        <f>G76*H76</f>
        <v>0.97019999999999995</v>
      </c>
      <c r="N76" s="407"/>
      <c r="O76" s="407"/>
      <c r="P76" s="407"/>
      <c r="Q76" s="407"/>
      <c r="R76" s="300"/>
      <c r="S76" s="300"/>
      <c r="T76" s="300"/>
      <c r="U76" s="300"/>
      <c r="V76" s="300"/>
    </row>
    <row r="77" spans="1:55" ht="14.4" customHeight="1" x14ac:dyDescent="0.3">
      <c r="B77" s="601"/>
      <c r="C77" s="592"/>
      <c r="D77" s="592"/>
      <c r="E77" s="592"/>
      <c r="F77" s="592"/>
      <c r="G77" s="629"/>
      <c r="H77" s="629"/>
      <c r="I77" s="629"/>
      <c r="J77" s="631"/>
      <c r="N77" s="402"/>
      <c r="O77" s="402"/>
      <c r="P77" s="402"/>
      <c r="Q77" s="402"/>
      <c r="R77" s="300"/>
      <c r="S77" s="300"/>
      <c r="T77" s="300"/>
      <c r="U77" s="300"/>
      <c r="V77" s="300"/>
    </row>
    <row r="78" spans="1:55" ht="14.4" customHeight="1" x14ac:dyDescent="0.3">
      <c r="B78" s="601" t="s">
        <v>46</v>
      </c>
      <c r="C78" s="592" t="s">
        <v>47</v>
      </c>
      <c r="D78" s="592"/>
      <c r="E78" s="592"/>
      <c r="F78" s="592"/>
      <c r="G78" s="629">
        <v>0.98</v>
      </c>
      <c r="H78" s="629">
        <v>0.99</v>
      </c>
      <c r="I78" s="629">
        <v>0.99</v>
      </c>
      <c r="J78" s="631">
        <f>G78*H78</f>
        <v>0.97019999999999995</v>
      </c>
      <c r="N78" s="404"/>
      <c r="O78" s="404"/>
      <c r="P78" s="404"/>
      <c r="Q78" s="404"/>
      <c r="R78" s="300"/>
      <c r="S78" s="300"/>
      <c r="T78" s="300"/>
      <c r="U78" s="300"/>
      <c r="V78" s="300"/>
    </row>
    <row r="79" spans="1:55" ht="15" customHeight="1" thickBot="1" x14ac:dyDescent="0.35">
      <c r="B79" s="602"/>
      <c r="C79" s="586"/>
      <c r="D79" s="586"/>
      <c r="E79" s="586"/>
      <c r="F79" s="586"/>
      <c r="G79" s="630"/>
      <c r="H79" s="630"/>
      <c r="I79" s="630"/>
      <c r="J79" s="632"/>
      <c r="N79" s="300"/>
      <c r="O79" s="300"/>
      <c r="Q79" s="300"/>
      <c r="R79" s="300"/>
      <c r="S79" s="300"/>
      <c r="T79" s="300"/>
      <c r="U79" s="300"/>
      <c r="V79" s="300"/>
    </row>
    <row r="80" spans="1:55" ht="18" x14ac:dyDescent="0.3">
      <c r="N80" s="300"/>
      <c r="O80" s="300"/>
      <c r="P80" s="300"/>
      <c r="Q80" s="300"/>
      <c r="R80" s="300"/>
      <c r="S80" s="300"/>
      <c r="T80" s="300"/>
      <c r="U80" s="300"/>
      <c r="V80" s="300"/>
    </row>
    <row r="81" spans="3:22" ht="15" customHeight="1" x14ac:dyDescent="0.3">
      <c r="N81" s="300"/>
      <c r="O81" s="300"/>
      <c r="P81" s="300"/>
      <c r="Q81" s="300"/>
      <c r="R81" s="300"/>
      <c r="S81" s="300"/>
      <c r="T81" s="300"/>
      <c r="U81" s="300"/>
      <c r="V81" s="300"/>
    </row>
    <row r="82" spans="3:22" ht="14.4" customHeight="1" thickBot="1" x14ac:dyDescent="0.35">
      <c r="N82" s="300"/>
      <c r="O82" s="300"/>
      <c r="P82" s="300"/>
      <c r="Q82" s="300"/>
      <c r="R82" s="300"/>
      <c r="S82" s="300"/>
      <c r="T82" s="300"/>
      <c r="U82" s="300"/>
      <c r="V82" s="300"/>
    </row>
    <row r="83" spans="3:22" ht="14.4" customHeight="1" thickBot="1" x14ac:dyDescent="0.35">
      <c r="C83" s="408"/>
      <c r="D83" s="409"/>
      <c r="E83" s="678" t="s">
        <v>240</v>
      </c>
      <c r="F83" s="679"/>
      <c r="G83" s="680"/>
      <c r="H83" s="256"/>
      <c r="I83" s="142"/>
      <c r="J83" s="212"/>
      <c r="R83" s="300"/>
      <c r="S83" s="300"/>
      <c r="T83" s="300"/>
      <c r="U83" s="300"/>
      <c r="V83" s="300"/>
    </row>
    <row r="84" spans="3:22" ht="14.4" customHeight="1" x14ac:dyDescent="0.3">
      <c r="C84" s="138"/>
      <c r="I84" s="139"/>
      <c r="J84" s="212"/>
      <c r="R84" s="300"/>
      <c r="S84" s="300"/>
      <c r="T84" s="300"/>
      <c r="U84" s="300"/>
      <c r="V84" s="300"/>
    </row>
    <row r="85" spans="3:22" ht="14.4" customHeight="1" x14ac:dyDescent="0.3">
      <c r="C85" s="148" t="s">
        <v>241</v>
      </c>
      <c r="F85" s="65"/>
      <c r="I85" s="139"/>
      <c r="R85" s="300"/>
      <c r="S85" s="300"/>
      <c r="T85" s="300"/>
      <c r="U85" s="300"/>
      <c r="V85" s="300"/>
    </row>
    <row r="86" spans="3:22" ht="14.4" customHeight="1" x14ac:dyDescent="0.3">
      <c r="C86" s="138"/>
      <c r="I86" s="139"/>
      <c r="R86" s="300"/>
      <c r="S86" s="300"/>
      <c r="T86" s="300"/>
      <c r="U86" s="300"/>
      <c r="V86" s="300"/>
    </row>
    <row r="87" spans="3:22" ht="14.4" customHeight="1" x14ac:dyDescent="0.3">
      <c r="C87" s="27" t="s">
        <v>262</v>
      </c>
      <c r="D87" s="253" t="s">
        <v>231</v>
      </c>
      <c r="E87" s="193" t="s">
        <v>232</v>
      </c>
      <c r="F87" s="193" t="s">
        <v>270</v>
      </c>
      <c r="G87" s="193" t="s">
        <v>235</v>
      </c>
      <c r="H87" s="193" t="s">
        <v>13</v>
      </c>
      <c r="I87" s="216" t="s">
        <v>236</v>
      </c>
      <c r="R87" s="300"/>
      <c r="S87" s="300"/>
      <c r="T87" s="300"/>
      <c r="U87" s="300"/>
      <c r="V87" s="300"/>
    </row>
    <row r="88" spans="3:22" ht="15" customHeight="1" x14ac:dyDescent="0.3">
      <c r="C88" s="305" t="s">
        <v>263</v>
      </c>
      <c r="D88" s="306" t="s">
        <v>243</v>
      </c>
      <c r="E88" s="307">
        <f>L14</f>
        <v>14675</v>
      </c>
      <c r="F88" s="308">
        <f>U14</f>
        <v>1.2496262350936966</v>
      </c>
      <c r="G88" s="308">
        <f>O14</f>
        <v>1</v>
      </c>
      <c r="H88" s="308">
        <f>V14</f>
        <v>0.80023928108793285</v>
      </c>
      <c r="I88" s="309">
        <f>((G88*E88)*$I$76)/(H88*$P$14)</f>
        <v>0.90765149999999994</v>
      </c>
      <c r="R88" s="300"/>
      <c r="S88" s="300"/>
      <c r="T88" s="300"/>
      <c r="U88" s="300"/>
      <c r="V88" s="300"/>
    </row>
    <row r="89" spans="3:22" ht="14.4" customHeight="1" x14ac:dyDescent="0.3">
      <c r="C89" s="310" t="s">
        <v>263</v>
      </c>
      <c r="D89" s="311" t="s">
        <v>244</v>
      </c>
      <c r="E89" s="312">
        <f>L16</f>
        <v>6289</v>
      </c>
      <c r="F89" s="313">
        <f>U16</f>
        <v>2.9163937772485733</v>
      </c>
      <c r="G89" s="308">
        <f>O16</f>
        <v>1.2</v>
      </c>
      <c r="H89" s="308">
        <f>V16</f>
        <v>0.4114670691459647</v>
      </c>
      <c r="I89" s="309">
        <f>((G89*E89)*$I$76)/(H89*$P$14)</f>
        <v>0.90779679069767438</v>
      </c>
      <c r="N89" s="402"/>
      <c r="O89" s="402"/>
      <c r="P89" s="402"/>
      <c r="Q89" s="402"/>
      <c r="R89" s="300"/>
      <c r="S89" s="300"/>
      <c r="T89" s="300"/>
      <c r="U89" s="300"/>
      <c r="V89" s="300"/>
    </row>
    <row r="90" spans="3:22" ht="15" customHeight="1" x14ac:dyDescent="0.3">
      <c r="C90" s="305" t="s">
        <v>263</v>
      </c>
      <c r="D90" s="314" t="s">
        <v>245</v>
      </c>
      <c r="E90" s="315">
        <f>L18</f>
        <v>75467</v>
      </c>
      <c r="F90" s="316">
        <f>U18</f>
        <v>0.24464781560152118</v>
      </c>
      <c r="G90" s="317">
        <f>O18</f>
        <v>0.3</v>
      </c>
      <c r="H90" s="308">
        <f>V18</f>
        <v>1.2262525183900912</v>
      </c>
      <c r="I90" s="309">
        <f>((G90*E90)*$I$76)/(H90*$P$14)</f>
        <v>0.91381716999999996</v>
      </c>
      <c r="N90" s="402"/>
      <c r="O90" s="402"/>
      <c r="P90" s="402"/>
      <c r="Q90" s="402"/>
      <c r="R90" s="300"/>
      <c r="S90" s="300"/>
      <c r="T90" s="300"/>
      <c r="U90" s="300"/>
      <c r="V90" s="300"/>
    </row>
    <row r="91" spans="3:22" ht="14.4" customHeight="1" x14ac:dyDescent="0.3">
      <c r="C91" s="305" t="s">
        <v>263</v>
      </c>
      <c r="D91" s="314" t="s">
        <v>246</v>
      </c>
      <c r="E91" s="315">
        <f>L20</f>
        <v>41927</v>
      </c>
      <c r="F91" s="316">
        <f>U20</f>
        <v>0.44332635413933741</v>
      </c>
      <c r="G91" s="317">
        <f>O20</f>
        <v>0.5</v>
      </c>
      <c r="H91" s="313">
        <f>V20</f>
        <v>1.1278373038992626</v>
      </c>
      <c r="I91" s="309">
        <f>((G91*E91)*$I$76)/(H91*$P$14)</f>
        <v>0.9199796549999999</v>
      </c>
      <c r="N91" s="578"/>
      <c r="O91" s="578"/>
      <c r="P91" s="578"/>
      <c r="Q91" s="578"/>
      <c r="R91" s="300"/>
      <c r="S91" s="300"/>
      <c r="T91" s="300"/>
      <c r="U91" s="300"/>
      <c r="V91" s="300"/>
    </row>
    <row r="92" spans="3:22" ht="14.4" customHeight="1" x14ac:dyDescent="0.3">
      <c r="C92" s="138"/>
      <c r="G92" s="252"/>
      <c r="H92" s="194">
        <f>SUM(H88:H91)</f>
        <v>3.5657961725232514</v>
      </c>
      <c r="I92" s="215">
        <f>(SUM((G88*E88),(G89*E89),(G90*E90),(G91*E91))*0.97)/(H92*P18)</f>
        <v>0.90436456290426659</v>
      </c>
      <c r="N92" s="578"/>
      <c r="O92" s="578"/>
      <c r="P92" s="578"/>
      <c r="Q92" s="578"/>
      <c r="R92" s="300"/>
      <c r="S92" s="300"/>
      <c r="T92" s="300"/>
      <c r="U92" s="300"/>
      <c r="V92" s="300"/>
    </row>
    <row r="93" spans="3:22" ht="14.4" customHeight="1" x14ac:dyDescent="0.3">
      <c r="C93" s="138"/>
      <c r="I93" s="139"/>
      <c r="N93" s="579"/>
      <c r="O93" s="579"/>
      <c r="P93" s="579"/>
      <c r="Q93" s="579"/>
      <c r="R93" s="300"/>
      <c r="S93" s="300"/>
      <c r="T93" s="300"/>
      <c r="U93" s="300"/>
      <c r="V93" s="300"/>
    </row>
    <row r="94" spans="3:22" ht="15" customHeight="1" x14ac:dyDescent="0.3">
      <c r="C94" s="305" t="s">
        <v>266</v>
      </c>
      <c r="D94" s="306" t="s">
        <v>243</v>
      </c>
      <c r="E94" s="307">
        <f>'[1]$_FABB_PARTI_LOTTI'!$L$13</f>
        <v>18511</v>
      </c>
      <c r="F94" s="308">
        <v>0.98</v>
      </c>
      <c r="G94" s="308">
        <v>1</v>
      </c>
      <c r="H94" s="308">
        <v>1.02</v>
      </c>
      <c r="I94" s="309">
        <f>((G94*E94)*$I$76)/(H94*$P$14)</f>
        <v>0.89823628441275494</v>
      </c>
      <c r="N94" s="579"/>
      <c r="O94" s="579"/>
      <c r="P94" s="579"/>
      <c r="Q94" s="579"/>
      <c r="R94" s="300"/>
      <c r="S94" s="300"/>
      <c r="T94" s="300"/>
      <c r="U94" s="300"/>
      <c r="V94" s="300"/>
    </row>
    <row r="95" spans="3:22" ht="14.4" customHeight="1" x14ac:dyDescent="0.3">
      <c r="C95" s="310" t="s">
        <v>266</v>
      </c>
      <c r="D95" s="311" t="s">
        <v>244</v>
      </c>
      <c r="E95" s="312">
        <f>'[1]$_FABB_PARTI_LOTTI'!$L$15</f>
        <v>7933</v>
      </c>
      <c r="F95" s="313">
        <v>2.2799999999999998</v>
      </c>
      <c r="G95" s="308">
        <v>1.2</v>
      </c>
      <c r="H95" s="308">
        <v>0.53</v>
      </c>
      <c r="I95" s="309">
        <f>((G95*E95)*$I$76)/(H95*$P$14)</f>
        <v>0.88900400228702126</v>
      </c>
      <c r="N95" s="300"/>
      <c r="O95" s="300"/>
      <c r="P95" s="300"/>
      <c r="Q95" s="300"/>
      <c r="R95" s="300"/>
      <c r="S95" s="300"/>
      <c r="T95" s="300"/>
      <c r="U95" s="300"/>
      <c r="V95" s="300"/>
    </row>
    <row r="96" spans="3:22" ht="15" customHeight="1" x14ac:dyDescent="0.3">
      <c r="C96" s="305" t="s">
        <v>266</v>
      </c>
      <c r="D96" s="314" t="s">
        <v>245</v>
      </c>
      <c r="E96" s="315">
        <f>'[1]$_FABB_PARTI_LOTTI'!$L$17</f>
        <v>57118</v>
      </c>
      <c r="F96" s="316">
        <v>0.33</v>
      </c>
      <c r="G96" s="317">
        <v>0.3</v>
      </c>
      <c r="H96" s="308">
        <f>0.92</f>
        <v>0.92</v>
      </c>
      <c r="I96" s="309">
        <f>((G96*E96)*$I$76)/(H96*$P$14)</f>
        <v>0.92186495388669298</v>
      </c>
      <c r="N96" s="300"/>
      <c r="O96" s="300"/>
      <c r="P96" s="300"/>
      <c r="Q96" s="300"/>
      <c r="R96" s="300"/>
      <c r="S96" s="300"/>
      <c r="T96" s="300"/>
      <c r="U96" s="300"/>
      <c r="V96" s="300"/>
    </row>
    <row r="97" spans="3:22" ht="14.4" customHeight="1" x14ac:dyDescent="0.3">
      <c r="C97" s="305" t="s">
        <v>266</v>
      </c>
      <c r="D97" s="314" t="s">
        <v>246</v>
      </c>
      <c r="E97" s="412">
        <f>'[1]$_FABB_PARTI_LOTTI'!$L$19</f>
        <v>52887</v>
      </c>
      <c r="F97" s="413">
        <v>0.35</v>
      </c>
      <c r="G97" s="414">
        <v>0.5</v>
      </c>
      <c r="H97" s="313">
        <v>1.44</v>
      </c>
      <c r="I97" s="309">
        <f>((G97*E97)*$I$76)/(H97*$P$14)</f>
        <v>0.90890256734006736</v>
      </c>
      <c r="N97" s="300"/>
      <c r="O97" s="300"/>
      <c r="P97" s="300"/>
      <c r="Q97" s="300"/>
      <c r="R97" s="300"/>
      <c r="S97" s="300"/>
      <c r="T97" s="300"/>
      <c r="U97" s="300"/>
      <c r="V97" s="300"/>
    </row>
    <row r="98" spans="3:22" ht="15" customHeight="1" x14ac:dyDescent="0.3">
      <c r="C98" s="138"/>
      <c r="H98" s="411">
        <f>SUM(H94:H97)</f>
        <v>3.91</v>
      </c>
      <c r="I98" s="410">
        <f>(SUM((G94*E94),(G95*E95),(G96*E96),(G97*E97))*$I$76)/(H98*$P$14)</f>
        <v>0.90647278410705523</v>
      </c>
      <c r="N98" s="300"/>
      <c r="O98" s="300"/>
      <c r="P98" s="300"/>
      <c r="Q98" s="300"/>
      <c r="R98" s="300"/>
      <c r="S98" s="300"/>
      <c r="T98" s="300"/>
      <c r="U98" s="300"/>
      <c r="V98" s="300"/>
    </row>
    <row r="99" spans="3:22" ht="18.600000000000001" thickBot="1" x14ac:dyDescent="0.35">
      <c r="C99" s="138"/>
      <c r="E99" s="722" t="s">
        <v>239</v>
      </c>
      <c r="F99" s="722"/>
      <c r="G99" s="722"/>
      <c r="H99" s="411">
        <f>_xlfn.CEILING.MATH(SUM(H98,H92))</f>
        <v>8</v>
      </c>
      <c r="I99" s="410">
        <f>(SUM((G94*E94),(G95*E95),(G96*E96),(G97*E97),(G88*E88),(G89*E89),(G90*E90),(G91*E91))*$I$76)/(H99*P14)</f>
        <v>0.85029167929292926</v>
      </c>
      <c r="J99" s="724"/>
      <c r="N99" s="300"/>
      <c r="O99" s="300"/>
      <c r="P99" s="300"/>
      <c r="Q99" s="300"/>
      <c r="R99" s="300"/>
      <c r="S99" s="300"/>
      <c r="T99" s="300"/>
      <c r="U99" s="300"/>
      <c r="V99" s="300"/>
    </row>
    <row r="100" spans="3:22" ht="18" x14ac:dyDescent="0.3">
      <c r="C100" s="144"/>
      <c r="D100" s="137"/>
      <c r="E100" s="137"/>
      <c r="F100" s="137"/>
      <c r="G100" s="137"/>
      <c r="H100" s="137"/>
      <c r="I100" s="142"/>
      <c r="J100" s="724"/>
      <c r="N100" s="300"/>
      <c r="O100" s="300"/>
      <c r="P100" s="300"/>
      <c r="Q100" s="300"/>
      <c r="R100" s="300"/>
      <c r="S100" s="300"/>
      <c r="T100" s="300"/>
      <c r="U100" s="300"/>
      <c r="V100" s="300"/>
    </row>
    <row r="101" spans="3:22" ht="14.4" customHeight="1" x14ac:dyDescent="0.3">
      <c r="C101" s="138"/>
      <c r="I101" s="139"/>
      <c r="N101" s="300"/>
      <c r="O101" s="300"/>
      <c r="P101" s="300"/>
      <c r="Q101" s="300"/>
      <c r="R101" s="300"/>
      <c r="S101" s="300"/>
      <c r="T101" s="300"/>
      <c r="U101" s="300"/>
      <c r="V101" s="300"/>
    </row>
    <row r="102" spans="3:22" ht="14.4" customHeight="1" x14ac:dyDescent="0.3">
      <c r="C102" s="213" t="s">
        <v>247</v>
      </c>
      <c r="I102" s="139"/>
      <c r="N102" s="300"/>
      <c r="O102" s="300"/>
      <c r="P102" s="300"/>
      <c r="Q102" s="300"/>
      <c r="R102" s="300"/>
      <c r="S102" s="300"/>
      <c r="T102" s="300"/>
      <c r="U102" s="300"/>
      <c r="V102" s="300"/>
    </row>
    <row r="103" spans="3:22" ht="14.4" customHeight="1" x14ac:dyDescent="0.3">
      <c r="C103" s="138"/>
      <c r="I103" s="139"/>
      <c r="K103" s="65"/>
      <c r="N103" s="300"/>
      <c r="O103" s="300"/>
      <c r="P103" s="300"/>
      <c r="Q103" s="300"/>
      <c r="R103" s="300"/>
      <c r="S103" s="300"/>
      <c r="T103" s="300"/>
      <c r="U103" s="300"/>
      <c r="V103" s="300"/>
    </row>
    <row r="104" spans="3:22" ht="14.4" customHeight="1" x14ac:dyDescent="0.3">
      <c r="C104" s="27" t="s">
        <v>262</v>
      </c>
      <c r="D104" s="11" t="s">
        <v>231</v>
      </c>
      <c r="E104" s="11" t="s">
        <v>232</v>
      </c>
      <c r="F104" s="11" t="s">
        <v>233</v>
      </c>
      <c r="G104" s="11" t="s">
        <v>235</v>
      </c>
      <c r="H104" s="11" t="s">
        <v>13</v>
      </c>
      <c r="I104" s="214" t="s">
        <v>236</v>
      </c>
      <c r="N104" s="300"/>
      <c r="O104" s="300"/>
      <c r="P104" s="300"/>
      <c r="Q104" s="300"/>
      <c r="R104" s="300"/>
      <c r="S104" s="300"/>
      <c r="T104" s="300"/>
      <c r="U104" s="300"/>
      <c r="V104" s="300"/>
    </row>
    <row r="105" spans="3:22" ht="14.4" customHeight="1" x14ac:dyDescent="0.3">
      <c r="C105" s="302" t="s">
        <v>263</v>
      </c>
      <c r="D105" s="40" t="s">
        <v>243</v>
      </c>
      <c r="E105" s="29">
        <f>L15</f>
        <v>14975</v>
      </c>
      <c r="F105" s="303">
        <f>U15</f>
        <v>1.2234020033388981</v>
      </c>
      <c r="G105" s="303">
        <f>O15</f>
        <v>1</v>
      </c>
      <c r="H105" s="303">
        <f>V15</f>
        <v>0.81739280896288269</v>
      </c>
      <c r="I105" s="304">
        <f>((G105*E105)*$I$78)/(H105*$P$21)</f>
        <v>0.91602225000000004</v>
      </c>
      <c r="N105" s="300"/>
      <c r="O105" s="300"/>
      <c r="P105" s="300"/>
      <c r="Q105" s="300"/>
      <c r="R105" s="300"/>
      <c r="S105" s="300"/>
      <c r="T105" s="300"/>
      <c r="U105" s="300"/>
      <c r="V105" s="300"/>
    </row>
    <row r="106" spans="3:22" ht="14.4" customHeight="1" x14ac:dyDescent="0.3">
      <c r="C106" s="302" t="s">
        <v>263</v>
      </c>
      <c r="D106" s="40" t="s">
        <v>244</v>
      </c>
      <c r="E106" s="29">
        <f>L17</f>
        <v>6418</v>
      </c>
      <c r="F106" s="303">
        <f>U17</f>
        <v>2.8549985143528014</v>
      </c>
      <c r="G106" s="303">
        <f>O17</f>
        <v>1.2</v>
      </c>
      <c r="H106" s="303">
        <f>V17</f>
        <v>0.4203154551455266</v>
      </c>
      <c r="I106" s="304">
        <f>((G106*E106)*$I$78)/(H106*$P$21)</f>
        <v>0.91616902325581395</v>
      </c>
      <c r="N106" s="300"/>
      <c r="O106" s="300"/>
      <c r="P106" s="300"/>
      <c r="R106" s="300"/>
      <c r="S106" s="300"/>
      <c r="T106" s="300"/>
      <c r="U106" s="300"/>
      <c r="V106" s="300"/>
    </row>
    <row r="107" spans="3:22" ht="14.4" customHeight="1" x14ac:dyDescent="0.3">
      <c r="C107" s="302" t="s">
        <v>263</v>
      </c>
      <c r="D107" s="40" t="s">
        <v>245</v>
      </c>
      <c r="E107" s="29">
        <f>L19</f>
        <v>77008</v>
      </c>
      <c r="F107" s="303">
        <f>U19</f>
        <v>0.23955408269270725</v>
      </c>
      <c r="G107" s="303">
        <f>O19</f>
        <v>0.3</v>
      </c>
      <c r="H107" s="303">
        <f>V19</f>
        <v>1.252326809160798</v>
      </c>
      <c r="I107" s="304">
        <f>((G107*E107)*$I$78)/(H107*$P$21)</f>
        <v>0.92237903999999982</v>
      </c>
      <c r="N107" s="402"/>
      <c r="O107" s="402"/>
      <c r="P107" s="402"/>
      <c r="Q107" s="402"/>
      <c r="R107" s="300"/>
      <c r="S107" s="300"/>
      <c r="T107" s="300"/>
      <c r="U107" s="300"/>
      <c r="V107" s="300"/>
    </row>
    <row r="108" spans="3:22" ht="15" customHeight="1" x14ac:dyDescent="0.3">
      <c r="C108" s="302" t="s">
        <v>263</v>
      </c>
      <c r="D108" s="40" t="s">
        <v>246</v>
      </c>
      <c r="E108" s="29">
        <f>L21</f>
        <v>42783</v>
      </c>
      <c r="F108" s="303">
        <f>U21</f>
        <v>0.43415918589159247</v>
      </c>
      <c r="G108" s="303">
        <f>O21</f>
        <v>0.5</v>
      </c>
      <c r="H108" s="303">
        <f>V21</f>
        <v>1.151651321100569</v>
      </c>
      <c r="I108" s="304">
        <f>((G108*E108)*$I$78)/(H108*$P$21)</f>
        <v>0.92873162250000008</v>
      </c>
      <c r="N108" s="402"/>
      <c r="O108" s="402"/>
      <c r="P108" s="402"/>
      <c r="Q108" s="402"/>
      <c r="R108" s="300"/>
      <c r="S108" s="300"/>
      <c r="T108" s="300"/>
      <c r="U108" s="300"/>
      <c r="V108" s="300"/>
    </row>
    <row r="109" spans="3:22" ht="18" x14ac:dyDescent="0.3">
      <c r="C109" s="302" t="s">
        <v>263</v>
      </c>
      <c r="D109" s="40" t="s">
        <v>248</v>
      </c>
      <c r="E109" s="29">
        <f>L22</f>
        <v>41927</v>
      </c>
      <c r="F109" s="303">
        <f>U22</f>
        <v>0.44332635413933741</v>
      </c>
      <c r="G109" s="303">
        <f>O22</f>
        <v>0.8</v>
      </c>
      <c r="H109" s="303">
        <f>V22</f>
        <v>1.8045396862388203</v>
      </c>
      <c r="I109" s="304">
        <f>((G109*E109)*$I$78)/(H109*$P$21)</f>
        <v>0.92936720249999993</v>
      </c>
      <c r="N109" s="578"/>
      <c r="O109" s="578"/>
      <c r="P109" s="578"/>
      <c r="Q109" s="578"/>
      <c r="R109" s="300"/>
      <c r="S109" s="300"/>
      <c r="T109" s="300"/>
      <c r="U109" s="300"/>
      <c r="V109" s="300"/>
    </row>
    <row r="110" spans="3:22" ht="18" customHeight="1" x14ac:dyDescent="0.3">
      <c r="C110" s="138"/>
      <c r="G110" s="254"/>
      <c r="H110" s="195">
        <f>SUM(H105:H109)</f>
        <v>5.4462260806085965</v>
      </c>
      <c r="I110" s="215">
        <f>(SUM((G105*E105), (G106*E106),(G107*E107),(G108*E108),(G109*E109))*$I$78)/(H110*$P$15)</f>
        <v>0.92460447389971179</v>
      </c>
      <c r="N110" s="578"/>
      <c r="O110" s="578"/>
      <c r="P110" s="578"/>
      <c r="Q110" s="578"/>
      <c r="R110" s="300"/>
      <c r="S110" s="300"/>
      <c r="T110" s="300"/>
      <c r="U110" s="300"/>
      <c r="V110" s="300"/>
    </row>
    <row r="111" spans="3:22" ht="18" x14ac:dyDescent="0.3">
      <c r="C111" s="138"/>
      <c r="I111" s="139"/>
      <c r="N111" s="579"/>
      <c r="O111" s="579"/>
      <c r="P111" s="579"/>
      <c r="Q111" s="579"/>
      <c r="R111" s="300"/>
      <c r="S111" s="300"/>
      <c r="T111" s="300"/>
      <c r="U111" s="300"/>
      <c r="V111" s="300"/>
    </row>
    <row r="112" spans="3:22" ht="18" x14ac:dyDescent="0.3">
      <c r="C112" s="302" t="s">
        <v>266</v>
      </c>
      <c r="D112" s="40" t="s">
        <v>243</v>
      </c>
      <c r="E112" s="29">
        <f>'[1]$_FABB_PARTI_LOTTI'!$L$14</f>
        <v>18889</v>
      </c>
      <c r="F112" s="303">
        <v>0.96</v>
      </c>
      <c r="G112" s="303">
        <v>1</v>
      </c>
      <c r="H112" s="303">
        <v>1.02</v>
      </c>
      <c r="I112" s="304">
        <f>((G112*E112)*$I$78)/(H112*$P$21)</f>
        <v>0.92593137254901958</v>
      </c>
      <c r="N112" s="579"/>
      <c r="O112" s="579"/>
      <c r="P112" s="579"/>
      <c r="Q112" s="579"/>
      <c r="R112" s="300"/>
      <c r="S112" s="300"/>
      <c r="T112" s="300"/>
      <c r="U112" s="300"/>
      <c r="V112" s="300"/>
    </row>
    <row r="113" spans="1:26" x14ac:dyDescent="0.3">
      <c r="C113" s="302" t="s">
        <v>266</v>
      </c>
      <c r="D113" s="40" t="s">
        <v>244</v>
      </c>
      <c r="E113" s="29">
        <f>'[1]$_FABB_PARTI_LOTTI'!$L$16</f>
        <v>8095</v>
      </c>
      <c r="F113" s="303">
        <v>2.23</v>
      </c>
      <c r="G113" s="303">
        <v>1.2</v>
      </c>
      <c r="H113" s="303">
        <f>0.54</f>
        <v>0.54</v>
      </c>
      <c r="I113" s="304">
        <f>((G113*E113)*$I$78)/(H113*$P$21)</f>
        <v>0.89944444444444449</v>
      </c>
    </row>
    <row r="114" spans="1:26" x14ac:dyDescent="0.3">
      <c r="C114" s="302" t="s">
        <v>266</v>
      </c>
      <c r="D114" s="40" t="s">
        <v>245</v>
      </c>
      <c r="E114" s="29">
        <f>'[1]$_FABB_PARTI_LOTTI'!$L$18</f>
        <v>58285</v>
      </c>
      <c r="F114" s="303">
        <v>0.32</v>
      </c>
      <c r="G114" s="303">
        <v>0.3</v>
      </c>
      <c r="H114" s="303">
        <f>0.94</f>
        <v>0.94</v>
      </c>
      <c r="I114" s="304">
        <f>((G114*E114)*$I$78)/(H114*$P$21)</f>
        <v>0.93007978723404261</v>
      </c>
    </row>
    <row r="115" spans="1:26" x14ac:dyDescent="0.3">
      <c r="C115" s="302" t="s">
        <v>266</v>
      </c>
      <c r="D115" s="40" t="s">
        <v>246</v>
      </c>
      <c r="E115" s="29">
        <f>'[1]$_FABB_PARTI_LOTTI'!$L$20</f>
        <v>53967</v>
      </c>
      <c r="F115" s="303">
        <v>0.34</v>
      </c>
      <c r="G115" s="303">
        <v>0.5</v>
      </c>
      <c r="H115" s="303">
        <f>1.47</f>
        <v>1.47</v>
      </c>
      <c r="I115" s="304">
        <f>((G115*E115)*$I$78)/(H115*$P$21)</f>
        <v>0.91780612244897963</v>
      </c>
    </row>
    <row r="116" spans="1:26" x14ac:dyDescent="0.3">
      <c r="C116" s="138"/>
      <c r="H116" s="415">
        <f>SUM(H112:H115)</f>
        <v>3.9699999999999998</v>
      </c>
      <c r="I116" s="215">
        <f>(SUM((G112*E112),(G112*E113),(G114*E114),(G115*E115))*$I$78)/(H116*$P$15)</f>
        <v>0.89991183879093195</v>
      </c>
    </row>
    <row r="117" spans="1:26" ht="15" thickBot="1" x14ac:dyDescent="0.35">
      <c r="C117" s="145"/>
      <c r="D117" s="141"/>
      <c r="E117" s="723" t="s">
        <v>239</v>
      </c>
      <c r="F117" s="723"/>
      <c r="G117" s="723"/>
      <c r="H117" s="416">
        <f>_xlfn.CEILING.MATH(SUM(H110,H116))</f>
        <v>10</v>
      </c>
      <c r="I117" s="406">
        <f>(SUM((G105*E105),(G112*E112),(G113*E113),(G114*E114),(G115*E115),(G106*E106),(G107*E107),(G108*E108),(G109*E109))*$I$76)/(H117*$P$15)</f>
        <v>0.86014352525252524</v>
      </c>
    </row>
    <row r="122" spans="1:26" ht="14.4" customHeight="1" x14ac:dyDescent="0.3"/>
    <row r="123" spans="1:26" ht="16.95" customHeight="1" x14ac:dyDescent="0.3">
      <c r="A123" s="212"/>
      <c r="B123" s="212"/>
      <c r="C123" s="212"/>
      <c r="D123" s="212"/>
      <c r="E123" s="212"/>
      <c r="F123" s="212"/>
      <c r="G123" s="212"/>
      <c r="H123" s="212"/>
      <c r="I123" s="212"/>
      <c r="J123" s="212"/>
      <c r="K123" s="212"/>
      <c r="L123" s="212"/>
      <c r="M123" s="212"/>
      <c r="N123" s="212"/>
      <c r="O123" s="212"/>
      <c r="P123" s="212"/>
      <c r="Q123" s="212"/>
      <c r="R123" s="212"/>
      <c r="S123" s="212"/>
      <c r="T123" s="212"/>
      <c r="U123" s="212"/>
      <c r="V123" s="212"/>
      <c r="W123" s="212"/>
      <c r="X123" s="212"/>
      <c r="Y123" s="212"/>
      <c r="Z123" s="212"/>
    </row>
    <row r="124" spans="1:26" x14ac:dyDescent="0.3">
      <c r="A124" s="5"/>
      <c r="B124" s="5"/>
      <c r="C124" s="5"/>
      <c r="D124" s="5"/>
      <c r="E124" s="5"/>
      <c r="F124" s="5"/>
      <c r="G124" s="5"/>
      <c r="H124" s="5"/>
      <c r="I124" s="5"/>
      <c r="J124" s="5"/>
      <c r="K124" s="5"/>
      <c r="L124" s="5"/>
    </row>
    <row r="125" spans="1:26" x14ac:dyDescent="0.3">
      <c r="A125" s="5"/>
      <c r="B125" s="5"/>
      <c r="C125" s="5"/>
      <c r="D125" s="5"/>
      <c r="E125" s="5"/>
      <c r="F125" s="5"/>
      <c r="G125" s="5"/>
      <c r="H125" s="5"/>
      <c r="I125" s="5"/>
      <c r="J125" s="5"/>
      <c r="K125" s="5"/>
      <c r="L125" s="5"/>
    </row>
    <row r="126" spans="1:26" x14ac:dyDescent="0.3">
      <c r="A126" s="5"/>
      <c r="B126" s="5"/>
      <c r="C126" s="5"/>
      <c r="D126" s="5"/>
      <c r="E126" s="5"/>
      <c r="F126" s="5"/>
      <c r="G126" s="5"/>
      <c r="H126" s="5"/>
      <c r="I126" s="5"/>
      <c r="J126" s="5"/>
      <c r="K126" s="5"/>
      <c r="L126" s="5"/>
    </row>
    <row r="199" spans="1:26" ht="15.6" x14ac:dyDescent="0.3">
      <c r="A199" s="346"/>
      <c r="B199" s="346"/>
      <c r="C199" s="212"/>
      <c r="D199" s="347"/>
      <c r="E199" s="347"/>
      <c r="F199" s="347"/>
      <c r="G199" s="347"/>
      <c r="H199" s="347"/>
      <c r="I199" s="347"/>
      <c r="J199" s="348"/>
      <c r="K199" s="348"/>
      <c r="L199" s="348"/>
      <c r="M199" s="349"/>
      <c r="N199" s="349"/>
      <c r="O199" s="349"/>
      <c r="P199" s="350"/>
      <c r="Q199" s="350"/>
      <c r="R199" s="350"/>
      <c r="S199" s="351"/>
      <c r="T199" s="351"/>
      <c r="U199" s="352"/>
      <c r="V199" s="352"/>
      <c r="W199" s="212"/>
      <c r="X199" s="212"/>
      <c r="Y199" s="212"/>
      <c r="Z199" s="212"/>
    </row>
    <row r="200" spans="1:26" ht="15.6" x14ac:dyDescent="0.3">
      <c r="A200" s="346"/>
      <c r="B200" s="346"/>
      <c r="C200" s="212"/>
      <c r="D200" s="347"/>
      <c r="E200" s="347"/>
      <c r="F200" s="347"/>
      <c r="G200" s="347"/>
      <c r="H200" s="347"/>
      <c r="I200" s="347"/>
      <c r="J200" s="348"/>
      <c r="K200" s="348"/>
      <c r="L200" s="348"/>
      <c r="M200" s="349"/>
      <c r="N200" s="349"/>
      <c r="O200" s="349"/>
      <c r="P200" s="350"/>
      <c r="Q200" s="350"/>
      <c r="R200" s="350"/>
      <c r="S200" s="351"/>
      <c r="T200" s="351"/>
      <c r="U200" s="352"/>
      <c r="V200" s="352"/>
      <c r="W200" s="212"/>
      <c r="X200" s="212"/>
      <c r="Y200" s="212"/>
      <c r="Z200" s="212"/>
    </row>
    <row r="201" spans="1:26" ht="15.6" x14ac:dyDescent="0.3">
      <c r="A201" s="346"/>
      <c r="B201" s="346"/>
      <c r="C201" s="212"/>
      <c r="D201" s="347"/>
      <c r="E201" s="347"/>
      <c r="F201" s="347"/>
      <c r="G201" s="347"/>
      <c r="H201" s="347"/>
      <c r="I201" s="347"/>
      <c r="J201" s="348"/>
      <c r="K201" s="348"/>
      <c r="L201" s="348"/>
      <c r="M201" s="349"/>
      <c r="N201" s="349"/>
      <c r="O201" s="349"/>
      <c r="P201" s="350"/>
      <c r="Q201" s="350"/>
      <c r="R201" s="350"/>
      <c r="S201" s="351"/>
      <c r="T201" s="351"/>
      <c r="U201" s="352"/>
      <c r="V201" s="352"/>
      <c r="W201" s="212"/>
      <c r="X201" s="212"/>
      <c r="Y201" s="212"/>
      <c r="Z201" s="212"/>
    </row>
    <row r="202" spans="1:26" ht="15.6" x14ac:dyDescent="0.3">
      <c r="A202" s="346"/>
      <c r="B202" s="346"/>
      <c r="C202" s="212"/>
      <c r="D202" s="347"/>
      <c r="E202" s="347"/>
      <c r="F202" s="347"/>
      <c r="G202" s="347"/>
      <c r="H202" s="347"/>
      <c r="I202" s="347"/>
      <c r="J202" s="348"/>
      <c r="K202" s="348"/>
      <c r="L202" s="348"/>
      <c r="M202" s="349"/>
      <c r="N202" s="349"/>
      <c r="O202" s="349"/>
      <c r="P202" s="350"/>
      <c r="Q202" s="350"/>
      <c r="R202" s="350"/>
      <c r="S202" s="351"/>
      <c r="T202" s="351"/>
      <c r="U202" s="352"/>
      <c r="V202" s="352"/>
      <c r="W202" s="212"/>
      <c r="X202" s="212"/>
      <c r="Y202" s="212"/>
      <c r="Z202" s="212"/>
    </row>
    <row r="203" spans="1:26" ht="15.6" x14ac:dyDescent="0.3">
      <c r="A203" s="346"/>
      <c r="B203" s="346"/>
      <c r="C203" s="212"/>
      <c r="D203" s="347"/>
      <c r="E203" s="347"/>
      <c r="F203" s="347"/>
      <c r="G203" s="347"/>
      <c r="H203" s="347"/>
      <c r="I203" s="347"/>
      <c r="J203" s="348"/>
      <c r="K203" s="348"/>
      <c r="L203" s="348"/>
      <c r="M203" s="349"/>
      <c r="N203" s="349"/>
      <c r="O203" s="349"/>
      <c r="P203" s="350"/>
      <c r="Q203" s="350"/>
      <c r="R203" s="350"/>
      <c r="S203" s="351"/>
      <c r="T203" s="351"/>
      <c r="U203" s="352"/>
      <c r="V203" s="352"/>
      <c r="W203" s="353"/>
      <c r="X203" s="353"/>
      <c r="Y203" s="353"/>
      <c r="Z203" s="353"/>
    </row>
    <row r="204" spans="1:26" x14ac:dyDescent="0.3">
      <c r="A204" s="212"/>
      <c r="B204" s="212"/>
      <c r="C204" s="212"/>
      <c r="D204" s="212"/>
      <c r="E204" s="212"/>
      <c r="F204" s="212"/>
      <c r="G204" s="212"/>
      <c r="H204" s="212"/>
      <c r="I204" s="212"/>
      <c r="J204" s="212"/>
      <c r="K204" s="212"/>
      <c r="L204" s="212"/>
      <c r="M204" s="212"/>
      <c r="N204" s="212"/>
      <c r="O204" s="212"/>
      <c r="P204" s="212"/>
      <c r="Q204" s="212"/>
      <c r="R204" s="212"/>
      <c r="S204" s="212"/>
      <c r="T204" s="212"/>
      <c r="U204" s="212"/>
      <c r="V204" s="212"/>
      <c r="W204" s="212"/>
      <c r="X204" s="212"/>
      <c r="Y204" s="212"/>
      <c r="Z204" s="212"/>
    </row>
    <row r="205" spans="1:26" x14ac:dyDescent="0.3">
      <c r="A205" s="212"/>
      <c r="B205" s="212"/>
      <c r="C205" s="212"/>
      <c r="D205" s="212"/>
      <c r="E205" s="212"/>
      <c r="F205" s="212"/>
      <c r="G205" s="212"/>
      <c r="H205" s="212"/>
      <c r="I205" s="212"/>
      <c r="J205" s="212"/>
      <c r="K205" s="212"/>
      <c r="L205" s="212"/>
      <c r="M205" s="212"/>
      <c r="N205" s="212"/>
      <c r="O205" s="212"/>
      <c r="P205" s="212"/>
      <c r="Q205" s="212"/>
      <c r="R205" s="212"/>
      <c r="S205" s="212"/>
      <c r="T205" s="212"/>
      <c r="U205" s="212"/>
      <c r="V205" s="212"/>
      <c r="W205" s="212"/>
      <c r="X205" s="212"/>
      <c r="Y205" s="212"/>
      <c r="Z205" s="212"/>
    </row>
    <row r="206" spans="1:26" x14ac:dyDescent="0.3">
      <c r="A206" s="212"/>
      <c r="B206" s="212"/>
      <c r="C206" s="212"/>
      <c r="D206" s="212"/>
      <c r="E206" s="212"/>
      <c r="F206" s="212"/>
      <c r="G206" s="212"/>
      <c r="H206" s="212"/>
      <c r="I206" s="212"/>
      <c r="J206" s="212"/>
      <c r="K206" s="212"/>
      <c r="L206" s="212"/>
      <c r="M206" s="212"/>
      <c r="N206" s="212"/>
      <c r="O206" s="212"/>
      <c r="P206" s="212"/>
      <c r="Q206" s="212"/>
      <c r="R206" s="212"/>
      <c r="S206" s="212"/>
      <c r="T206" s="212"/>
      <c r="U206" s="212"/>
      <c r="V206" s="212"/>
      <c r="W206" s="212"/>
      <c r="X206" s="212"/>
      <c r="Y206" s="212"/>
      <c r="Z206" s="212"/>
    </row>
    <row r="207" spans="1:26" x14ac:dyDescent="0.3">
      <c r="A207" s="212"/>
      <c r="B207" s="212"/>
      <c r="C207" s="212"/>
      <c r="D207" s="212"/>
      <c r="E207" s="212"/>
      <c r="F207" s="212"/>
      <c r="G207" s="212"/>
      <c r="H207" s="212"/>
      <c r="I207" s="212"/>
      <c r="J207" s="212"/>
      <c r="K207" s="212"/>
      <c r="L207" s="212"/>
      <c r="M207" s="212"/>
      <c r="N207" s="212"/>
      <c r="O207" s="212"/>
      <c r="P207" s="212"/>
      <c r="Q207" s="212"/>
      <c r="R207" s="212"/>
      <c r="S207" s="212"/>
      <c r="T207" s="212"/>
      <c r="U207" s="212"/>
      <c r="V207" s="212"/>
      <c r="W207" s="212"/>
      <c r="X207" s="212"/>
      <c r="Y207" s="212"/>
      <c r="Z207" s="212"/>
    </row>
    <row r="208" spans="1:26" x14ac:dyDescent="0.3">
      <c r="A208" s="212"/>
      <c r="B208" s="212"/>
      <c r="C208" s="212"/>
      <c r="D208" s="212"/>
      <c r="E208" s="212"/>
      <c r="F208" s="212"/>
      <c r="G208" s="212"/>
      <c r="H208" s="212"/>
      <c r="I208" s="212"/>
      <c r="J208" s="212"/>
      <c r="K208" s="212"/>
      <c r="L208" s="212"/>
      <c r="M208" s="212"/>
      <c r="N208" s="212"/>
      <c r="O208" s="212"/>
      <c r="P208" s="212"/>
      <c r="Q208" s="212"/>
      <c r="R208" s="212"/>
      <c r="S208" s="212"/>
      <c r="T208" s="212"/>
      <c r="U208" s="212"/>
      <c r="V208" s="212"/>
      <c r="W208" s="212"/>
      <c r="X208" s="212"/>
      <c r="Y208" s="212"/>
      <c r="Z208" s="212"/>
    </row>
    <row r="209" spans="1:26" x14ac:dyDescent="0.3">
      <c r="A209" s="212"/>
      <c r="B209" s="212"/>
      <c r="C209" s="212"/>
      <c r="D209" s="212"/>
      <c r="E209" s="212"/>
      <c r="F209" s="212"/>
      <c r="G209" s="212"/>
      <c r="H209" s="212"/>
      <c r="I209" s="212"/>
      <c r="J209" s="212"/>
      <c r="K209" s="212"/>
      <c r="L209" s="212"/>
      <c r="M209" s="212"/>
      <c r="N209" s="212"/>
      <c r="O209" s="212"/>
      <c r="P209" s="212"/>
      <c r="Q209" s="212"/>
      <c r="R209" s="212"/>
      <c r="S209" s="212"/>
      <c r="T209" s="212"/>
      <c r="U209" s="212"/>
      <c r="V209" s="212"/>
      <c r="W209" s="212"/>
      <c r="X209" s="212"/>
      <c r="Y209" s="212"/>
      <c r="Z209" s="212"/>
    </row>
    <row r="210" spans="1:26" x14ac:dyDescent="0.3">
      <c r="A210" s="212"/>
      <c r="B210" s="212"/>
      <c r="C210" s="212"/>
      <c r="D210" s="212"/>
      <c r="E210" s="212"/>
      <c r="F210" s="212"/>
      <c r="G210" s="212"/>
      <c r="H210" s="212"/>
      <c r="I210" s="212"/>
      <c r="J210" s="212"/>
      <c r="K210" s="212"/>
      <c r="L210" s="212"/>
      <c r="M210" s="212"/>
      <c r="N210" s="212"/>
      <c r="O210" s="212"/>
      <c r="P210" s="212"/>
      <c r="Q210" s="212"/>
      <c r="R210" s="212"/>
      <c r="S210" s="212"/>
      <c r="T210" s="212"/>
      <c r="U210" s="212"/>
      <c r="V210" s="212"/>
      <c r="W210" s="212"/>
      <c r="X210" s="212"/>
      <c r="Y210" s="212"/>
      <c r="Z210" s="212"/>
    </row>
    <row r="211" spans="1:26" x14ac:dyDescent="0.3">
      <c r="A211" s="212"/>
      <c r="B211" s="212"/>
      <c r="C211" s="212"/>
      <c r="D211" s="212"/>
      <c r="E211" s="212"/>
      <c r="F211" s="212"/>
      <c r="G211" s="212"/>
      <c r="H211" s="212"/>
      <c r="I211" s="212"/>
      <c r="J211" s="212"/>
      <c r="K211" s="212"/>
      <c r="L211" s="212"/>
      <c r="M211" s="212"/>
      <c r="N211" s="212"/>
      <c r="O211" s="212"/>
      <c r="P211" s="212"/>
      <c r="Q211" s="212"/>
      <c r="R211" s="212"/>
      <c r="S211" s="212"/>
      <c r="T211" s="212"/>
      <c r="U211" s="212"/>
      <c r="V211" s="212"/>
      <c r="W211" s="212"/>
      <c r="X211" s="212"/>
      <c r="Y211" s="212"/>
      <c r="Z211" s="212"/>
    </row>
    <row r="212" spans="1:26" x14ac:dyDescent="0.3">
      <c r="A212" s="212"/>
      <c r="B212" s="212"/>
      <c r="C212" s="212"/>
      <c r="D212" s="212"/>
      <c r="E212" s="212"/>
      <c r="F212" s="212"/>
      <c r="G212" s="212"/>
      <c r="H212" s="212"/>
      <c r="I212" s="212"/>
      <c r="J212" s="212"/>
      <c r="K212" s="212"/>
      <c r="L212" s="212"/>
      <c r="M212" s="212"/>
      <c r="N212" s="212"/>
      <c r="O212" s="212"/>
      <c r="P212" s="212"/>
      <c r="Q212" s="212"/>
      <c r="R212" s="212"/>
      <c r="S212" s="212"/>
      <c r="T212" s="212"/>
      <c r="U212" s="212"/>
      <c r="V212" s="212"/>
      <c r="W212" s="212"/>
      <c r="X212" s="212"/>
      <c r="Y212" s="212"/>
      <c r="Z212" s="212"/>
    </row>
    <row r="213" spans="1:26" x14ac:dyDescent="0.3">
      <c r="A213" s="212"/>
      <c r="B213" s="212"/>
      <c r="C213" s="212"/>
      <c r="D213" s="212"/>
      <c r="E213" s="212"/>
      <c r="F213" s="212"/>
      <c r="G213" s="212"/>
      <c r="H213" s="212"/>
      <c r="I213" s="212"/>
      <c r="J213" s="212"/>
      <c r="K213" s="212"/>
      <c r="L213" s="212"/>
      <c r="M213" s="212"/>
      <c r="N213" s="212"/>
      <c r="O213" s="212"/>
      <c r="P213" s="212"/>
      <c r="Q213" s="212"/>
      <c r="R213" s="212"/>
      <c r="S213" s="212"/>
      <c r="T213" s="212"/>
      <c r="U213" s="212"/>
      <c r="V213" s="212"/>
      <c r="W213" s="212"/>
      <c r="X213" s="212"/>
      <c r="Y213" s="212"/>
      <c r="Z213" s="212"/>
    </row>
    <row r="214" spans="1:26" x14ac:dyDescent="0.3">
      <c r="A214" s="212"/>
      <c r="B214" s="212"/>
      <c r="C214" s="212"/>
      <c r="D214" s="212"/>
      <c r="E214" s="212"/>
      <c r="F214" s="212"/>
      <c r="G214" s="212"/>
      <c r="H214" s="212"/>
      <c r="I214" s="212"/>
      <c r="J214" s="212"/>
      <c r="K214" s="212"/>
      <c r="L214" s="212"/>
      <c r="M214" s="212"/>
      <c r="N214" s="212"/>
      <c r="O214" s="212"/>
      <c r="P214" s="212"/>
      <c r="Q214" s="212"/>
      <c r="R214" s="212"/>
      <c r="S214" s="212"/>
      <c r="T214" s="212"/>
      <c r="U214" s="212"/>
      <c r="V214" s="212"/>
      <c r="W214" s="212"/>
      <c r="X214" s="212"/>
      <c r="Y214" s="212"/>
      <c r="Z214" s="212"/>
    </row>
    <row r="215" spans="1:26" x14ac:dyDescent="0.3">
      <c r="A215" s="212"/>
      <c r="B215" s="212"/>
      <c r="C215" s="212"/>
      <c r="D215" s="212"/>
      <c r="E215" s="212"/>
      <c r="F215" s="212"/>
      <c r="G215" s="212"/>
      <c r="H215" s="212"/>
      <c r="I215" s="212"/>
      <c r="J215" s="212"/>
      <c r="K215" s="212"/>
      <c r="L215" s="212"/>
      <c r="M215" s="212"/>
      <c r="N215" s="212"/>
      <c r="O215" s="212"/>
      <c r="P215" s="212"/>
      <c r="Q215" s="212"/>
      <c r="R215" s="212"/>
      <c r="S215" s="212"/>
      <c r="T215" s="212"/>
      <c r="U215" s="212"/>
      <c r="V215" s="212"/>
      <c r="W215" s="212"/>
      <c r="X215" s="212"/>
      <c r="Y215" s="212"/>
      <c r="Z215" s="212"/>
    </row>
    <row r="216" spans="1:26" x14ac:dyDescent="0.3">
      <c r="A216" s="212"/>
      <c r="B216" s="212"/>
      <c r="C216" s="212"/>
      <c r="D216" s="212"/>
      <c r="E216" s="212"/>
      <c r="F216" s="212"/>
      <c r="G216" s="212"/>
      <c r="H216" s="212"/>
      <c r="I216" s="212"/>
      <c r="J216" s="212"/>
      <c r="K216" s="212"/>
      <c r="L216" s="212"/>
      <c r="M216" s="212"/>
      <c r="N216" s="212"/>
      <c r="O216" s="212"/>
      <c r="P216" s="212"/>
      <c r="Q216" s="212"/>
      <c r="R216" s="212"/>
      <c r="S216" s="212"/>
      <c r="T216" s="212"/>
      <c r="U216" s="212"/>
      <c r="V216" s="212"/>
      <c r="W216" s="212"/>
      <c r="X216" s="212"/>
      <c r="Y216" s="212"/>
      <c r="Z216" s="212"/>
    </row>
    <row r="217" spans="1:26" x14ac:dyDescent="0.3">
      <c r="A217" s="212"/>
      <c r="B217" s="212"/>
      <c r="C217" s="212"/>
      <c r="D217" s="212"/>
      <c r="E217" s="212"/>
      <c r="F217" s="212"/>
      <c r="G217" s="212"/>
      <c r="H217" s="212"/>
      <c r="I217" s="212"/>
      <c r="J217" s="212"/>
      <c r="K217" s="212"/>
      <c r="L217" s="212"/>
      <c r="M217" s="212"/>
      <c r="N217" s="212"/>
      <c r="O217" s="212"/>
      <c r="P217" s="212"/>
      <c r="Q217" s="212"/>
      <c r="R217" s="212"/>
      <c r="S217" s="212"/>
      <c r="T217" s="212"/>
      <c r="U217" s="212"/>
      <c r="V217" s="212"/>
      <c r="W217" s="212"/>
      <c r="X217" s="212"/>
      <c r="Y217" s="212"/>
      <c r="Z217" s="212"/>
    </row>
    <row r="218" spans="1:26" x14ac:dyDescent="0.3">
      <c r="A218" s="212"/>
      <c r="B218" s="212"/>
      <c r="C218" s="212"/>
      <c r="D218" s="212"/>
      <c r="E218" s="212"/>
      <c r="F218" s="212"/>
      <c r="G218" s="212"/>
      <c r="H218" s="212"/>
      <c r="I218" s="212"/>
      <c r="J218" s="212"/>
      <c r="K218" s="212"/>
      <c r="L218" s="212"/>
      <c r="M218" s="212"/>
      <c r="N218" s="212"/>
      <c r="O218" s="212"/>
      <c r="P218" s="212"/>
      <c r="Q218" s="212"/>
      <c r="R218" s="212"/>
      <c r="S218" s="212"/>
      <c r="T218" s="212"/>
      <c r="U218" s="212"/>
      <c r="V218" s="212"/>
      <c r="W218" s="212"/>
      <c r="X218" s="212"/>
      <c r="Y218" s="212"/>
      <c r="Z218" s="212"/>
    </row>
    <row r="219" spans="1:26" x14ac:dyDescent="0.3">
      <c r="A219" s="212"/>
      <c r="B219" s="212"/>
      <c r="C219" s="212"/>
      <c r="D219" s="212"/>
      <c r="E219" s="212"/>
      <c r="F219" s="212"/>
      <c r="G219" s="212"/>
      <c r="H219" s="212"/>
      <c r="I219" s="212"/>
      <c r="J219" s="212"/>
      <c r="K219" s="212"/>
      <c r="L219" s="212"/>
      <c r="M219" s="212"/>
      <c r="N219" s="212"/>
      <c r="O219" s="212"/>
      <c r="P219" s="212"/>
      <c r="Q219" s="212"/>
      <c r="R219" s="212"/>
      <c r="S219" s="212"/>
      <c r="T219" s="212"/>
      <c r="U219" s="212"/>
      <c r="V219" s="212"/>
      <c r="W219" s="212"/>
      <c r="X219" s="212"/>
      <c r="Y219" s="212"/>
      <c r="Z219" s="212"/>
    </row>
    <row r="220" spans="1:26" x14ac:dyDescent="0.3">
      <c r="A220" s="212"/>
      <c r="B220" s="212"/>
      <c r="C220" s="212"/>
      <c r="D220" s="212"/>
      <c r="E220" s="212"/>
      <c r="F220" s="212"/>
      <c r="G220" s="212"/>
      <c r="H220" s="212"/>
      <c r="I220" s="212"/>
      <c r="J220" s="212"/>
      <c r="K220" s="212"/>
      <c r="L220" s="212"/>
      <c r="M220" s="212"/>
      <c r="N220" s="212"/>
      <c r="O220" s="212"/>
      <c r="P220" s="212"/>
      <c r="Q220" s="212"/>
      <c r="R220" s="212"/>
      <c r="S220" s="212"/>
      <c r="T220" s="212"/>
      <c r="U220" s="212"/>
      <c r="V220" s="212"/>
      <c r="W220" s="212"/>
      <c r="X220" s="212"/>
      <c r="Y220" s="212"/>
      <c r="Z220" s="212"/>
    </row>
    <row r="221" spans="1:26" x14ac:dyDescent="0.3">
      <c r="A221" s="212"/>
      <c r="B221" s="212"/>
      <c r="C221" s="212"/>
      <c r="D221" s="212"/>
      <c r="E221" s="212"/>
      <c r="F221" s="212"/>
      <c r="G221" s="212"/>
      <c r="H221" s="212"/>
      <c r="I221" s="212"/>
      <c r="J221" s="212"/>
      <c r="K221" s="212"/>
      <c r="L221" s="212"/>
      <c r="M221" s="212"/>
      <c r="N221" s="212"/>
      <c r="O221" s="212"/>
      <c r="P221" s="212"/>
      <c r="Q221" s="212"/>
      <c r="R221" s="212"/>
      <c r="S221" s="212"/>
      <c r="T221" s="212"/>
      <c r="U221" s="212"/>
      <c r="V221" s="212"/>
      <c r="W221" s="212"/>
      <c r="X221" s="212"/>
      <c r="Y221" s="212"/>
      <c r="Z221" s="212"/>
    </row>
    <row r="222" spans="1:26" x14ac:dyDescent="0.3">
      <c r="A222" s="212"/>
      <c r="B222" s="212"/>
      <c r="C222" s="212"/>
      <c r="D222" s="212"/>
      <c r="E222" s="212"/>
      <c r="F222" s="212"/>
      <c r="G222" s="212"/>
      <c r="H222" s="212"/>
      <c r="I222" s="212"/>
      <c r="J222" s="212"/>
      <c r="K222" s="212"/>
      <c r="L222" s="212"/>
      <c r="M222" s="212"/>
      <c r="N222" s="212"/>
      <c r="O222" s="212"/>
      <c r="P222" s="212"/>
      <c r="Q222" s="212"/>
      <c r="R222" s="212"/>
      <c r="S222" s="212"/>
      <c r="T222" s="212"/>
      <c r="U222" s="212"/>
      <c r="V222" s="212"/>
      <c r="W222" s="212"/>
      <c r="X222" s="212"/>
      <c r="Y222" s="212"/>
      <c r="Z222" s="212"/>
    </row>
    <row r="223" spans="1:26" x14ac:dyDescent="0.3">
      <c r="A223" s="212"/>
      <c r="B223" s="212"/>
      <c r="C223" s="212"/>
      <c r="D223" s="212"/>
      <c r="E223" s="212"/>
      <c r="F223" s="212"/>
      <c r="G223" s="212"/>
      <c r="H223" s="212"/>
      <c r="I223" s="212"/>
      <c r="J223" s="212"/>
      <c r="K223" s="212"/>
      <c r="L223" s="212"/>
      <c r="M223" s="212"/>
      <c r="N223" s="212"/>
      <c r="O223" s="212"/>
      <c r="P223" s="212"/>
      <c r="Q223" s="212"/>
      <c r="R223" s="212"/>
      <c r="S223" s="212"/>
      <c r="T223" s="212"/>
      <c r="U223" s="212"/>
      <c r="V223" s="212"/>
      <c r="W223" s="212"/>
      <c r="X223" s="212"/>
      <c r="Y223" s="212"/>
      <c r="Z223" s="212"/>
    </row>
    <row r="224" spans="1:26" x14ac:dyDescent="0.3">
      <c r="A224" s="212"/>
      <c r="B224" s="212"/>
      <c r="C224" s="212"/>
      <c r="D224" s="212"/>
      <c r="E224" s="212"/>
      <c r="F224" s="212"/>
      <c r="G224" s="212"/>
      <c r="H224" s="212"/>
      <c r="I224" s="212"/>
      <c r="J224" s="212"/>
      <c r="K224" s="212"/>
      <c r="L224" s="212"/>
      <c r="M224" s="212"/>
      <c r="N224" s="212"/>
      <c r="O224" s="212"/>
      <c r="P224" s="212"/>
      <c r="Q224" s="212"/>
      <c r="R224" s="212"/>
      <c r="S224" s="212"/>
      <c r="T224" s="212"/>
      <c r="U224" s="212"/>
      <c r="V224" s="212"/>
      <c r="W224" s="212"/>
      <c r="X224" s="212"/>
      <c r="Y224" s="212"/>
      <c r="Z224" s="212"/>
    </row>
    <row r="225" spans="1:26" x14ac:dyDescent="0.3">
      <c r="A225" s="212"/>
      <c r="B225" s="212"/>
      <c r="C225" s="212"/>
      <c r="D225" s="212"/>
      <c r="E225" s="212"/>
      <c r="F225" s="212"/>
      <c r="G225" s="212"/>
      <c r="H225" s="212"/>
      <c r="I225" s="212"/>
      <c r="J225" s="212"/>
      <c r="K225" s="212"/>
      <c r="L225" s="212"/>
      <c r="M225" s="212"/>
      <c r="N225" s="212"/>
      <c r="O225" s="212"/>
      <c r="P225" s="212"/>
      <c r="Q225" s="212"/>
      <c r="R225" s="212"/>
      <c r="S225" s="212"/>
      <c r="T225" s="212"/>
      <c r="U225" s="212"/>
      <c r="V225" s="212"/>
      <c r="W225" s="212"/>
      <c r="X225" s="212"/>
      <c r="Y225" s="212"/>
      <c r="Z225" s="212"/>
    </row>
    <row r="226" spans="1:26" x14ac:dyDescent="0.3">
      <c r="A226" s="212"/>
      <c r="B226" s="212"/>
      <c r="C226" s="212"/>
      <c r="D226" s="212"/>
      <c r="E226" s="212"/>
      <c r="F226" s="212"/>
      <c r="G226" s="212"/>
      <c r="H226" s="212"/>
      <c r="I226" s="212"/>
      <c r="J226" s="212"/>
      <c r="K226" s="212"/>
      <c r="L226" s="212"/>
      <c r="M226" s="212"/>
      <c r="N226" s="212"/>
      <c r="O226" s="212"/>
      <c r="P226" s="212"/>
      <c r="Q226" s="212"/>
      <c r="R226" s="212"/>
      <c r="S226" s="212"/>
      <c r="T226" s="212"/>
      <c r="U226" s="212"/>
      <c r="V226" s="212"/>
      <c r="W226" s="212"/>
      <c r="X226" s="212"/>
      <c r="Y226" s="212"/>
      <c r="Z226" s="212"/>
    </row>
    <row r="227" spans="1:26" x14ac:dyDescent="0.3">
      <c r="A227" s="212"/>
      <c r="B227" s="212"/>
      <c r="C227" s="212"/>
      <c r="D227" s="212"/>
      <c r="E227" s="212"/>
      <c r="F227" s="212"/>
      <c r="G227" s="212"/>
      <c r="H227" s="212"/>
      <c r="I227" s="212"/>
      <c r="J227" s="212"/>
      <c r="K227" s="212"/>
      <c r="L227" s="212"/>
      <c r="M227" s="212"/>
      <c r="N227" s="212"/>
      <c r="O227" s="212"/>
      <c r="P227" s="212"/>
      <c r="Q227" s="212"/>
      <c r="R227" s="212"/>
      <c r="S227" s="212"/>
      <c r="T227" s="212"/>
      <c r="U227" s="212"/>
      <c r="V227" s="212"/>
      <c r="W227" s="212"/>
      <c r="X227" s="212"/>
      <c r="Y227" s="212"/>
      <c r="Z227" s="212"/>
    </row>
    <row r="228" spans="1:26" x14ac:dyDescent="0.3">
      <c r="A228" s="212"/>
      <c r="B228" s="212"/>
      <c r="C228" s="212"/>
      <c r="D228" s="212"/>
      <c r="E228" s="212"/>
      <c r="F228" s="212"/>
      <c r="G228" s="212"/>
      <c r="H228" s="212"/>
      <c r="I228" s="212"/>
      <c r="J228" s="212"/>
      <c r="K228" s="212"/>
      <c r="L228" s="212"/>
      <c r="M228" s="212"/>
      <c r="N228" s="212"/>
      <c r="O228" s="212"/>
      <c r="P228" s="212"/>
      <c r="Q228" s="212"/>
      <c r="R228" s="212"/>
      <c r="S228" s="212"/>
      <c r="T228" s="212"/>
      <c r="U228" s="212"/>
      <c r="V228" s="212"/>
      <c r="W228" s="212"/>
      <c r="X228" s="212"/>
      <c r="Y228" s="212"/>
      <c r="Z228" s="212"/>
    </row>
  </sheetData>
  <mergeCells count="101">
    <mergeCell ref="W40:W43"/>
    <mergeCell ref="D41:I41"/>
    <mergeCell ref="D42:I42"/>
    <mergeCell ref="I76:I77"/>
    <mergeCell ref="J76:J77"/>
    <mergeCell ref="C78:F79"/>
    <mergeCell ref="G78:G79"/>
    <mergeCell ref="H78:H79"/>
    <mergeCell ref="I78:I79"/>
    <mergeCell ref="J78:J79"/>
    <mergeCell ref="E117:G117"/>
    <mergeCell ref="A30:B30"/>
    <mergeCell ref="A31:B31"/>
    <mergeCell ref="D30:I30"/>
    <mergeCell ref="A35:O35"/>
    <mergeCell ref="A36:B36"/>
    <mergeCell ref="A37:B37"/>
    <mergeCell ref="A38:B38"/>
    <mergeCell ref="A39:B39"/>
    <mergeCell ref="A40:B40"/>
    <mergeCell ref="A41:B41"/>
    <mergeCell ref="A42:B42"/>
    <mergeCell ref="A43:B43"/>
    <mergeCell ref="M70:AP72"/>
    <mergeCell ref="G76:G77"/>
    <mergeCell ref="H76:H77"/>
    <mergeCell ref="W30:W31"/>
    <mergeCell ref="W33:W34"/>
    <mergeCell ref="D34:I34"/>
    <mergeCell ref="N75:Q75"/>
    <mergeCell ref="E83:G83"/>
    <mergeCell ref="W36:W39"/>
    <mergeCell ref="D37:I37"/>
    <mergeCell ref="D38:I38"/>
    <mergeCell ref="E99:G99"/>
    <mergeCell ref="C27:E27"/>
    <mergeCell ref="B76:B77"/>
    <mergeCell ref="C76:F77"/>
    <mergeCell ref="C75:F75"/>
    <mergeCell ref="D56:H56"/>
    <mergeCell ref="E68:G68"/>
    <mergeCell ref="D36:I36"/>
    <mergeCell ref="A46:L48"/>
    <mergeCell ref="B78:B79"/>
    <mergeCell ref="J99:J100"/>
    <mergeCell ref="D43:I43"/>
    <mergeCell ref="D39:I39"/>
    <mergeCell ref="D40:I40"/>
    <mergeCell ref="D23:I23"/>
    <mergeCell ref="D22:I22"/>
    <mergeCell ref="D20:I20"/>
    <mergeCell ref="D21:I21"/>
    <mergeCell ref="A70:L72"/>
    <mergeCell ref="D31:I31"/>
    <mergeCell ref="A32:L32"/>
    <mergeCell ref="A33:B34"/>
    <mergeCell ref="D33:I33"/>
    <mergeCell ref="W14:W17"/>
    <mergeCell ref="W18:W22"/>
    <mergeCell ref="D18:I18"/>
    <mergeCell ref="D19:I19"/>
    <mergeCell ref="D16:I16"/>
    <mergeCell ref="D17:I17"/>
    <mergeCell ref="D14:I14"/>
    <mergeCell ref="D15:I15"/>
    <mergeCell ref="J4:K4"/>
    <mergeCell ref="P1:P5"/>
    <mergeCell ref="Q1:Q5"/>
    <mergeCell ref="R1:R5"/>
    <mergeCell ref="M1:M5"/>
    <mergeCell ref="N1:N5"/>
    <mergeCell ref="W7:W8"/>
    <mergeCell ref="W10:W11"/>
    <mergeCell ref="V1:V5"/>
    <mergeCell ref="W1:W5"/>
    <mergeCell ref="D11:I11"/>
    <mergeCell ref="D13:I13"/>
    <mergeCell ref="AU38:AW38"/>
    <mergeCell ref="A1:C1"/>
    <mergeCell ref="C4:C5"/>
    <mergeCell ref="D4:I5"/>
    <mergeCell ref="A3:C3"/>
    <mergeCell ref="E2:F2"/>
    <mergeCell ref="E3:F3"/>
    <mergeCell ref="A4:B5"/>
    <mergeCell ref="A2:C2"/>
    <mergeCell ref="T1:T5"/>
    <mergeCell ref="U1:U5"/>
    <mergeCell ref="A6:L6"/>
    <mergeCell ref="D8:I8"/>
    <mergeCell ref="A9:L9"/>
    <mergeCell ref="A12:L12"/>
    <mergeCell ref="A14:B22"/>
    <mergeCell ref="A7:B8"/>
    <mergeCell ref="A10:B11"/>
    <mergeCell ref="X1:X5"/>
    <mergeCell ref="D7:I7"/>
    <mergeCell ref="D10:I10"/>
    <mergeCell ref="O1:O5"/>
    <mergeCell ref="S1:S5"/>
    <mergeCell ref="L4:L5"/>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C2:AK64"/>
  <sheetViews>
    <sheetView zoomScale="44" zoomScaleNormal="70" workbookViewId="0">
      <selection activeCell="AD56" sqref="AD56:AD59"/>
    </sheetView>
  </sheetViews>
  <sheetFormatPr defaultRowHeight="14.4" x14ac:dyDescent="0.3"/>
  <cols>
    <col min="20" max="20" width="11.6640625" customWidth="1"/>
    <col min="24" max="24" width="10.88671875" customWidth="1"/>
    <col min="25" max="25" width="15" customWidth="1"/>
    <col min="26" max="26" width="9.6640625" customWidth="1"/>
    <col min="29" max="29" width="12.33203125" customWidth="1"/>
    <col min="30" max="30" width="10.44140625" customWidth="1"/>
    <col min="31" max="31" width="15.88671875" customWidth="1"/>
    <col min="34" max="34" width="11.109375" customWidth="1"/>
    <col min="35" max="35" width="10.6640625" customWidth="1"/>
    <col min="36" max="36" width="11.6640625" customWidth="1"/>
    <col min="37" max="37" width="13.6640625" customWidth="1"/>
  </cols>
  <sheetData>
    <row r="2" spans="4:37" ht="16.5" customHeight="1" thickBot="1" x14ac:dyDescent="0.35">
      <c r="D2" s="6" t="s">
        <v>223</v>
      </c>
      <c r="E2" s="590" t="s">
        <v>149</v>
      </c>
      <c r="F2" s="590"/>
      <c r="G2" s="590"/>
      <c r="H2" s="590"/>
      <c r="I2" s="590"/>
      <c r="J2" s="590"/>
      <c r="K2" s="590"/>
      <c r="L2" s="590"/>
      <c r="M2" s="590"/>
      <c r="N2" s="6" t="s">
        <v>271</v>
      </c>
      <c r="O2" s="6" t="s">
        <v>272</v>
      </c>
      <c r="Q2" s="6" t="s">
        <v>223</v>
      </c>
      <c r="R2" s="6" t="s">
        <v>273</v>
      </c>
      <c r="S2" s="6" t="s">
        <v>274</v>
      </c>
      <c r="T2" s="6" t="s">
        <v>275</v>
      </c>
      <c r="V2" s="6" t="s">
        <v>223</v>
      </c>
      <c r="W2" s="6" t="s">
        <v>273</v>
      </c>
      <c r="X2" s="6" t="s">
        <v>274</v>
      </c>
      <c r="Y2" s="6" t="s">
        <v>275</v>
      </c>
      <c r="AA2" s="258" t="s">
        <v>223</v>
      </c>
      <c r="AB2" s="258" t="s">
        <v>273</v>
      </c>
      <c r="AC2" s="258" t="s">
        <v>276</v>
      </c>
      <c r="AD2" s="258" t="s">
        <v>277</v>
      </c>
      <c r="AE2" s="258" t="s">
        <v>278</v>
      </c>
      <c r="AG2" s="258" t="s">
        <v>223</v>
      </c>
      <c r="AH2" s="258" t="s">
        <v>273</v>
      </c>
      <c r="AI2" s="258" t="s">
        <v>276</v>
      </c>
      <c r="AJ2" s="258" t="s">
        <v>277</v>
      </c>
      <c r="AK2" s="258" t="s">
        <v>278</v>
      </c>
    </row>
    <row r="3" spans="4:37" ht="40.200000000000003" customHeight="1" x14ac:dyDescent="0.3">
      <c r="D3" s="7" t="s">
        <v>279</v>
      </c>
      <c r="E3" s="592" t="s">
        <v>280</v>
      </c>
      <c r="F3" s="592"/>
      <c r="G3" s="592"/>
      <c r="H3" s="592"/>
      <c r="I3" s="592"/>
      <c r="J3" s="592"/>
      <c r="K3" s="592"/>
      <c r="L3" s="592"/>
      <c r="M3" s="592"/>
      <c r="N3" s="7" t="s">
        <v>281</v>
      </c>
      <c r="O3" s="12">
        <v>0.4</v>
      </c>
      <c r="Q3" s="30" t="str">
        <f t="shared" ref="Q3:Q11" si="0">D3</f>
        <v>A</v>
      </c>
      <c r="R3" s="31">
        <f>O3</f>
        <v>0.4</v>
      </c>
      <c r="S3" s="31">
        <f>SUM(O3:O15)</f>
        <v>6.5000000000000009</v>
      </c>
      <c r="T3" s="199" t="s">
        <v>282</v>
      </c>
      <c r="V3" s="30" t="str">
        <f>D3</f>
        <v>A</v>
      </c>
      <c r="W3" s="31">
        <f>O3</f>
        <v>0.4</v>
      </c>
      <c r="X3" s="31">
        <f>SUM(O3:O15)</f>
        <v>6.5000000000000009</v>
      </c>
      <c r="Y3" s="199" t="s">
        <v>282</v>
      </c>
      <c r="AA3" s="226" t="s">
        <v>279</v>
      </c>
      <c r="AB3" s="227">
        <f t="shared" ref="AB3:AB15" si="1">W3</f>
        <v>0.4</v>
      </c>
      <c r="AC3" s="228">
        <v>1.6</v>
      </c>
      <c r="AD3" s="229" t="s">
        <v>283</v>
      </c>
      <c r="AE3" s="230">
        <v>1</v>
      </c>
      <c r="AG3" s="267" t="s">
        <v>279</v>
      </c>
      <c r="AH3" s="268">
        <f>AB3</f>
        <v>0.4</v>
      </c>
      <c r="AI3" s="269">
        <v>1.6</v>
      </c>
      <c r="AJ3" s="270" t="s">
        <v>283</v>
      </c>
      <c r="AK3" s="291">
        <v>1</v>
      </c>
    </row>
    <row r="4" spans="4:37" ht="34.200000000000003" customHeight="1" x14ac:dyDescent="0.3">
      <c r="D4" s="7" t="s">
        <v>284</v>
      </c>
      <c r="E4" s="592" t="s">
        <v>285</v>
      </c>
      <c r="F4" s="592"/>
      <c r="G4" s="592"/>
      <c r="H4" s="592"/>
      <c r="I4" s="592"/>
      <c r="J4" s="592"/>
      <c r="K4" s="592"/>
      <c r="L4" s="592"/>
      <c r="M4" s="592"/>
      <c r="N4" s="7" t="s">
        <v>279</v>
      </c>
      <c r="O4" s="12">
        <v>0.3</v>
      </c>
      <c r="Q4" s="30" t="str">
        <f t="shared" si="0"/>
        <v>B</v>
      </c>
      <c r="R4" s="31">
        <v>0.3</v>
      </c>
      <c r="S4" s="31">
        <f>O4+O8+O15</f>
        <v>1.2999999999999998</v>
      </c>
      <c r="T4" s="40" t="s">
        <v>286</v>
      </c>
      <c r="V4" s="30" t="s">
        <v>287</v>
      </c>
      <c r="W4" s="31">
        <v>0.6</v>
      </c>
      <c r="X4" s="218">
        <f>W10+O11+O12+O13+O14+O15</f>
        <v>3</v>
      </c>
      <c r="Y4" s="40" t="s">
        <v>288</v>
      </c>
      <c r="AA4" s="180" t="s">
        <v>287</v>
      </c>
      <c r="AB4" s="31">
        <f t="shared" si="1"/>
        <v>0.6</v>
      </c>
      <c r="AC4" s="30">
        <v>1</v>
      </c>
      <c r="AD4" s="199" t="s">
        <v>289</v>
      </c>
      <c r="AE4" s="231">
        <v>1</v>
      </c>
      <c r="AG4" s="271" t="s">
        <v>287</v>
      </c>
      <c r="AH4" s="31">
        <f t="shared" ref="AH4:AH10" si="2">AB4</f>
        <v>0.6</v>
      </c>
      <c r="AI4" s="261">
        <v>1</v>
      </c>
      <c r="AJ4" s="199" t="s">
        <v>289</v>
      </c>
      <c r="AK4" s="292">
        <v>1</v>
      </c>
    </row>
    <row r="5" spans="4:37" ht="36" customHeight="1" x14ac:dyDescent="0.3">
      <c r="D5" s="7" t="s">
        <v>290</v>
      </c>
      <c r="E5" s="592" t="s">
        <v>291</v>
      </c>
      <c r="F5" s="592"/>
      <c r="G5" s="592"/>
      <c r="H5" s="592"/>
      <c r="I5" s="592"/>
      <c r="J5" s="592"/>
      <c r="K5" s="592"/>
      <c r="L5" s="592"/>
      <c r="M5" s="592"/>
      <c r="N5" s="7" t="s">
        <v>279</v>
      </c>
      <c r="O5" s="12">
        <v>0.4</v>
      </c>
      <c r="Q5" s="30" t="str">
        <f t="shared" si="0"/>
        <v>C</v>
      </c>
      <c r="R5" s="31">
        <f t="shared" ref="R5:R11" si="3">O5</f>
        <v>0.4</v>
      </c>
      <c r="S5" s="43">
        <f>R5+O6+O7+O8+O15</f>
        <v>2.2999999999999998</v>
      </c>
      <c r="T5" s="40" t="s">
        <v>292</v>
      </c>
      <c r="V5" s="30" t="s">
        <v>293</v>
      </c>
      <c r="W5" s="31">
        <f t="shared" ref="W5:W15" si="4">O5</f>
        <v>0.4</v>
      </c>
      <c r="X5" s="31">
        <f>W11+O12+O13+O14+O15</f>
        <v>2.4</v>
      </c>
      <c r="Y5" s="40" t="s">
        <v>294</v>
      </c>
      <c r="AA5" s="180" t="s">
        <v>293</v>
      </c>
      <c r="AB5" s="31">
        <f t="shared" si="1"/>
        <v>0.4</v>
      </c>
      <c r="AC5" s="30">
        <v>0.6</v>
      </c>
      <c r="AD5" s="199" t="s">
        <v>295</v>
      </c>
      <c r="AE5" s="231">
        <v>1</v>
      </c>
      <c r="AG5" s="271" t="s">
        <v>293</v>
      </c>
      <c r="AH5" s="31">
        <f t="shared" si="2"/>
        <v>0.4</v>
      </c>
      <c r="AI5" s="261">
        <v>0.6</v>
      </c>
      <c r="AJ5" s="199" t="s">
        <v>295</v>
      </c>
      <c r="AK5" s="292">
        <v>1</v>
      </c>
    </row>
    <row r="6" spans="4:37" ht="33" customHeight="1" thickBot="1" x14ac:dyDescent="0.35">
      <c r="D6" s="7" t="s">
        <v>296</v>
      </c>
      <c r="E6" s="592" t="s">
        <v>297</v>
      </c>
      <c r="F6" s="592"/>
      <c r="G6" s="592"/>
      <c r="H6" s="592"/>
      <c r="I6" s="592"/>
      <c r="J6" s="592"/>
      <c r="K6" s="592"/>
      <c r="L6" s="592"/>
      <c r="M6" s="592"/>
      <c r="N6" s="7" t="s">
        <v>290</v>
      </c>
      <c r="O6" s="12">
        <v>0.4</v>
      </c>
      <c r="Q6" s="31" t="str">
        <f t="shared" si="0"/>
        <v>D</v>
      </c>
      <c r="R6" s="31">
        <f t="shared" si="3"/>
        <v>0.4</v>
      </c>
      <c r="S6" s="31">
        <f>R6+O7+O8+O15</f>
        <v>1.9</v>
      </c>
      <c r="T6" s="40" t="s">
        <v>298</v>
      </c>
      <c r="V6" s="30" t="s">
        <v>290</v>
      </c>
      <c r="W6" s="31">
        <f t="shared" si="4"/>
        <v>0.4</v>
      </c>
      <c r="X6" s="43">
        <f>W5+O6+O7+O8+O15</f>
        <v>2.2999999999999998</v>
      </c>
      <c r="Y6" s="40" t="s">
        <v>292</v>
      </c>
      <c r="AA6" s="241" t="s">
        <v>290</v>
      </c>
      <c r="AB6" s="219">
        <f t="shared" si="1"/>
        <v>0.4</v>
      </c>
      <c r="AC6" s="220">
        <v>0.2</v>
      </c>
      <c r="AD6" s="221" t="s">
        <v>299</v>
      </c>
      <c r="AE6" s="242">
        <v>1</v>
      </c>
      <c r="AG6" s="279" t="s">
        <v>284</v>
      </c>
      <c r="AH6" s="219">
        <f>AB11</f>
        <v>0.3</v>
      </c>
      <c r="AI6" s="280">
        <v>0.3</v>
      </c>
      <c r="AJ6" s="281" t="s">
        <v>300</v>
      </c>
      <c r="AK6" s="293">
        <v>1</v>
      </c>
    </row>
    <row r="7" spans="4:37" ht="30" customHeight="1" x14ac:dyDescent="0.3">
      <c r="D7" s="7" t="s">
        <v>260</v>
      </c>
      <c r="E7" s="592" t="s">
        <v>301</v>
      </c>
      <c r="F7" s="592"/>
      <c r="G7" s="592"/>
      <c r="H7" s="592"/>
      <c r="I7" s="592"/>
      <c r="J7" s="592"/>
      <c r="K7" s="592"/>
      <c r="L7" s="592"/>
      <c r="M7" s="592"/>
      <c r="N7" s="7" t="s">
        <v>296</v>
      </c>
      <c r="O7" s="12">
        <v>0.5</v>
      </c>
      <c r="Q7" s="30" t="str">
        <f t="shared" si="0"/>
        <v>E</v>
      </c>
      <c r="R7" s="31">
        <f t="shared" si="3"/>
        <v>0.5</v>
      </c>
      <c r="S7" s="31">
        <f>R7+O8+O15</f>
        <v>1.5</v>
      </c>
      <c r="T7" s="40" t="s">
        <v>302</v>
      </c>
      <c r="V7" s="30" t="s">
        <v>296</v>
      </c>
      <c r="W7" s="31">
        <v>0.4</v>
      </c>
      <c r="X7" s="31">
        <f>W6+O7+O8+O15</f>
        <v>1.9</v>
      </c>
      <c r="Y7" s="40" t="s">
        <v>298</v>
      </c>
      <c r="AA7" s="234" t="s">
        <v>296</v>
      </c>
      <c r="AB7" s="235">
        <f t="shared" si="1"/>
        <v>0.4</v>
      </c>
      <c r="AC7" s="236">
        <v>1.6</v>
      </c>
      <c r="AD7" s="237" t="s">
        <v>303</v>
      </c>
      <c r="AE7" s="238">
        <v>2</v>
      </c>
      <c r="AG7" s="277" t="s">
        <v>290</v>
      </c>
      <c r="AH7" s="268">
        <f>AB6</f>
        <v>0.4</v>
      </c>
      <c r="AI7" s="278">
        <v>1.6</v>
      </c>
      <c r="AJ7" s="270" t="s">
        <v>299</v>
      </c>
      <c r="AK7" s="291">
        <v>2</v>
      </c>
    </row>
    <row r="8" spans="4:37" ht="34.200000000000003" customHeight="1" x14ac:dyDescent="0.3">
      <c r="D8" s="7" t="s">
        <v>304</v>
      </c>
      <c r="E8" s="592" t="s">
        <v>305</v>
      </c>
      <c r="F8" s="592"/>
      <c r="G8" s="592"/>
      <c r="H8" s="592"/>
      <c r="I8" s="592"/>
      <c r="J8" s="592"/>
      <c r="K8" s="592"/>
      <c r="L8" s="592"/>
      <c r="M8" s="592"/>
      <c r="N8" s="7" t="s">
        <v>306</v>
      </c>
      <c r="O8" s="12">
        <v>0.6</v>
      </c>
      <c r="Q8" s="30" t="str">
        <f t="shared" si="0"/>
        <v>F</v>
      </c>
      <c r="R8" s="31">
        <f t="shared" si="3"/>
        <v>0.6</v>
      </c>
      <c r="S8" s="31">
        <f>R8+O15</f>
        <v>1</v>
      </c>
      <c r="T8" s="40" t="s">
        <v>307</v>
      </c>
      <c r="V8" s="30" t="s">
        <v>308</v>
      </c>
      <c r="W8" s="31">
        <v>0.8</v>
      </c>
      <c r="X8" s="31">
        <f>W12+O13+O15</f>
        <v>1.5</v>
      </c>
      <c r="Y8" s="40" t="s">
        <v>309</v>
      </c>
      <c r="AA8" s="239" t="s">
        <v>308</v>
      </c>
      <c r="AB8" s="223">
        <f t="shared" si="1"/>
        <v>0.8</v>
      </c>
      <c r="AC8" s="200">
        <v>0.8</v>
      </c>
      <c r="AD8" s="224" t="s">
        <v>310</v>
      </c>
      <c r="AE8" s="240">
        <v>2</v>
      </c>
      <c r="AG8" s="282" t="s">
        <v>296</v>
      </c>
      <c r="AH8" s="223">
        <f>AB7</f>
        <v>0.4</v>
      </c>
      <c r="AI8" s="265">
        <v>1.2</v>
      </c>
      <c r="AJ8" s="266" t="s">
        <v>303</v>
      </c>
      <c r="AK8" s="294">
        <v>2</v>
      </c>
    </row>
    <row r="9" spans="4:37" ht="34.950000000000003" customHeight="1" thickBot="1" x14ac:dyDescent="0.35">
      <c r="D9" s="7" t="s">
        <v>311</v>
      </c>
      <c r="E9" s="592" t="s">
        <v>312</v>
      </c>
      <c r="F9" s="592"/>
      <c r="G9" s="592"/>
      <c r="H9" s="592"/>
      <c r="I9" s="592"/>
      <c r="J9" s="592"/>
      <c r="K9" s="592"/>
      <c r="L9" s="592"/>
      <c r="M9" s="592"/>
      <c r="N9" s="7" t="s">
        <v>279</v>
      </c>
      <c r="O9" s="12">
        <v>0.8</v>
      </c>
      <c r="Q9" s="30" t="str">
        <f t="shared" si="0"/>
        <v>G</v>
      </c>
      <c r="R9" s="31">
        <f t="shared" si="3"/>
        <v>0.8</v>
      </c>
      <c r="S9" s="31">
        <f>R9+O14+O15</f>
        <v>1.6</v>
      </c>
      <c r="T9" s="40" t="s">
        <v>313</v>
      </c>
      <c r="V9" s="30" t="s">
        <v>311</v>
      </c>
      <c r="W9" s="31">
        <f t="shared" si="4"/>
        <v>0.8</v>
      </c>
      <c r="X9" s="31">
        <f>W9+O14+O15</f>
        <v>1.6</v>
      </c>
      <c r="Y9" s="40" t="s">
        <v>313</v>
      </c>
      <c r="AA9" s="241" t="s">
        <v>311</v>
      </c>
      <c r="AB9" s="219">
        <f>W9</f>
        <v>0.8</v>
      </c>
      <c r="AC9" s="220" t="s">
        <v>314</v>
      </c>
      <c r="AD9" s="221" t="s">
        <v>315</v>
      </c>
      <c r="AE9" s="242">
        <v>2</v>
      </c>
      <c r="AG9" s="283" t="s">
        <v>308</v>
      </c>
      <c r="AH9" s="202">
        <f>AB8</f>
        <v>0.8</v>
      </c>
      <c r="AI9" s="284">
        <v>0.6</v>
      </c>
      <c r="AJ9" s="285" t="s">
        <v>310</v>
      </c>
      <c r="AK9" s="295">
        <v>2</v>
      </c>
    </row>
    <row r="10" spans="4:37" ht="31.2" customHeight="1" x14ac:dyDescent="0.3">
      <c r="D10" s="7" t="s">
        <v>287</v>
      </c>
      <c r="E10" s="592" t="s">
        <v>316</v>
      </c>
      <c r="F10" s="592"/>
      <c r="G10" s="592"/>
      <c r="H10" s="592"/>
      <c r="I10" s="592"/>
      <c r="J10" s="592"/>
      <c r="K10" s="592"/>
      <c r="L10" s="592"/>
      <c r="M10" s="592"/>
      <c r="N10" s="7" t="s">
        <v>279</v>
      </c>
      <c r="O10" s="12">
        <v>0.6</v>
      </c>
      <c r="Q10" s="30" t="str">
        <f t="shared" si="0"/>
        <v>H</v>
      </c>
      <c r="R10" s="31">
        <f t="shared" si="3"/>
        <v>0.6</v>
      </c>
      <c r="S10" s="31">
        <f>R10+O11+O12+O13+O14+O15</f>
        <v>3.0999999999999996</v>
      </c>
      <c r="T10" s="40" t="s">
        <v>288</v>
      </c>
      <c r="V10" s="30" t="s">
        <v>260</v>
      </c>
      <c r="W10" s="31">
        <v>0.5</v>
      </c>
      <c r="X10" s="31">
        <f>W7+O8+O15</f>
        <v>1.4</v>
      </c>
      <c r="Y10" s="40" t="s">
        <v>286</v>
      </c>
      <c r="AA10" s="234" t="s">
        <v>260</v>
      </c>
      <c r="AB10" s="235">
        <f t="shared" si="1"/>
        <v>0.5</v>
      </c>
      <c r="AC10" s="236">
        <v>1.5</v>
      </c>
      <c r="AD10" s="244" t="s">
        <v>317</v>
      </c>
      <c r="AE10" s="238">
        <v>2</v>
      </c>
      <c r="AG10" s="272" t="s">
        <v>260</v>
      </c>
      <c r="AH10" s="268">
        <f t="shared" si="2"/>
        <v>0.5</v>
      </c>
      <c r="AI10" s="273">
        <v>1.5</v>
      </c>
      <c r="AJ10" s="274" t="s">
        <v>317</v>
      </c>
      <c r="AK10" s="296">
        <v>3</v>
      </c>
    </row>
    <row r="11" spans="4:37" ht="25.2" customHeight="1" x14ac:dyDescent="0.3">
      <c r="D11" s="7" t="s">
        <v>293</v>
      </c>
      <c r="E11" s="592" t="s">
        <v>318</v>
      </c>
      <c r="F11" s="592"/>
      <c r="G11" s="592"/>
      <c r="H11" s="592"/>
      <c r="I11" s="592"/>
      <c r="J11" s="592"/>
      <c r="K11" s="592"/>
      <c r="L11" s="592"/>
      <c r="M11" s="592"/>
      <c r="N11" s="7" t="s">
        <v>287</v>
      </c>
      <c r="O11" s="12">
        <v>0.4</v>
      </c>
      <c r="Q11" s="30" t="str">
        <f t="shared" si="0"/>
        <v>I</v>
      </c>
      <c r="R11" s="31">
        <f t="shared" si="3"/>
        <v>0.4</v>
      </c>
      <c r="S11" s="31">
        <f>R11+O12+O13+O14+O15</f>
        <v>2.5</v>
      </c>
      <c r="T11" s="40" t="s">
        <v>294</v>
      </c>
      <c r="V11" s="30" t="s">
        <v>284</v>
      </c>
      <c r="W11" s="31">
        <v>0.3</v>
      </c>
      <c r="X11" s="31">
        <f>W4+O8+O15</f>
        <v>1.6</v>
      </c>
      <c r="Y11" s="40" t="s">
        <v>302</v>
      </c>
      <c r="AA11" s="239" t="s">
        <v>284</v>
      </c>
      <c r="AB11" s="223">
        <f t="shared" si="1"/>
        <v>0.3</v>
      </c>
      <c r="AC11" s="200">
        <v>1.2</v>
      </c>
      <c r="AD11" s="243" t="s">
        <v>300</v>
      </c>
      <c r="AE11" s="240">
        <v>3</v>
      </c>
      <c r="AG11" s="271" t="s">
        <v>304</v>
      </c>
      <c r="AH11" s="31">
        <f>AB12</f>
        <v>0.6</v>
      </c>
      <c r="AI11" s="261">
        <v>0.9</v>
      </c>
      <c r="AJ11" s="40" t="s">
        <v>319</v>
      </c>
      <c r="AK11" s="292">
        <v>3</v>
      </c>
    </row>
    <row r="12" spans="4:37" ht="24" customHeight="1" thickBot="1" x14ac:dyDescent="0.35">
      <c r="D12" s="7" t="s">
        <v>308</v>
      </c>
      <c r="E12" s="592" t="s">
        <v>320</v>
      </c>
      <c r="F12" s="592"/>
      <c r="G12" s="592"/>
      <c r="H12" s="592"/>
      <c r="I12" s="592"/>
      <c r="J12" s="592"/>
      <c r="K12" s="592"/>
      <c r="L12" s="592"/>
      <c r="M12" s="592"/>
      <c r="N12" s="7" t="s">
        <v>293</v>
      </c>
      <c r="O12" s="17">
        <v>0.8</v>
      </c>
      <c r="Q12" s="30" t="str">
        <f t="shared" ref="Q12:Q15" si="5">D12</f>
        <v>L</v>
      </c>
      <c r="R12" s="31">
        <f t="shared" ref="R12:R15" si="6">O12</f>
        <v>0.8</v>
      </c>
      <c r="S12" s="31">
        <f>R12+O13+O15</f>
        <v>1.7000000000000002</v>
      </c>
      <c r="T12" s="40" t="s">
        <v>309</v>
      </c>
      <c r="V12" s="30" t="s">
        <v>304</v>
      </c>
      <c r="W12" s="31">
        <v>0.6</v>
      </c>
      <c r="X12" s="31">
        <f>W8+O15</f>
        <v>1.2000000000000002</v>
      </c>
      <c r="Y12" s="40" t="s">
        <v>307</v>
      </c>
      <c r="AA12" s="180" t="s">
        <v>304</v>
      </c>
      <c r="AB12" s="31">
        <f>W12</f>
        <v>0.6</v>
      </c>
      <c r="AC12" s="30">
        <v>0.6</v>
      </c>
      <c r="AD12" s="40" t="s">
        <v>319</v>
      </c>
      <c r="AE12" s="231">
        <v>3</v>
      </c>
      <c r="AG12" s="275" t="s">
        <v>321</v>
      </c>
      <c r="AH12" s="219">
        <f>AB13</f>
        <v>0.5</v>
      </c>
      <c r="AI12" s="262">
        <v>0.4</v>
      </c>
      <c r="AJ12" s="276" t="s">
        <v>313</v>
      </c>
      <c r="AK12" s="297">
        <v>3</v>
      </c>
    </row>
    <row r="13" spans="4:37" ht="23.4" customHeight="1" thickBot="1" x14ac:dyDescent="0.35">
      <c r="D13" s="7" t="s">
        <v>321</v>
      </c>
      <c r="E13" s="592" t="s">
        <v>322</v>
      </c>
      <c r="F13" s="592"/>
      <c r="G13" s="592"/>
      <c r="H13" s="592"/>
      <c r="I13" s="592"/>
      <c r="J13" s="592"/>
      <c r="K13" s="592"/>
      <c r="L13" s="592"/>
      <c r="M13" s="592"/>
      <c r="N13" s="7" t="s">
        <v>308</v>
      </c>
      <c r="O13" s="12">
        <v>0.5</v>
      </c>
      <c r="Q13" s="30" t="str">
        <f t="shared" si="5"/>
        <v>M</v>
      </c>
      <c r="R13" s="31">
        <f t="shared" si="6"/>
        <v>0.5</v>
      </c>
      <c r="S13" s="31">
        <f>R13+O15</f>
        <v>0.9</v>
      </c>
      <c r="T13" s="40" t="s">
        <v>307</v>
      </c>
      <c r="V13" s="30" t="str">
        <f t="shared" ref="V13:V15" si="7">D13</f>
        <v>M</v>
      </c>
      <c r="W13" s="31">
        <f t="shared" si="4"/>
        <v>0.5</v>
      </c>
      <c r="X13" s="31">
        <f>W13+O15</f>
        <v>0.9</v>
      </c>
      <c r="Y13" s="40" t="s">
        <v>307</v>
      </c>
      <c r="AA13" s="182" t="s">
        <v>321</v>
      </c>
      <c r="AB13" s="232">
        <f t="shared" si="1"/>
        <v>0.5</v>
      </c>
      <c r="AC13" s="183">
        <v>0.1</v>
      </c>
      <c r="AD13" s="245" t="s">
        <v>313</v>
      </c>
      <c r="AE13" s="233">
        <v>3</v>
      </c>
      <c r="AG13" s="277" t="s">
        <v>311</v>
      </c>
      <c r="AH13" s="268">
        <f>AB9</f>
        <v>0.8</v>
      </c>
      <c r="AI13" s="278">
        <v>1.2</v>
      </c>
      <c r="AJ13" s="270" t="s">
        <v>315</v>
      </c>
      <c r="AK13" s="291">
        <v>4</v>
      </c>
    </row>
    <row r="14" spans="4:37" ht="24" customHeight="1" x14ac:dyDescent="0.3">
      <c r="D14" s="7" t="s">
        <v>323</v>
      </c>
      <c r="E14" s="592" t="s">
        <v>324</v>
      </c>
      <c r="F14" s="592"/>
      <c r="G14" s="592"/>
      <c r="H14" s="592"/>
      <c r="I14" s="592"/>
      <c r="J14" s="592"/>
      <c r="K14" s="592"/>
      <c r="L14" s="592"/>
      <c r="M14" s="592"/>
      <c r="N14" s="7" t="s">
        <v>325</v>
      </c>
      <c r="O14" s="12">
        <v>0.4</v>
      </c>
      <c r="Q14" s="30" t="str">
        <f t="shared" si="5"/>
        <v>N</v>
      </c>
      <c r="R14" s="31">
        <f t="shared" si="6"/>
        <v>0.4</v>
      </c>
      <c r="S14" s="31">
        <f>R14+O15</f>
        <v>0.8</v>
      </c>
      <c r="T14" s="40" t="s">
        <v>307</v>
      </c>
      <c r="V14" s="30" t="str">
        <f t="shared" si="7"/>
        <v>N</v>
      </c>
      <c r="W14" s="31">
        <f t="shared" si="4"/>
        <v>0.4</v>
      </c>
      <c r="X14" s="31">
        <f>W14+O15</f>
        <v>0.8</v>
      </c>
      <c r="Y14" s="40" t="s">
        <v>307</v>
      </c>
      <c r="AA14" s="222" t="s">
        <v>323</v>
      </c>
      <c r="AB14" s="223">
        <f>W14</f>
        <v>0.4</v>
      </c>
      <c r="AC14" s="200">
        <v>1.6</v>
      </c>
      <c r="AD14" s="243" t="s">
        <v>307</v>
      </c>
      <c r="AE14" s="225">
        <v>4</v>
      </c>
      <c r="AG14" s="259" t="s">
        <v>323</v>
      </c>
      <c r="AH14" s="223">
        <f>AB14</f>
        <v>0.4</v>
      </c>
      <c r="AI14" s="263">
        <v>0.8</v>
      </c>
      <c r="AJ14" s="243" t="s">
        <v>307</v>
      </c>
      <c r="AK14" s="298">
        <v>4</v>
      </c>
    </row>
    <row r="15" spans="4:37" ht="24" customHeight="1" thickBot="1" x14ac:dyDescent="0.35">
      <c r="D15" s="7" t="s">
        <v>307</v>
      </c>
      <c r="E15" s="592" t="s">
        <v>326</v>
      </c>
      <c r="F15" s="592"/>
      <c r="G15" s="592"/>
      <c r="H15" s="592"/>
      <c r="I15" s="592"/>
      <c r="J15" s="592"/>
      <c r="K15" s="592"/>
      <c r="L15" s="592"/>
      <c r="M15" s="592"/>
      <c r="N15" s="7" t="s">
        <v>327</v>
      </c>
      <c r="O15" s="12">
        <v>0.4</v>
      </c>
      <c r="Q15" s="30" t="str">
        <f t="shared" si="5"/>
        <v>O</v>
      </c>
      <c r="R15" s="31">
        <f t="shared" si="6"/>
        <v>0.4</v>
      </c>
      <c r="S15" s="31">
        <f>R15</f>
        <v>0.4</v>
      </c>
      <c r="T15" s="40" t="s">
        <v>314</v>
      </c>
      <c r="V15" s="30" t="str">
        <f t="shared" si="7"/>
        <v>O</v>
      </c>
      <c r="W15" s="31">
        <f t="shared" si="4"/>
        <v>0.4</v>
      </c>
      <c r="X15" s="31">
        <f>W15</f>
        <v>0.4</v>
      </c>
      <c r="Y15" s="40" t="s">
        <v>314</v>
      </c>
      <c r="AA15" s="201" t="s">
        <v>307</v>
      </c>
      <c r="AB15" s="202">
        <f t="shared" si="1"/>
        <v>0.4</v>
      </c>
      <c r="AC15" s="203">
        <v>1.2</v>
      </c>
      <c r="AD15" s="204" t="s">
        <v>314</v>
      </c>
      <c r="AE15" s="205">
        <v>4</v>
      </c>
      <c r="AG15" s="260" t="s">
        <v>307</v>
      </c>
      <c r="AH15" s="202">
        <f>AB15</f>
        <v>0.4</v>
      </c>
      <c r="AI15" s="264">
        <v>0.4</v>
      </c>
      <c r="AJ15" s="204" t="s">
        <v>314</v>
      </c>
      <c r="AK15" s="299">
        <v>4</v>
      </c>
    </row>
    <row r="16" spans="4:37" ht="21.6" customHeight="1" x14ac:dyDescent="0.3">
      <c r="D16" s="7"/>
      <c r="E16" s="592"/>
      <c r="F16" s="592"/>
      <c r="G16" s="592"/>
      <c r="H16" s="592"/>
      <c r="I16" s="592"/>
      <c r="J16" s="592"/>
      <c r="K16" s="592"/>
      <c r="L16" s="592"/>
      <c r="M16" s="592"/>
      <c r="N16" s="7"/>
      <c r="O16" s="12">
        <f>SUM(O3:O15)</f>
        <v>6.5000000000000009</v>
      </c>
      <c r="AE16" s="1"/>
    </row>
    <row r="17" spans="3:29" ht="25.2" customHeight="1" x14ac:dyDescent="0.3">
      <c r="D17" s="1"/>
    </row>
    <row r="18" spans="3:29" ht="25.2" customHeight="1" x14ac:dyDescent="0.3">
      <c r="D18" s="1"/>
      <c r="F18" s="16"/>
      <c r="L18" s="16"/>
      <c r="P18" s="16"/>
    </row>
    <row r="19" spans="3:29" ht="25.2" customHeight="1" x14ac:dyDescent="0.3">
      <c r="D19" s="1"/>
      <c r="V19" s="753" t="s">
        <v>328</v>
      </c>
      <c r="W19" s="753"/>
      <c r="X19" s="753"/>
      <c r="Y19" s="753"/>
    </row>
    <row r="20" spans="3:29" ht="25.2" customHeight="1" x14ac:dyDescent="0.3">
      <c r="D20" s="16"/>
      <c r="G20" s="16"/>
      <c r="H20" s="16"/>
    </row>
    <row r="21" spans="3:29" ht="25.2" customHeight="1" x14ac:dyDescent="0.3">
      <c r="C21" s="16"/>
      <c r="D21" s="16"/>
      <c r="E21" s="16"/>
      <c r="F21" s="16"/>
      <c r="J21" s="16"/>
      <c r="M21" s="16"/>
      <c r="N21" s="16"/>
      <c r="T21" s="751" t="s">
        <v>329</v>
      </c>
      <c r="U21" s="752"/>
      <c r="V21" s="749" t="s">
        <v>330</v>
      </c>
      <c r="W21" s="750"/>
      <c r="X21" s="754" t="s">
        <v>331</v>
      </c>
      <c r="Y21" s="755"/>
      <c r="Z21" s="756" t="s">
        <v>332</v>
      </c>
      <c r="AA21" s="756"/>
    </row>
    <row r="22" spans="3:29" ht="25.2" customHeight="1" x14ac:dyDescent="0.3">
      <c r="D22" s="16"/>
      <c r="T22" s="30" t="str">
        <f t="shared" ref="T22:U25" si="8">AA3</f>
        <v>A</v>
      </c>
      <c r="U22" s="208">
        <f t="shared" si="8"/>
        <v>0.4</v>
      </c>
      <c r="V22" s="30" t="str">
        <f t="shared" ref="V22:W24" si="9">AA7</f>
        <v>D</v>
      </c>
      <c r="W22" s="208">
        <f t="shared" si="9"/>
        <v>0.4</v>
      </c>
      <c r="X22" s="30" t="str">
        <f t="shared" ref="X22:Y25" si="10">AA10</f>
        <v>E</v>
      </c>
      <c r="Y22" s="207">
        <f t="shared" si="10"/>
        <v>0.5</v>
      </c>
      <c r="Z22" s="30" t="str">
        <f>AA14</f>
        <v>N</v>
      </c>
      <c r="AA22" s="31">
        <f>AB14</f>
        <v>0.4</v>
      </c>
    </row>
    <row r="23" spans="3:29" ht="25.2" customHeight="1" x14ac:dyDescent="0.3">
      <c r="T23" s="30" t="str">
        <f t="shared" si="8"/>
        <v>H</v>
      </c>
      <c r="U23" s="208">
        <f t="shared" si="8"/>
        <v>0.6</v>
      </c>
      <c r="V23" s="30" t="str">
        <f t="shared" si="9"/>
        <v>L</v>
      </c>
      <c r="W23" s="208">
        <f t="shared" si="9"/>
        <v>0.8</v>
      </c>
      <c r="X23" s="30" t="str">
        <f t="shared" si="10"/>
        <v>B</v>
      </c>
      <c r="Y23" s="207">
        <f t="shared" si="10"/>
        <v>0.3</v>
      </c>
      <c r="Z23" s="30" t="str">
        <f>AA15</f>
        <v>O</v>
      </c>
      <c r="AA23" s="31">
        <f>AB15</f>
        <v>0.4</v>
      </c>
    </row>
    <row r="24" spans="3:29" ht="25.2" customHeight="1" x14ac:dyDescent="0.3">
      <c r="C24" s="16"/>
      <c r="N24" s="16"/>
      <c r="T24" s="30" t="str">
        <f t="shared" si="8"/>
        <v>I</v>
      </c>
      <c r="U24" s="208">
        <f t="shared" si="8"/>
        <v>0.4</v>
      </c>
      <c r="V24" s="30" t="str">
        <f t="shared" si="9"/>
        <v>G</v>
      </c>
      <c r="W24" s="208">
        <f t="shared" si="9"/>
        <v>0.8</v>
      </c>
      <c r="X24" s="30" t="str">
        <f t="shared" si="10"/>
        <v>F</v>
      </c>
      <c r="Y24" s="207">
        <f t="shared" si="10"/>
        <v>0.6</v>
      </c>
      <c r="Z24" s="30"/>
      <c r="AA24" s="31"/>
    </row>
    <row r="25" spans="3:29" ht="25.2" customHeight="1" x14ac:dyDescent="0.3">
      <c r="N25" s="16"/>
      <c r="T25" s="30" t="str">
        <f t="shared" si="8"/>
        <v>C</v>
      </c>
      <c r="U25" s="208">
        <f t="shared" si="8"/>
        <v>0.4</v>
      </c>
      <c r="V25" s="209"/>
      <c r="W25" s="206"/>
      <c r="X25" s="30" t="str">
        <f t="shared" si="10"/>
        <v>M</v>
      </c>
      <c r="Y25" s="207">
        <f t="shared" si="10"/>
        <v>0.5</v>
      </c>
      <c r="Z25" s="39"/>
      <c r="AA25" s="40"/>
    </row>
    <row r="26" spans="3:29" ht="25.2" customHeight="1" x14ac:dyDescent="0.3">
      <c r="N26" s="16"/>
      <c r="T26" s="30"/>
      <c r="U26" s="207"/>
      <c r="V26" s="30"/>
      <c r="W26" s="30"/>
      <c r="X26" s="200"/>
      <c r="Y26" s="200"/>
      <c r="Z26" s="30"/>
      <c r="AA26" s="30"/>
    </row>
    <row r="27" spans="3:29" ht="25.2" customHeight="1" x14ac:dyDescent="0.3">
      <c r="T27" s="210"/>
      <c r="U27" s="41"/>
      <c r="V27" s="41"/>
      <c r="W27" s="41"/>
      <c r="X27" s="41"/>
      <c r="Y27" s="41"/>
      <c r="Z27" s="41"/>
      <c r="AA27" s="42"/>
      <c r="AB27" s="22" t="s">
        <v>333</v>
      </c>
      <c r="AC27" s="22" t="s">
        <v>334</v>
      </c>
    </row>
    <row r="28" spans="3:29" ht="25.2" customHeight="1" x14ac:dyDescent="0.3">
      <c r="T28" s="7">
        <v>2</v>
      </c>
      <c r="U28" s="12">
        <f>SUM(U22:U27)</f>
        <v>1.7999999999999998</v>
      </c>
      <c r="V28" s="7">
        <v>2</v>
      </c>
      <c r="W28" s="12">
        <f>SUM(W22:W27)</f>
        <v>2</v>
      </c>
      <c r="X28" s="7">
        <v>2</v>
      </c>
      <c r="Y28" s="12">
        <f>SUM(Y22:Y27)</f>
        <v>1.9</v>
      </c>
      <c r="Z28" s="7">
        <v>2</v>
      </c>
      <c r="AA28" s="12">
        <f>SUM(AA22:AA27)</f>
        <v>0.8</v>
      </c>
      <c r="AB28" s="41">
        <f>SUM(T28,V28,X28,Z28)</f>
        <v>8</v>
      </c>
      <c r="AC28" s="41">
        <f>SUM(U28,W28,Y28,AA28)</f>
        <v>6.4999999999999991</v>
      </c>
    </row>
    <row r="29" spans="3:29" ht="25.2" customHeight="1" x14ac:dyDescent="0.3">
      <c r="X29" s="746" t="s">
        <v>335</v>
      </c>
      <c r="Y29" s="747"/>
      <c r="Z29" s="747"/>
      <c r="AA29" s="748"/>
      <c r="AB29" s="741">
        <f>AC28/AB28</f>
        <v>0.81249999999999989</v>
      </c>
      <c r="AC29" s="742"/>
    </row>
    <row r="30" spans="3:29" ht="25.2" customHeight="1" x14ac:dyDescent="0.3">
      <c r="X30" s="743" t="s">
        <v>336</v>
      </c>
      <c r="Y30" s="744"/>
      <c r="Z30" s="744"/>
      <c r="AA30" s="745"/>
      <c r="AB30" s="741">
        <f>'$_DATI_BASE'!S16*'$_DATI_BASE'!T16*'$_DATI_BASE'!U16 *AB29</f>
        <v>0.78024374999999979</v>
      </c>
      <c r="AC30" s="742"/>
    </row>
    <row r="31" spans="3:29" ht="25.2" customHeight="1" x14ac:dyDescent="0.3">
      <c r="D31" s="1"/>
    </row>
    <row r="33" spans="20:29" ht="25.2" customHeight="1" x14ac:dyDescent="0.3">
      <c r="V33" s="753" t="s">
        <v>337</v>
      </c>
      <c r="W33" s="753"/>
      <c r="X33" s="753"/>
      <c r="Y33" s="753"/>
    </row>
    <row r="35" spans="20:29" ht="21" customHeight="1" x14ac:dyDescent="0.3">
      <c r="T35" s="751" t="s">
        <v>329</v>
      </c>
      <c r="U35" s="752"/>
      <c r="V35" s="749" t="s">
        <v>330</v>
      </c>
      <c r="W35" s="750"/>
      <c r="X35" s="754" t="s">
        <v>331</v>
      </c>
      <c r="Y35" s="755"/>
      <c r="Z35" s="756" t="s">
        <v>332</v>
      </c>
      <c r="AA35" s="756"/>
    </row>
    <row r="36" spans="20:29" ht="13.2" customHeight="1" x14ac:dyDescent="0.3">
      <c r="T36" s="30" t="str">
        <f t="shared" ref="T36:U39" si="11">AG3</f>
        <v>A</v>
      </c>
      <c r="U36" s="208">
        <f t="shared" si="11"/>
        <v>0.4</v>
      </c>
      <c r="V36" s="30" t="str">
        <f t="shared" ref="V36:W38" si="12">AG7</f>
        <v>C</v>
      </c>
      <c r="W36" s="208">
        <f t="shared" si="12"/>
        <v>0.4</v>
      </c>
      <c r="X36" s="30" t="str">
        <f t="shared" ref="X36:Y38" si="13">AG10</f>
        <v>E</v>
      </c>
      <c r="Y36" s="207">
        <f t="shared" si="13"/>
        <v>0.5</v>
      </c>
      <c r="Z36" s="30" t="str">
        <f t="shared" ref="Z36:AA38" si="14">AG13</f>
        <v>G</v>
      </c>
      <c r="AA36" s="31">
        <f t="shared" si="14"/>
        <v>0.8</v>
      </c>
    </row>
    <row r="37" spans="20:29" x14ac:dyDescent="0.3">
      <c r="T37" s="30" t="str">
        <f t="shared" si="11"/>
        <v>H</v>
      </c>
      <c r="U37" s="208">
        <f t="shared" si="11"/>
        <v>0.6</v>
      </c>
      <c r="V37" s="30" t="str">
        <f t="shared" si="12"/>
        <v>D</v>
      </c>
      <c r="W37" s="208">
        <f t="shared" si="12"/>
        <v>0.4</v>
      </c>
      <c r="X37" s="30" t="str">
        <f t="shared" si="13"/>
        <v>F</v>
      </c>
      <c r="Y37" s="207">
        <f t="shared" si="13"/>
        <v>0.6</v>
      </c>
      <c r="Z37" s="30" t="str">
        <f t="shared" si="14"/>
        <v>N</v>
      </c>
      <c r="AA37" s="31">
        <f t="shared" si="14"/>
        <v>0.4</v>
      </c>
    </row>
    <row r="38" spans="20:29" x14ac:dyDescent="0.3">
      <c r="T38" s="30" t="str">
        <f t="shared" si="11"/>
        <v>I</v>
      </c>
      <c r="U38" s="208">
        <f t="shared" si="11"/>
        <v>0.4</v>
      </c>
      <c r="V38" s="30" t="str">
        <f t="shared" si="12"/>
        <v>L</v>
      </c>
      <c r="W38" s="208">
        <f t="shared" si="12"/>
        <v>0.8</v>
      </c>
      <c r="X38" s="30" t="str">
        <f t="shared" si="13"/>
        <v>M</v>
      </c>
      <c r="Y38" s="207">
        <f t="shared" si="13"/>
        <v>0.5</v>
      </c>
      <c r="Z38" s="30" t="str">
        <f t="shared" si="14"/>
        <v>O</v>
      </c>
      <c r="AA38" s="31">
        <f t="shared" si="14"/>
        <v>0.4</v>
      </c>
    </row>
    <row r="39" spans="20:29" ht="21" x14ac:dyDescent="0.3">
      <c r="T39" s="30" t="str">
        <f t="shared" si="11"/>
        <v>B</v>
      </c>
      <c r="U39" s="208">
        <f t="shared" si="11"/>
        <v>0.3</v>
      </c>
      <c r="V39" s="209"/>
      <c r="W39" s="206"/>
      <c r="X39" s="30"/>
      <c r="Y39" s="207"/>
      <c r="Z39" s="39"/>
      <c r="AA39" s="40"/>
    </row>
    <row r="40" spans="20:29" x14ac:dyDescent="0.3">
      <c r="T40" s="30"/>
      <c r="U40" s="207"/>
      <c r="V40" s="30"/>
      <c r="W40" s="30"/>
      <c r="X40" s="200"/>
      <c r="Y40" s="200"/>
      <c r="Z40" s="30"/>
      <c r="AA40" s="30"/>
    </row>
    <row r="41" spans="20:29" ht="21" x14ac:dyDescent="0.3">
      <c r="T41" s="210"/>
      <c r="U41" s="41"/>
      <c r="V41" s="41"/>
      <c r="W41" s="41"/>
      <c r="X41" s="41"/>
      <c r="Y41" s="41"/>
      <c r="Z41" s="41"/>
      <c r="AA41" s="42"/>
      <c r="AB41" s="22" t="s">
        <v>333</v>
      </c>
      <c r="AC41" s="22" t="s">
        <v>334</v>
      </c>
    </row>
    <row r="42" spans="20:29" ht="21" x14ac:dyDescent="0.3">
      <c r="T42" s="12">
        <v>2</v>
      </c>
      <c r="U42" s="12">
        <f>SUM(U36:U41)</f>
        <v>1.7</v>
      </c>
      <c r="V42" s="12">
        <v>2</v>
      </c>
      <c r="W42" s="12">
        <f>SUM(W36:W41)</f>
        <v>1.6</v>
      </c>
      <c r="X42" s="12">
        <v>2</v>
      </c>
      <c r="Y42" s="12">
        <f>SUM(Y36:Y41)</f>
        <v>1.6</v>
      </c>
      <c r="Z42" s="12">
        <v>2</v>
      </c>
      <c r="AA42" s="12">
        <f>SUM(AA36:AA41)</f>
        <v>1.6</v>
      </c>
      <c r="AB42" s="41">
        <f>SUM(T42,V42,X42,Z42)</f>
        <v>8</v>
      </c>
      <c r="AC42" s="41">
        <f>SUM(U42,W42,Y42,AA42)</f>
        <v>6.5</v>
      </c>
    </row>
    <row r="43" spans="20:29" ht="21" x14ac:dyDescent="0.3">
      <c r="X43" s="746" t="s">
        <v>335</v>
      </c>
      <c r="Y43" s="747"/>
      <c r="Z43" s="747"/>
      <c r="AA43" s="748"/>
      <c r="AB43" s="741">
        <f>AC42/AB42</f>
        <v>0.8125</v>
      </c>
      <c r="AC43" s="742"/>
    </row>
    <row r="44" spans="20:29" ht="21" x14ac:dyDescent="0.3">
      <c r="X44" s="743" t="s">
        <v>336</v>
      </c>
      <c r="Y44" s="744"/>
      <c r="Z44" s="744"/>
      <c r="AA44" s="745"/>
      <c r="AB44" s="741">
        <f>'$_DATI_BASE'!S16*'$_DATI_BASE'!T16*'$_DATI_BASE'!U16 *AB43</f>
        <v>0.7802437499999999</v>
      </c>
      <c r="AC44" s="742"/>
    </row>
    <row r="48" spans="20:29" ht="27" customHeight="1" x14ac:dyDescent="0.3">
      <c r="U48" s="753" t="s">
        <v>338</v>
      </c>
      <c r="V48" s="753"/>
      <c r="W48" s="753"/>
      <c r="X48" s="753"/>
      <c r="Y48" s="753"/>
      <c r="Z48" s="753"/>
    </row>
    <row r="50" spans="5:29" ht="27" customHeight="1" x14ac:dyDescent="0.3">
      <c r="T50" s="751" t="s">
        <v>329</v>
      </c>
      <c r="U50" s="752"/>
      <c r="V50" s="749" t="s">
        <v>330</v>
      </c>
      <c r="W50" s="750"/>
      <c r="X50" s="754" t="s">
        <v>331</v>
      </c>
      <c r="Y50" s="755"/>
      <c r="Z50" s="756" t="s">
        <v>332</v>
      </c>
      <c r="AA50" s="756"/>
    </row>
    <row r="51" spans="5:29" ht="21" customHeight="1" x14ac:dyDescent="0.3">
      <c r="T51" s="30" t="str">
        <f t="shared" ref="T51:U54" si="15">AG3</f>
        <v>A</v>
      </c>
      <c r="U51" s="208">
        <f t="shared" si="15"/>
        <v>0.4</v>
      </c>
      <c r="V51" s="30" t="str">
        <f t="shared" ref="V51:W53" si="16">AG7</f>
        <v>C</v>
      </c>
      <c r="W51" s="208">
        <f t="shared" si="16"/>
        <v>0.4</v>
      </c>
      <c r="X51" s="30" t="str">
        <f t="shared" ref="X51:Y53" si="17">AG10</f>
        <v>E</v>
      </c>
      <c r="Y51" s="207">
        <f t="shared" si="17"/>
        <v>0.5</v>
      </c>
      <c r="Z51" s="30" t="str">
        <f t="shared" ref="Z51:AA53" si="18">AG13</f>
        <v>G</v>
      </c>
      <c r="AA51" s="31">
        <f t="shared" si="18"/>
        <v>0.8</v>
      </c>
    </row>
    <row r="52" spans="5:29" x14ac:dyDescent="0.3">
      <c r="T52" s="30" t="str">
        <f t="shared" si="15"/>
        <v>H</v>
      </c>
      <c r="U52" s="208">
        <f t="shared" si="15"/>
        <v>0.6</v>
      </c>
      <c r="V52" s="30" t="str">
        <f t="shared" si="16"/>
        <v>D</v>
      </c>
      <c r="W52" s="208">
        <f t="shared" si="16"/>
        <v>0.4</v>
      </c>
      <c r="X52" s="30" t="str">
        <f t="shared" si="17"/>
        <v>F</v>
      </c>
      <c r="Y52" s="207">
        <f t="shared" si="17"/>
        <v>0.6</v>
      </c>
      <c r="Z52" s="30" t="str">
        <f t="shared" si="18"/>
        <v>N</v>
      </c>
      <c r="AA52" s="31">
        <f t="shared" si="18"/>
        <v>0.4</v>
      </c>
    </row>
    <row r="53" spans="5:29" x14ac:dyDescent="0.3">
      <c r="T53" s="30" t="str">
        <f t="shared" si="15"/>
        <v>I</v>
      </c>
      <c r="U53" s="208">
        <f t="shared" si="15"/>
        <v>0.4</v>
      </c>
      <c r="V53" s="30" t="str">
        <f t="shared" si="16"/>
        <v>L</v>
      </c>
      <c r="W53" s="208">
        <f t="shared" si="16"/>
        <v>0.8</v>
      </c>
      <c r="X53" s="30" t="str">
        <f t="shared" si="17"/>
        <v>M</v>
      </c>
      <c r="Y53" s="207">
        <f t="shared" si="17"/>
        <v>0.5</v>
      </c>
      <c r="Z53" s="30" t="str">
        <f t="shared" si="18"/>
        <v>O</v>
      </c>
      <c r="AA53" s="31">
        <f t="shared" si="18"/>
        <v>0.4</v>
      </c>
    </row>
    <row r="54" spans="5:29" ht="21" x14ac:dyDescent="0.3">
      <c r="T54" s="30" t="str">
        <f t="shared" si="15"/>
        <v>B</v>
      </c>
      <c r="U54" s="208">
        <f t="shared" si="15"/>
        <v>0.3</v>
      </c>
      <c r="V54" s="209"/>
      <c r="W54" s="206"/>
      <c r="X54" s="30"/>
      <c r="Y54" s="207"/>
      <c r="Z54" s="39"/>
      <c r="AA54" s="40"/>
    </row>
    <row r="55" spans="5:29" x14ac:dyDescent="0.3">
      <c r="T55" s="30"/>
      <c r="U55" s="207"/>
      <c r="V55" s="30"/>
      <c r="W55" s="30"/>
      <c r="X55" s="200"/>
      <c r="Y55" s="200"/>
      <c r="Z55" s="30"/>
      <c r="AA55" s="30"/>
    </row>
    <row r="56" spans="5:29" ht="21" x14ac:dyDescent="0.3">
      <c r="T56" s="210"/>
      <c r="U56" s="41"/>
      <c r="V56" s="41"/>
      <c r="W56" s="41"/>
      <c r="X56" s="41"/>
      <c r="Y56" s="41"/>
      <c r="Z56" s="41"/>
      <c r="AA56" s="42"/>
      <c r="AB56" s="22" t="s">
        <v>333</v>
      </c>
      <c r="AC56" s="22" t="s">
        <v>334</v>
      </c>
    </row>
    <row r="57" spans="5:29" ht="21" x14ac:dyDescent="0.3">
      <c r="T57" s="12">
        <v>1.7</v>
      </c>
      <c r="U57" s="12">
        <f>SUM(U51:U56)</f>
        <v>1.7</v>
      </c>
      <c r="V57" s="12">
        <v>1.7</v>
      </c>
      <c r="W57" s="12">
        <f>SUM(W51:W56)</f>
        <v>1.6</v>
      </c>
      <c r="X57" s="12">
        <v>1.7</v>
      </c>
      <c r="Y57" s="12">
        <f>SUM(Y51:Y56)</f>
        <v>1.6</v>
      </c>
      <c r="Z57" s="12">
        <v>1.7</v>
      </c>
      <c r="AA57" s="12">
        <f>SUM(AA51:AA56)</f>
        <v>1.6</v>
      </c>
      <c r="AB57" s="41">
        <f>SUM(T57,V57,X57,Z57)</f>
        <v>6.8</v>
      </c>
      <c r="AC57" s="41">
        <f>SUM(U57,W57,Y57,AA57)</f>
        <v>6.5</v>
      </c>
    </row>
    <row r="58" spans="5:29" ht="21" x14ac:dyDescent="0.3">
      <c r="X58" s="746" t="s">
        <v>335</v>
      </c>
      <c r="Y58" s="747"/>
      <c r="Z58" s="747"/>
      <c r="AA58" s="748"/>
      <c r="AB58" s="741">
        <f>AC57/AB57</f>
        <v>0.95588235294117652</v>
      </c>
      <c r="AC58" s="742"/>
    </row>
    <row r="59" spans="5:29" ht="21" x14ac:dyDescent="0.3">
      <c r="X59" s="743" t="s">
        <v>336</v>
      </c>
      <c r="Y59" s="744"/>
      <c r="Z59" s="744"/>
      <c r="AA59" s="745"/>
      <c r="AB59" s="741">
        <f>'$_DATI_BASE'!S16*'$_DATI_BASE'!T16*'$_DATI_BASE'!U16 *AB58</f>
        <v>0.91793382352941177</v>
      </c>
      <c r="AC59" s="742"/>
    </row>
    <row r="60" spans="5:29" x14ac:dyDescent="0.3">
      <c r="E60" s="757"/>
      <c r="F60" s="758"/>
      <c r="G60" s="758"/>
      <c r="H60" s="758"/>
      <c r="I60" s="758"/>
      <c r="J60" s="758"/>
    </row>
    <row r="61" spans="5:29" x14ac:dyDescent="0.3">
      <c r="E61" s="758"/>
      <c r="F61" s="758"/>
      <c r="G61" s="758"/>
      <c r="H61" s="758"/>
      <c r="I61" s="758"/>
      <c r="J61" s="758"/>
      <c r="T61" s="588"/>
      <c r="U61" s="588"/>
      <c r="V61" s="588"/>
      <c r="W61" s="588"/>
      <c r="X61" s="588"/>
      <c r="Y61" s="588"/>
      <c r="Z61" s="588"/>
      <c r="AA61" s="588"/>
      <c r="AB61" s="588"/>
    </row>
    <row r="62" spans="5:29" x14ac:dyDescent="0.3">
      <c r="E62" s="758"/>
      <c r="F62" s="758"/>
      <c r="G62" s="758"/>
      <c r="H62" s="758"/>
      <c r="I62" s="758"/>
      <c r="J62" s="758"/>
      <c r="T62" s="588"/>
      <c r="U62" s="588"/>
      <c r="V62" s="588"/>
      <c r="W62" s="588"/>
      <c r="X62" s="588"/>
      <c r="Y62" s="588"/>
      <c r="Z62" s="588"/>
      <c r="AA62" s="588"/>
      <c r="AB62" s="588"/>
    </row>
    <row r="63" spans="5:29" x14ac:dyDescent="0.3">
      <c r="T63" s="588"/>
      <c r="U63" s="588"/>
      <c r="V63" s="588"/>
      <c r="W63" s="588"/>
      <c r="X63" s="588"/>
      <c r="Y63" s="588"/>
      <c r="Z63" s="588"/>
      <c r="AA63" s="588"/>
      <c r="AB63" s="588"/>
    </row>
    <row r="64" spans="5:29" x14ac:dyDescent="0.3">
      <c r="T64" s="588"/>
      <c r="U64" s="588"/>
      <c r="V64" s="588"/>
      <c r="W64" s="588"/>
      <c r="X64" s="588"/>
      <c r="Y64" s="588"/>
      <c r="Z64" s="588"/>
      <c r="AA64" s="588"/>
      <c r="AB64" s="588"/>
    </row>
  </sheetData>
  <mergeCells count="47">
    <mergeCell ref="E60:J62"/>
    <mergeCell ref="T61:AB61"/>
    <mergeCell ref="T62:AB62"/>
    <mergeCell ref="T63:AB63"/>
    <mergeCell ref="T64:AB64"/>
    <mergeCell ref="AB59:AC59"/>
    <mergeCell ref="X59:AA59"/>
    <mergeCell ref="AB58:AC58"/>
    <mergeCell ref="X58:AA58"/>
    <mergeCell ref="Z50:AA50"/>
    <mergeCell ref="X50:Y50"/>
    <mergeCell ref="V50:W50"/>
    <mergeCell ref="T50:U50"/>
    <mergeCell ref="U48:Z48"/>
    <mergeCell ref="V33:Y33"/>
    <mergeCell ref="V19:Y19"/>
    <mergeCell ref="T35:U35"/>
    <mergeCell ref="V35:W35"/>
    <mergeCell ref="X35:Y35"/>
    <mergeCell ref="Z35:AA35"/>
    <mergeCell ref="Z21:AA21"/>
    <mergeCell ref="T21:U21"/>
    <mergeCell ref="V21:W21"/>
    <mergeCell ref="X21:Y21"/>
    <mergeCell ref="E15:M15"/>
    <mergeCell ref="E16:M16"/>
    <mergeCell ref="E2:M2"/>
    <mergeCell ref="E3:M3"/>
    <mergeCell ref="E4:M4"/>
    <mergeCell ref="E5:M5"/>
    <mergeCell ref="E6:M6"/>
    <mergeCell ref="E7:M7"/>
    <mergeCell ref="E8:M8"/>
    <mergeCell ref="E12:M12"/>
    <mergeCell ref="E13:M13"/>
    <mergeCell ref="E14:M14"/>
    <mergeCell ref="E10:M10"/>
    <mergeCell ref="E11:M11"/>
    <mergeCell ref="E9:M9"/>
    <mergeCell ref="AB43:AC43"/>
    <mergeCell ref="X44:AA44"/>
    <mergeCell ref="AB44:AC44"/>
    <mergeCell ref="X30:AA30"/>
    <mergeCell ref="X29:AA29"/>
    <mergeCell ref="AB30:AC30"/>
    <mergeCell ref="AB29:AC29"/>
    <mergeCell ref="X43:AA43"/>
  </mergeCell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F07D3-37E6-42C6-9905-9444C6BC5D31}">
  <sheetPr>
    <tabColor theme="9"/>
  </sheetPr>
  <dimension ref="A1:AH65"/>
  <sheetViews>
    <sheetView zoomScale="64" zoomScaleNormal="97" workbookViewId="0">
      <pane xSplit="9" ySplit="5" topLeftCell="Q29" activePane="bottomRight" state="frozen"/>
      <selection pane="topRight" activeCell="J1" sqref="J1"/>
      <selection pane="bottomLeft" activeCell="A6" sqref="A6"/>
      <selection pane="bottomRight" activeCell="AH51" sqref="AD42:AH52"/>
    </sheetView>
  </sheetViews>
  <sheetFormatPr defaultRowHeight="14.4" outlineLevelCol="1" x14ac:dyDescent="0.3"/>
  <cols>
    <col min="3" max="3" width="14.109375" customWidth="1"/>
    <col min="4" max="4" width="10.109375" customWidth="1"/>
    <col min="13" max="15" width="8.88671875" customWidth="1" outlineLevel="1"/>
    <col min="16" max="17" width="9.6640625" bestFit="1" customWidth="1"/>
    <col min="21" max="21" width="18.6640625" bestFit="1" customWidth="1"/>
    <col min="22" max="22" width="10.33203125" customWidth="1"/>
    <col min="23" max="23" width="14.5546875" customWidth="1"/>
    <col min="24" max="24" width="14.33203125" customWidth="1"/>
    <col min="25" max="25" width="15.5546875" customWidth="1"/>
    <col min="26" max="26" width="15.6640625" customWidth="1"/>
    <col min="28" max="28" width="13.6640625" customWidth="1"/>
  </cols>
  <sheetData>
    <row r="1" spans="1:34" ht="18.75" customHeight="1" x14ac:dyDescent="0.3">
      <c r="A1" s="760" t="s">
        <v>194</v>
      </c>
      <c r="B1" s="760"/>
      <c r="C1" s="760"/>
      <c r="D1" s="34">
        <f>'$_DB_CICLI'!Q4+'$_DB_CICLI'!Q28</f>
        <v>20334</v>
      </c>
      <c r="E1" s="15" t="s">
        <v>36</v>
      </c>
      <c r="F1" s="34">
        <f>D1/G2</f>
        <v>924.27272727272725</v>
      </c>
      <c r="G1" s="7" t="s">
        <v>195</v>
      </c>
      <c r="H1" s="6">
        <f>'$_DATI_BASE'!M8</f>
        <v>330</v>
      </c>
      <c r="I1" s="7" t="s">
        <v>210</v>
      </c>
      <c r="J1" s="1"/>
      <c r="O1" t="s">
        <v>339</v>
      </c>
      <c r="P1" s="761"/>
      <c r="Q1" s="761"/>
      <c r="R1" s="14"/>
      <c r="S1" s="9" t="s">
        <v>340</v>
      </c>
      <c r="T1" s="9"/>
      <c r="U1" s="9"/>
    </row>
    <row r="2" spans="1:34" ht="18.75" customHeight="1" x14ac:dyDescent="0.3">
      <c r="A2" s="760" t="s">
        <v>208</v>
      </c>
      <c r="B2" s="760"/>
      <c r="C2" s="760"/>
      <c r="D2" s="34">
        <f>D1*70%</f>
        <v>14233.8</v>
      </c>
      <c r="E2" s="762" t="s">
        <v>209</v>
      </c>
      <c r="F2" s="762"/>
      <c r="G2" s="6">
        <v>22</v>
      </c>
      <c r="H2" s="7" t="s">
        <v>341</v>
      </c>
      <c r="I2" s="35">
        <v>0.2</v>
      </c>
      <c r="J2" s="642" t="s">
        <v>342</v>
      </c>
      <c r="K2" s="643"/>
      <c r="L2" s="643"/>
      <c r="M2" s="643"/>
      <c r="N2" s="643"/>
      <c r="O2" s="643"/>
      <c r="P2" s="763" t="s">
        <v>343</v>
      </c>
      <c r="Q2" s="763"/>
      <c r="R2" s="763"/>
      <c r="S2" s="763"/>
      <c r="T2" s="763"/>
      <c r="U2" s="763"/>
    </row>
    <row r="3" spans="1:34" ht="18.75" customHeight="1" x14ac:dyDescent="0.3">
      <c r="A3" s="760" t="s">
        <v>211</v>
      </c>
      <c r="B3" s="760"/>
      <c r="C3" s="760"/>
      <c r="D3" s="34">
        <f>D1*30%</f>
        <v>6100.2</v>
      </c>
      <c r="E3" s="762" t="s">
        <v>344</v>
      </c>
      <c r="F3" s="762"/>
      <c r="G3" s="6">
        <v>15</v>
      </c>
      <c r="H3" s="11"/>
      <c r="I3" s="7"/>
      <c r="J3" s="643"/>
      <c r="K3" s="643"/>
      <c r="L3" s="643"/>
      <c r="M3" s="643"/>
      <c r="N3" s="643"/>
      <c r="O3" s="643"/>
      <c r="P3" s="763"/>
      <c r="Q3" s="763"/>
      <c r="R3" s="763"/>
      <c r="S3" s="763"/>
      <c r="T3" s="763"/>
      <c r="U3" s="763"/>
    </row>
    <row r="4" spans="1:34" ht="14.4" customHeight="1" x14ac:dyDescent="0.3">
      <c r="A4" s="764"/>
      <c r="B4" s="690"/>
      <c r="C4" s="765" t="s">
        <v>77</v>
      </c>
      <c r="D4" s="765" t="s">
        <v>149</v>
      </c>
      <c r="E4" s="765"/>
      <c r="F4" s="765"/>
      <c r="G4" s="765"/>
      <c r="H4" s="765"/>
      <c r="I4" s="765"/>
      <c r="J4" s="591" t="s">
        <v>213</v>
      </c>
      <c r="K4" s="591"/>
      <c r="L4" s="590" t="s">
        <v>345</v>
      </c>
      <c r="M4" s="600" t="s">
        <v>346</v>
      </c>
      <c r="N4" s="590" t="s">
        <v>347</v>
      </c>
      <c r="O4" s="767" t="s">
        <v>348</v>
      </c>
      <c r="P4" s="600" t="s">
        <v>349</v>
      </c>
      <c r="Q4" s="600" t="s">
        <v>350</v>
      </c>
      <c r="R4" s="600" t="s">
        <v>345</v>
      </c>
      <c r="S4" s="767" t="s">
        <v>348</v>
      </c>
      <c r="T4" s="768" t="s">
        <v>351</v>
      </c>
      <c r="U4" s="766" t="s">
        <v>352</v>
      </c>
      <c r="V4" s="301"/>
      <c r="W4" s="301"/>
      <c r="X4" s="452"/>
      <c r="Y4" s="301"/>
      <c r="Z4" s="301"/>
      <c r="AB4" s="301"/>
      <c r="AC4" s="301"/>
      <c r="AD4" s="452"/>
      <c r="AE4" s="301"/>
      <c r="AF4" s="301"/>
      <c r="AG4" s="457"/>
    </row>
    <row r="5" spans="1:34" ht="21.75" customHeight="1" x14ac:dyDescent="0.3">
      <c r="A5" s="764"/>
      <c r="B5" s="690"/>
      <c r="C5" s="643"/>
      <c r="D5" s="643"/>
      <c r="E5" s="643"/>
      <c r="F5" s="643"/>
      <c r="G5" s="643"/>
      <c r="H5" s="643"/>
      <c r="I5" s="643"/>
      <c r="J5" s="21" t="s">
        <v>215</v>
      </c>
      <c r="K5" s="21" t="s">
        <v>216</v>
      </c>
      <c r="L5" s="590"/>
      <c r="M5" s="590"/>
      <c r="N5" s="590"/>
      <c r="O5" s="591"/>
      <c r="P5" s="600"/>
      <c r="Q5" s="600"/>
      <c r="R5" s="600"/>
      <c r="S5" s="591"/>
      <c r="T5" s="768"/>
      <c r="U5" s="766"/>
      <c r="V5" s="301"/>
      <c r="W5" s="301"/>
      <c r="X5" s="452"/>
      <c r="Y5" s="301"/>
      <c r="Z5" s="301"/>
      <c r="AB5" s="301"/>
      <c r="AC5" s="301"/>
      <c r="AD5" s="452"/>
      <c r="AE5" s="301"/>
      <c r="AF5" s="301"/>
      <c r="AG5" s="457"/>
      <c r="AH5" s="457"/>
    </row>
    <row r="6" spans="1:34" ht="14.4" customHeight="1" x14ac:dyDescent="0.3">
      <c r="A6" s="770" t="s">
        <v>353</v>
      </c>
      <c r="B6" s="771"/>
      <c r="C6" s="11" t="str">
        <f>'$_DB_CICLI'!F11</f>
        <v>ESTLAM001</v>
      </c>
      <c r="D6" s="759" t="str">
        <f>'$_DB_CICLI'!I11</f>
        <v>FOGLIO LAMIERA 1500x2000x3</v>
      </c>
      <c r="E6" s="759"/>
      <c r="F6" s="759"/>
      <c r="G6" s="759"/>
      <c r="H6" s="759"/>
      <c r="I6" s="759"/>
      <c r="J6" s="29">
        <f>'$_DB_CICLI'!Q11+3816</f>
        <v>6842</v>
      </c>
      <c r="K6" s="362">
        <f>'$_DB_CICLI'!Q35+1636</f>
        <v>2933</v>
      </c>
      <c r="L6" s="29">
        <f>J6+K6</f>
        <v>9775</v>
      </c>
      <c r="M6" s="30" t="s">
        <v>58</v>
      </c>
      <c r="N6" s="32">
        <v>25</v>
      </c>
      <c r="O6" s="36">
        <f>ROUNDUP(L6/N6,0)</f>
        <v>391</v>
      </c>
      <c r="P6" s="37">
        <f>L6/$G$2*$AG$45</f>
        <v>4443.181818181818</v>
      </c>
      <c r="Q6" s="37">
        <f>L6/$G$2*$AH$45</f>
        <v>1332.9545454545455</v>
      </c>
      <c r="R6" s="37">
        <f>SUM(P6:Q6)</f>
        <v>5776.136363636364</v>
      </c>
      <c r="S6" s="30">
        <f>_xlfn.CEILING.MATH(R6/N6)</f>
        <v>232</v>
      </c>
      <c r="T6" s="30">
        <f>(R6/2)/(L6/$G$2)</f>
        <v>6.5000000000000009</v>
      </c>
      <c r="U6" s="561">
        <f>$G$2/T6</f>
        <v>3.3846153846153841</v>
      </c>
      <c r="V6" s="483"/>
      <c r="W6" s="483"/>
      <c r="X6" s="149"/>
      <c r="Y6" s="149"/>
      <c r="Z6" s="484"/>
      <c r="AH6" s="131"/>
    </row>
    <row r="7" spans="1:34" x14ac:dyDescent="0.3">
      <c r="A7" s="772"/>
      <c r="B7" s="773"/>
      <c r="C7" s="11" t="str">
        <f>'$_DB_CICLI'!F15</f>
        <v>ESTLAM002</v>
      </c>
      <c r="D7" s="759" t="str">
        <f>'$_DB_CICLI'!I15</f>
        <v>FOGLIO LAMIERA 1000x1500x3</v>
      </c>
      <c r="E7" s="759"/>
      <c r="F7" s="759"/>
      <c r="G7" s="759"/>
      <c r="H7" s="759"/>
      <c r="I7" s="759"/>
      <c r="J7" s="29">
        <f>'$_DB_CICLI'!Q15+2862</f>
        <v>5131</v>
      </c>
      <c r="K7" s="29">
        <f>'$_DB_CICLI'!Q39+82</f>
        <v>1703</v>
      </c>
      <c r="L7" s="29">
        <f t="shared" ref="L7:L13" si="0">J7+K7</f>
        <v>6834</v>
      </c>
      <c r="M7" s="30" t="s">
        <v>58</v>
      </c>
      <c r="N7" s="32">
        <v>25</v>
      </c>
      <c r="O7" s="36">
        <f t="shared" ref="O7:O14" si="1">ROUNDUP(L7/N7,0)</f>
        <v>274</v>
      </c>
      <c r="P7" s="37">
        <f>L7/$G$2*$AG$45</f>
        <v>3106.363636363636</v>
      </c>
      <c r="Q7" s="37">
        <f>L7/$G$2*$AH$45</f>
        <v>931.90909090909088</v>
      </c>
      <c r="R7" s="37">
        <f t="shared" ref="R7:R13" si="2">SUM(P7:Q7)</f>
        <v>4038.272727272727</v>
      </c>
      <c r="S7" s="30">
        <f t="shared" ref="S7:S20" si="3">_xlfn.CEILING.MATH(R7/N7)</f>
        <v>162</v>
      </c>
      <c r="T7" s="30">
        <f t="shared" ref="T7:T20" si="4">(R7/2)/(L7/$G$2)</f>
        <v>6.5</v>
      </c>
      <c r="U7" s="561">
        <f t="shared" ref="U7:U20" si="5">$G$2/T7</f>
        <v>3.3846153846153846</v>
      </c>
      <c r="V7" s="483"/>
      <c r="W7" s="483"/>
      <c r="X7" s="149"/>
      <c r="Y7" s="149"/>
      <c r="Z7" s="484"/>
      <c r="AH7" s="131"/>
    </row>
    <row r="8" spans="1:34" x14ac:dyDescent="0.3">
      <c r="A8" s="772"/>
      <c r="B8" s="773"/>
      <c r="C8" s="11" t="str">
        <f>'$_DB_CICLI'!F19</f>
        <v>ESTLAM003</v>
      </c>
      <c r="D8" s="759" t="str">
        <f>'$_DB_CICLI'!I19</f>
        <v>FOGLIO LAMIERA 1000x2000x3</v>
      </c>
      <c r="E8" s="759"/>
      <c r="F8" s="759"/>
      <c r="G8" s="759"/>
      <c r="H8" s="759"/>
      <c r="I8" s="759"/>
      <c r="J8" s="29">
        <f>'$_DB_CICLI'!Q19+'$_DB_CICLI'!Q22+9540</f>
        <v>24515</v>
      </c>
      <c r="K8" s="29">
        <f>'$_DB_CICLI'!Q43+'$_DB_CICLI'!Q46+4089</f>
        <v>10508</v>
      </c>
      <c r="L8" s="29">
        <f t="shared" si="0"/>
        <v>35023</v>
      </c>
      <c r="M8" s="30" t="s">
        <v>58</v>
      </c>
      <c r="N8" s="32">
        <v>25</v>
      </c>
      <c r="O8" s="36">
        <f>ROUNDUP(L8/N8,0)</f>
        <v>1401</v>
      </c>
      <c r="P8" s="37">
        <f>L8/$G$2*$AG$45</f>
        <v>15919.545454545456</v>
      </c>
      <c r="Q8" s="37">
        <f>L8/$G$2*$AH$45</f>
        <v>4775.863636363636</v>
      </c>
      <c r="R8" s="37">
        <f t="shared" si="2"/>
        <v>20695.409090909092</v>
      </c>
      <c r="S8" s="30">
        <f t="shared" si="3"/>
        <v>828</v>
      </c>
      <c r="T8" s="30">
        <f t="shared" si="4"/>
        <v>6.5</v>
      </c>
      <c r="U8" s="561">
        <f t="shared" si="5"/>
        <v>3.3846153846153846</v>
      </c>
      <c r="V8" s="483"/>
      <c r="W8" s="483"/>
      <c r="X8" s="149"/>
      <c r="Y8" s="149"/>
      <c r="Z8" s="484"/>
      <c r="AH8" s="131"/>
    </row>
    <row r="9" spans="1:34" x14ac:dyDescent="0.3">
      <c r="A9" s="772"/>
      <c r="B9" s="773"/>
      <c r="C9" s="11" t="str">
        <f>'$_DB_CICLI'!F26</f>
        <v>ESTASS001</v>
      </c>
      <c r="D9" s="759" t="s">
        <v>354</v>
      </c>
      <c r="E9" s="759"/>
      <c r="F9" s="759"/>
      <c r="G9" s="759"/>
      <c r="H9" s="759"/>
      <c r="I9" s="759"/>
      <c r="J9" s="29">
        <f>'$_DB_CICLI'!Q26</f>
        <v>14234</v>
      </c>
      <c r="K9" s="29"/>
      <c r="L9" s="29">
        <f>J9+K9</f>
        <v>14234</v>
      </c>
      <c r="M9" s="30" t="s">
        <v>96</v>
      </c>
      <c r="N9" s="32">
        <v>12</v>
      </c>
      <c r="O9" s="36">
        <f t="shared" si="1"/>
        <v>1187</v>
      </c>
      <c r="P9" s="37">
        <f>L9/$G$2*$AG$51</f>
        <v>3235</v>
      </c>
      <c r="Q9" s="37">
        <f>L9/$G$2*$AH$51</f>
        <v>1294</v>
      </c>
      <c r="R9" s="37">
        <f t="shared" si="2"/>
        <v>4529</v>
      </c>
      <c r="S9" s="30">
        <f t="shared" si="3"/>
        <v>378</v>
      </c>
      <c r="T9" s="30">
        <f t="shared" si="4"/>
        <v>3.5</v>
      </c>
      <c r="U9" s="562">
        <f t="shared" si="5"/>
        <v>6.2857142857142856</v>
      </c>
      <c r="V9" s="483"/>
      <c r="W9" s="483"/>
      <c r="X9" s="149"/>
      <c r="Y9" s="149"/>
      <c r="Z9" s="484"/>
      <c r="AH9" s="131"/>
    </row>
    <row r="10" spans="1:34" x14ac:dyDescent="0.3">
      <c r="A10" s="772"/>
      <c r="B10" s="773"/>
      <c r="C10" s="11" t="str">
        <f>'$_DB_CICLI'!F50</f>
        <v>ESTASS002</v>
      </c>
      <c r="D10" s="759" t="s">
        <v>355</v>
      </c>
      <c r="E10" s="759"/>
      <c r="F10" s="759"/>
      <c r="G10" s="759"/>
      <c r="H10" s="759"/>
      <c r="I10" s="759"/>
      <c r="J10" s="29"/>
      <c r="K10" s="29">
        <f>'$_DB_CICLI'!Q50</f>
        <v>6100</v>
      </c>
      <c r="L10" s="29">
        <f>J10+K10</f>
        <v>6100</v>
      </c>
      <c r="M10" s="30" t="s">
        <v>96</v>
      </c>
      <c r="N10" s="32">
        <v>12</v>
      </c>
      <c r="O10" s="36">
        <f t="shared" si="1"/>
        <v>509</v>
      </c>
      <c r="P10" s="37">
        <f>L10/$G$2*$AG$51</f>
        <v>1386.3636363636363</v>
      </c>
      <c r="Q10" s="37">
        <f>L10/$G$2*$AH$51</f>
        <v>554.5454545454545</v>
      </c>
      <c r="R10" s="37">
        <f t="shared" si="2"/>
        <v>1940.9090909090908</v>
      </c>
      <c r="S10" s="30">
        <f t="shared" si="3"/>
        <v>162</v>
      </c>
      <c r="T10" s="30">
        <f t="shared" si="4"/>
        <v>3.5</v>
      </c>
      <c r="U10" s="562">
        <f t="shared" si="5"/>
        <v>6.2857142857142856</v>
      </c>
      <c r="V10" s="483"/>
      <c r="W10" s="483"/>
      <c r="X10" s="149"/>
      <c r="Y10" s="149"/>
      <c r="Z10" s="484"/>
      <c r="AH10" s="131"/>
    </row>
    <row r="11" spans="1:34" x14ac:dyDescent="0.3">
      <c r="A11" s="772"/>
      <c r="B11" s="773"/>
      <c r="C11" s="11" t="str">
        <f>'$_DB_CICLI'!F23</f>
        <v>ESTALB001</v>
      </c>
      <c r="D11" s="759" t="s">
        <v>356</v>
      </c>
      <c r="E11" s="759"/>
      <c r="F11" s="759"/>
      <c r="G11" s="759"/>
      <c r="H11" s="759"/>
      <c r="I11" s="759"/>
      <c r="J11" s="29">
        <f>'$_DB_CICLI'!Q23</f>
        <v>14234</v>
      </c>
      <c r="K11" s="29"/>
      <c r="L11" s="29">
        <f t="shared" si="0"/>
        <v>14234</v>
      </c>
      <c r="M11" s="30" t="s" cm="1">
        <v>70</v>
      </c>
      <c r="N11" s="32">
        <v>50</v>
      </c>
      <c r="O11" s="36">
        <f t="shared" si="1"/>
        <v>285</v>
      </c>
      <c r="P11" s="37">
        <f>L11/$G$2*$AG$49</f>
        <v>6470</v>
      </c>
      <c r="Q11" s="37">
        <f>L11/$G$2*$AH$49</f>
        <v>1941</v>
      </c>
      <c r="R11" s="37">
        <f t="shared" si="2"/>
        <v>8411</v>
      </c>
      <c r="S11" s="30">
        <f t="shared" si="3"/>
        <v>169</v>
      </c>
      <c r="T11" s="30">
        <f t="shared" si="4"/>
        <v>6.5</v>
      </c>
      <c r="U11" s="561">
        <f t="shared" si="5"/>
        <v>3.3846153846153846</v>
      </c>
      <c r="V11" s="483"/>
      <c r="W11" s="483"/>
      <c r="X11" s="149"/>
      <c r="Y11" s="149"/>
      <c r="Z11" s="484"/>
      <c r="AH11" s="131"/>
    </row>
    <row r="12" spans="1:34" x14ac:dyDescent="0.3">
      <c r="A12" s="772"/>
      <c r="B12" s="773"/>
      <c r="C12" s="11" t="str">
        <f>'$_DB_CICLI'!F47</f>
        <v>ESTALB002</v>
      </c>
      <c r="D12" s="759" t="s">
        <v>357</v>
      </c>
      <c r="E12" s="759"/>
      <c r="F12" s="759"/>
      <c r="G12" s="759"/>
      <c r="H12" s="759"/>
      <c r="I12" s="759"/>
      <c r="J12" s="29"/>
      <c r="K12" s="29">
        <f>'$_DB_CICLI'!Q50</f>
        <v>6100</v>
      </c>
      <c r="L12" s="29">
        <f t="shared" si="0"/>
        <v>6100</v>
      </c>
      <c r="M12" s="30" t="s">
        <v>70</v>
      </c>
      <c r="N12" s="32">
        <v>50</v>
      </c>
      <c r="O12" s="36">
        <f t="shared" si="1"/>
        <v>122</v>
      </c>
      <c r="P12" s="37">
        <f>L12/$G$2*$AG$49</f>
        <v>2772.7272727272725</v>
      </c>
      <c r="Q12" s="37">
        <f>L12/$G$2*$AH$49</f>
        <v>831.81818181818176</v>
      </c>
      <c r="R12" s="37">
        <f t="shared" si="2"/>
        <v>3604.545454545454</v>
      </c>
      <c r="S12" s="30">
        <f t="shared" si="3"/>
        <v>73</v>
      </c>
      <c r="T12" s="30">
        <f t="shared" si="4"/>
        <v>6.5</v>
      </c>
      <c r="U12" s="561">
        <f t="shared" si="5"/>
        <v>3.3846153846153846</v>
      </c>
      <c r="V12" s="483"/>
      <c r="W12" s="2"/>
      <c r="AH12" s="131"/>
    </row>
    <row r="13" spans="1:34" x14ac:dyDescent="0.3">
      <c r="A13" s="772"/>
      <c r="B13" s="773"/>
      <c r="C13" s="11" t="str">
        <f>'$_DB_CICLI'!F48</f>
        <v>ESTING001</v>
      </c>
      <c r="D13" s="759" t="s">
        <v>71</v>
      </c>
      <c r="E13" s="759"/>
      <c r="F13" s="759"/>
      <c r="G13" s="759"/>
      <c r="H13" s="759"/>
      <c r="I13" s="759"/>
      <c r="J13" s="29">
        <f>'$_DB_CICLI'!Q24+35910</f>
        <v>64378</v>
      </c>
      <c r="K13" s="29">
        <f>'$_DB_CICLI'!Q48+15390</f>
        <v>27590</v>
      </c>
      <c r="L13" s="29">
        <f t="shared" si="0"/>
        <v>91968</v>
      </c>
      <c r="M13" s="30" t="s">
        <v>70</v>
      </c>
      <c r="N13" s="32">
        <v>200</v>
      </c>
      <c r="O13" s="36">
        <f t="shared" si="1"/>
        <v>460</v>
      </c>
      <c r="P13" s="37">
        <f>L13/$G$2*$AG$47</f>
        <v>12541.090909090908</v>
      </c>
      <c r="Q13" s="37">
        <f>L13/$G$2*$AH$47</f>
        <v>4180.363636363636</v>
      </c>
      <c r="R13" s="37">
        <f t="shared" si="2"/>
        <v>16721.454545454544</v>
      </c>
      <c r="S13" s="30">
        <f t="shared" si="3"/>
        <v>84</v>
      </c>
      <c r="T13" s="30">
        <f t="shared" si="4"/>
        <v>2</v>
      </c>
      <c r="U13" s="563">
        <f t="shared" si="5"/>
        <v>11</v>
      </c>
      <c r="V13" s="483"/>
      <c r="AH13" s="131"/>
    </row>
    <row r="14" spans="1:34" x14ac:dyDescent="0.3">
      <c r="A14" s="772"/>
      <c r="B14" s="773"/>
      <c r="C14" s="11" t="str">
        <f>'$_DB_CICLI'!F49</f>
        <v>ESTING002</v>
      </c>
      <c r="D14" s="759" t="s">
        <v>74</v>
      </c>
      <c r="E14" s="759"/>
      <c r="F14" s="759"/>
      <c r="G14" s="759"/>
      <c r="H14" s="759"/>
      <c r="I14" s="759"/>
      <c r="J14" s="29">
        <f>'$_DB_CICLI'!Q25+53865</f>
        <v>96567</v>
      </c>
      <c r="K14" s="29">
        <f>'$_DB_CICLI'!Q49+23085</f>
        <v>41385</v>
      </c>
      <c r="L14" s="29">
        <f>J14+K14</f>
        <v>137952</v>
      </c>
      <c r="M14" s="30" t="s">
        <v>70</v>
      </c>
      <c r="N14" s="32">
        <v>200</v>
      </c>
      <c r="O14" s="36">
        <f t="shared" si="1"/>
        <v>690</v>
      </c>
      <c r="P14" s="37">
        <f>L14/$G$2*$AG$47</f>
        <v>18811.636363636364</v>
      </c>
      <c r="Q14" s="37">
        <f>L14/$G$2*$AH$47</f>
        <v>6270.545454545455</v>
      </c>
      <c r="R14" s="37">
        <f>SUM(P14:Q14)</f>
        <v>25082.18181818182</v>
      </c>
      <c r="S14" s="30">
        <f t="shared" si="3"/>
        <v>126</v>
      </c>
      <c r="T14" s="30">
        <f t="shared" si="4"/>
        <v>2</v>
      </c>
      <c r="U14" s="563">
        <f t="shared" si="5"/>
        <v>11</v>
      </c>
      <c r="V14" s="483"/>
      <c r="AH14" s="131"/>
    </row>
    <row r="15" spans="1:34" x14ac:dyDescent="0.3">
      <c r="A15" s="772"/>
      <c r="B15" s="773"/>
      <c r="C15" s="489" t="s">
        <v>115</v>
      </c>
      <c r="D15" s="769" t="s">
        <v>358</v>
      </c>
      <c r="E15" s="769"/>
      <c r="F15" s="769"/>
      <c r="G15" s="769"/>
      <c r="H15" s="769"/>
      <c r="I15" s="769"/>
      <c r="J15" s="29">
        <v>17955</v>
      </c>
      <c r="K15" s="29"/>
      <c r="L15" s="29">
        <f>SUM(J15,K15)</f>
        <v>17955</v>
      </c>
      <c r="M15" s="30" t="s">
        <v>70</v>
      </c>
      <c r="N15" s="30">
        <v>50</v>
      </c>
      <c r="O15" s="36">
        <f t="shared" ref="O15:O20" si="6">_xlfn.CEILING.MATH(L15/N15)</f>
        <v>360</v>
      </c>
      <c r="P15" s="37">
        <f>L15/$G$2*$AA$49</f>
        <v>8161.363636363636</v>
      </c>
      <c r="Q15" s="37">
        <f>L15/$G$2*$AB$49</f>
        <v>2448.409090909091</v>
      </c>
      <c r="R15" s="37">
        <f>SUM(P15:Q15)</f>
        <v>10609.772727272728</v>
      </c>
      <c r="S15" s="30">
        <f t="shared" si="3"/>
        <v>213</v>
      </c>
      <c r="T15" s="30">
        <f t="shared" si="4"/>
        <v>6.5000000000000009</v>
      </c>
      <c r="U15" s="561">
        <f t="shared" si="5"/>
        <v>3.3846153846153841</v>
      </c>
      <c r="V15" s="483"/>
      <c r="AH15" s="131"/>
    </row>
    <row r="16" spans="1:34" x14ac:dyDescent="0.3">
      <c r="A16" s="772"/>
      <c r="B16" s="773"/>
      <c r="C16" s="489" t="s">
        <v>120</v>
      </c>
      <c r="D16" s="769" t="s">
        <v>359</v>
      </c>
      <c r="E16" s="769"/>
      <c r="F16" s="769"/>
      <c r="G16" s="769"/>
      <c r="H16" s="769"/>
      <c r="I16" s="769"/>
      <c r="J16" s="29"/>
      <c r="K16" s="29">
        <v>7695</v>
      </c>
      <c r="L16" s="29">
        <f t="shared" ref="L16:L20" si="7">SUM(J16,K16)</f>
        <v>7695</v>
      </c>
      <c r="M16" s="30" t="s">
        <v>70</v>
      </c>
      <c r="N16" s="30">
        <v>50</v>
      </c>
      <c r="O16" s="36">
        <f t="shared" si="6"/>
        <v>154</v>
      </c>
      <c r="P16" s="37">
        <f>L16/$G$2*$AA$49</f>
        <v>3497.7272727272725</v>
      </c>
      <c r="Q16" s="37">
        <f>L16/$G$2*$AB$49</f>
        <v>1049.3181818181818</v>
      </c>
      <c r="R16" s="37">
        <f t="shared" ref="R16:R20" si="8">SUM(P16:Q16)</f>
        <v>4547.045454545454</v>
      </c>
      <c r="S16" s="30">
        <f t="shared" si="3"/>
        <v>91</v>
      </c>
      <c r="T16" s="30">
        <f t="shared" si="4"/>
        <v>6.5</v>
      </c>
      <c r="U16" s="561">
        <f t="shared" si="5"/>
        <v>3.3846153846153846</v>
      </c>
      <c r="V16" s="483"/>
      <c r="AH16" s="131"/>
    </row>
    <row r="17" spans="1:34" x14ac:dyDescent="0.3">
      <c r="A17" s="772"/>
      <c r="B17" s="773"/>
      <c r="C17" s="489" t="s">
        <v>360</v>
      </c>
      <c r="D17" s="769" t="s">
        <v>361</v>
      </c>
      <c r="E17" s="769"/>
      <c r="F17" s="769"/>
      <c r="G17" s="769"/>
      <c r="H17" s="769"/>
      <c r="I17" s="769"/>
      <c r="J17" s="29">
        <v>17955</v>
      </c>
      <c r="K17" s="29"/>
      <c r="L17" s="29">
        <f t="shared" si="7"/>
        <v>17955</v>
      </c>
      <c r="M17" s="30" t="s">
        <v>96</v>
      </c>
      <c r="N17" s="30">
        <v>12</v>
      </c>
      <c r="O17" s="36">
        <f t="shared" si="6"/>
        <v>1497</v>
      </c>
      <c r="P17" s="37">
        <f>L17/$G$2*$AA$51</f>
        <v>4080.681818181818</v>
      </c>
      <c r="Q17" s="37">
        <f>L17/$G$2*$AB$51</f>
        <v>816.13636363636363</v>
      </c>
      <c r="R17" s="37">
        <f t="shared" si="8"/>
        <v>4896.818181818182</v>
      </c>
      <c r="S17" s="30">
        <f t="shared" si="3"/>
        <v>409</v>
      </c>
      <c r="T17" s="30">
        <f t="shared" si="4"/>
        <v>3</v>
      </c>
      <c r="U17" s="562">
        <f t="shared" si="5"/>
        <v>7.333333333333333</v>
      </c>
      <c r="V17" s="483"/>
      <c r="AH17" s="131"/>
    </row>
    <row r="18" spans="1:34" x14ac:dyDescent="0.3">
      <c r="A18" s="772"/>
      <c r="B18" s="773"/>
      <c r="C18" s="489" t="s">
        <v>362</v>
      </c>
      <c r="D18" s="769" t="s">
        <v>363</v>
      </c>
      <c r="E18" s="769"/>
      <c r="F18" s="769"/>
      <c r="G18" s="769"/>
      <c r="H18" s="769"/>
      <c r="I18" s="769"/>
      <c r="J18" s="29"/>
      <c r="K18" s="29">
        <v>7695</v>
      </c>
      <c r="L18" s="29">
        <f t="shared" si="7"/>
        <v>7695</v>
      </c>
      <c r="M18" s="30" t="s">
        <v>96</v>
      </c>
      <c r="N18" s="30">
        <v>12</v>
      </c>
      <c r="O18" s="36">
        <f t="shared" si="6"/>
        <v>642</v>
      </c>
      <c r="P18" s="37">
        <f>L18/$G$2*$AA$51</f>
        <v>1748.8636363636363</v>
      </c>
      <c r="Q18" s="37">
        <f>L18/$G$2*$AB$51</f>
        <v>349.77272727272725</v>
      </c>
      <c r="R18" s="37">
        <f t="shared" si="8"/>
        <v>2098.6363636363635</v>
      </c>
      <c r="S18" s="30">
        <f t="shared" si="3"/>
        <v>175</v>
      </c>
      <c r="T18" s="30">
        <f t="shared" si="4"/>
        <v>3</v>
      </c>
      <c r="U18" s="562">
        <f t="shared" si="5"/>
        <v>7.333333333333333</v>
      </c>
      <c r="V18" s="483"/>
      <c r="W18" s="483"/>
      <c r="X18" s="149"/>
      <c r="Y18" s="149"/>
      <c r="Z18" s="484"/>
      <c r="AH18" s="131"/>
    </row>
    <row r="19" spans="1:34" x14ac:dyDescent="0.3">
      <c r="A19" s="772"/>
      <c r="B19" s="773"/>
      <c r="C19" s="489" t="s">
        <v>364</v>
      </c>
      <c r="D19" s="769" t="s">
        <v>365</v>
      </c>
      <c r="E19" s="769"/>
      <c r="F19" s="769"/>
      <c r="G19" s="769"/>
      <c r="H19" s="769"/>
      <c r="I19" s="769"/>
      <c r="J19" s="29">
        <v>17955</v>
      </c>
      <c r="K19" s="29"/>
      <c r="L19" s="29">
        <f t="shared" si="7"/>
        <v>17955</v>
      </c>
      <c r="M19" s="30" t="s">
        <v>96</v>
      </c>
      <c r="N19" s="30">
        <v>12</v>
      </c>
      <c r="O19" s="36">
        <f t="shared" si="6"/>
        <v>1497</v>
      </c>
      <c r="P19" s="37">
        <f>L19/$G$2*$AA$53</f>
        <v>8161.363636363636</v>
      </c>
      <c r="Q19" s="37">
        <f>L19/$G$2*$AB$53</f>
        <v>2448.409090909091</v>
      </c>
      <c r="R19" s="37">
        <f t="shared" si="8"/>
        <v>10609.772727272728</v>
      </c>
      <c r="S19" s="30">
        <f t="shared" si="3"/>
        <v>885</v>
      </c>
      <c r="T19" s="30">
        <f t="shared" si="4"/>
        <v>6.5000000000000009</v>
      </c>
      <c r="U19" s="561">
        <f t="shared" si="5"/>
        <v>3.3846153846153841</v>
      </c>
      <c r="V19" s="483"/>
      <c r="W19" s="483"/>
      <c r="X19" s="149"/>
      <c r="Y19" s="149"/>
      <c r="Z19" s="484"/>
      <c r="AH19" s="131"/>
    </row>
    <row r="20" spans="1:34" x14ac:dyDescent="0.3">
      <c r="A20" s="774"/>
      <c r="B20" s="778"/>
      <c r="C20" s="489" t="s">
        <v>366</v>
      </c>
      <c r="D20" s="769" t="s">
        <v>367</v>
      </c>
      <c r="E20" s="769"/>
      <c r="F20" s="769"/>
      <c r="G20" s="769"/>
      <c r="H20" s="769"/>
      <c r="I20" s="769"/>
      <c r="J20" s="29"/>
      <c r="K20" s="29">
        <v>7695</v>
      </c>
      <c r="L20" s="29">
        <f t="shared" si="7"/>
        <v>7695</v>
      </c>
      <c r="M20" s="30" t="s">
        <v>96</v>
      </c>
      <c r="N20" s="30">
        <v>12</v>
      </c>
      <c r="O20" s="36">
        <f t="shared" si="6"/>
        <v>642</v>
      </c>
      <c r="P20" s="37">
        <f>L20/$G$2*$AA$53</f>
        <v>3497.7272727272725</v>
      </c>
      <c r="Q20" s="37">
        <f>L20/$G$2*$AB$53</f>
        <v>1049.3181818181818</v>
      </c>
      <c r="R20" s="37">
        <f t="shared" si="8"/>
        <v>4547.045454545454</v>
      </c>
      <c r="S20" s="30">
        <f t="shared" si="3"/>
        <v>379</v>
      </c>
      <c r="T20" s="30">
        <f t="shared" si="4"/>
        <v>6.5</v>
      </c>
      <c r="U20" s="561">
        <f t="shared" si="5"/>
        <v>3.3846153846153846</v>
      </c>
      <c r="V20" s="483"/>
      <c r="W20" s="483"/>
      <c r="X20" s="149"/>
      <c r="Y20" s="149"/>
      <c r="Z20" s="484"/>
      <c r="AH20" s="131"/>
    </row>
    <row r="21" spans="1:34" x14ac:dyDescent="0.3">
      <c r="A21" s="776"/>
      <c r="B21" s="687"/>
      <c r="C21" s="687"/>
      <c r="D21" s="687"/>
      <c r="E21" s="687"/>
      <c r="F21" s="687"/>
      <c r="G21" s="687"/>
      <c r="H21" s="687"/>
      <c r="I21" s="687"/>
      <c r="J21" s="687"/>
      <c r="K21" s="687"/>
      <c r="L21" s="687"/>
      <c r="M21" s="687"/>
      <c r="N21" s="687"/>
      <c r="O21" s="687"/>
      <c r="P21" s="687"/>
      <c r="Q21" s="687"/>
      <c r="R21" s="687"/>
      <c r="S21" s="687"/>
      <c r="T21" s="687"/>
      <c r="U21" s="777"/>
      <c r="V21" s="478"/>
      <c r="W21" s="478"/>
      <c r="X21" s="483"/>
      <c r="Y21" s="483"/>
      <c r="Z21" s="483"/>
    </row>
    <row r="22" spans="1:34" ht="14.4" customHeight="1" x14ac:dyDescent="0.3">
      <c r="A22" s="770" t="s">
        <v>368</v>
      </c>
      <c r="B22" s="771"/>
      <c r="C22" s="11" t="str">
        <f>'$_DB_CICLI'!F4</f>
        <v>INTASS001</v>
      </c>
      <c r="D22" s="759" t="str">
        <f>'$_DB_CICLI'!I4</f>
        <v>FRESATRICE COMPLETA L=1500</v>
      </c>
      <c r="E22" s="759"/>
      <c r="F22" s="759"/>
      <c r="G22" s="759"/>
      <c r="H22" s="759"/>
      <c r="I22" s="759"/>
      <c r="J22" s="29">
        <f>'$_DB_CICLI'!Q4</f>
        <v>14234</v>
      </c>
      <c r="K22" s="29"/>
      <c r="L22" s="29">
        <f>J22+K22</f>
        <v>14234</v>
      </c>
      <c r="M22" s="30" t="s">
        <v>85</v>
      </c>
      <c r="N22" s="32">
        <v>1</v>
      </c>
      <c r="O22" s="36">
        <f t="shared" ref="O22:O25" si="9">ROUNDUP(L22/N22,0)</f>
        <v>14234</v>
      </c>
      <c r="P22" s="38">
        <f>'$_DATI_BASE'!T45</f>
        <v>500</v>
      </c>
      <c r="Q22" s="363">
        <f>P22*$I$2</f>
        <v>100</v>
      </c>
      <c r="R22" s="37">
        <f>SUM(P22:Q22)</f>
        <v>600</v>
      </c>
      <c r="S22" s="38">
        <f>R22/N22</f>
        <v>600</v>
      </c>
      <c r="T22" s="31">
        <f>(R22/2)/(L22/$G$2)</f>
        <v>0.46367851622874806</v>
      </c>
      <c r="U22" s="31">
        <f>$G$2/T22</f>
        <v>47.446666666666665</v>
      </c>
      <c r="V22" s="483"/>
      <c r="W22" s="478"/>
      <c r="X22" s="483"/>
      <c r="Y22" s="1"/>
      <c r="Z22" s="1"/>
      <c r="AC22" s="5"/>
    </row>
    <row r="23" spans="1:34" ht="15" customHeight="1" x14ac:dyDescent="0.3">
      <c r="A23" s="772"/>
      <c r="B23" s="773"/>
      <c r="C23" s="11" t="str">
        <f>'$_DB_CICLI'!F28</f>
        <v>INTASS002</v>
      </c>
      <c r="D23" s="759" t="str">
        <f>'$_DB_CICLI'!I28</f>
        <v>FRESATRICE COMPLETA L=1750</v>
      </c>
      <c r="E23" s="759"/>
      <c r="F23" s="759"/>
      <c r="G23" s="759"/>
      <c r="H23" s="759"/>
      <c r="I23" s="759"/>
      <c r="J23" s="29"/>
      <c r="K23" s="29">
        <f>'$_DB_CICLI'!Q28</f>
        <v>6100</v>
      </c>
      <c r="L23" s="29">
        <f>J23+K23</f>
        <v>6100</v>
      </c>
      <c r="M23" s="30" t="s">
        <v>85</v>
      </c>
      <c r="N23" s="32">
        <v>1</v>
      </c>
      <c r="O23" s="36">
        <f t="shared" si="9"/>
        <v>6100</v>
      </c>
      <c r="P23" s="38">
        <f>'$_DATI_BASE'!T46</f>
        <v>215</v>
      </c>
      <c r="Q23" s="363">
        <f>P23*$I$2</f>
        <v>43</v>
      </c>
      <c r="R23" s="37">
        <f>SUM(P23:Q23)</f>
        <v>258</v>
      </c>
      <c r="S23" s="38">
        <f>R23/N23</f>
        <v>258</v>
      </c>
      <c r="T23" s="31">
        <f>(R23/2)/(L23/$G$2)</f>
        <v>0.46524590163934432</v>
      </c>
      <c r="U23" s="31">
        <f>$G$2/T23</f>
        <v>47.286821705426348</v>
      </c>
      <c r="V23" s="483"/>
      <c r="W23" s="478"/>
      <c r="X23" s="482"/>
      <c r="Y23" s="452"/>
      <c r="Z23" s="452"/>
      <c r="AA23" s="452"/>
      <c r="AB23" s="452"/>
      <c r="AC23" s="5"/>
    </row>
    <row r="24" spans="1:34" ht="15" customHeight="1" x14ac:dyDescent="0.3">
      <c r="A24" s="772"/>
      <c r="B24" s="773"/>
      <c r="C24" s="11" t="s">
        <v>84</v>
      </c>
      <c r="D24" s="759" t="s">
        <v>369</v>
      </c>
      <c r="E24" s="759"/>
      <c r="F24" s="759"/>
      <c r="G24" s="759"/>
      <c r="H24" s="759"/>
      <c r="I24" s="759"/>
      <c r="J24" s="29">
        <v>17955</v>
      </c>
      <c r="K24" s="29"/>
      <c r="L24" s="29">
        <f t="shared" ref="L24:L25" si="10">J24+K24</f>
        <v>17955</v>
      </c>
      <c r="M24" s="29" t="s">
        <v>85</v>
      </c>
      <c r="N24" s="32">
        <v>1</v>
      </c>
      <c r="O24" s="36">
        <f t="shared" si="9"/>
        <v>17955</v>
      </c>
      <c r="P24" s="36">
        <v>500</v>
      </c>
      <c r="Q24" s="36">
        <f>P24*$I$2</f>
        <v>100</v>
      </c>
      <c r="R24" s="36">
        <f>SUM(P24:Q24)</f>
        <v>600</v>
      </c>
      <c r="S24" s="38">
        <f t="shared" ref="S24:S25" si="11">R24/N24</f>
        <v>600</v>
      </c>
      <c r="T24" s="31">
        <f t="shared" ref="T24:T25" si="12">(R24/2)/(L24/$G$2)</f>
        <v>0.36758563074352546</v>
      </c>
      <c r="U24" s="31">
        <f t="shared" ref="U24:U25" si="13">$G$2/T24</f>
        <v>59.85</v>
      </c>
      <c r="V24" s="483"/>
      <c r="W24" s="478"/>
      <c r="X24" s="482"/>
      <c r="Y24" s="452"/>
      <c r="Z24" s="452"/>
    </row>
    <row r="25" spans="1:34" ht="15" customHeight="1" x14ac:dyDescent="0.3">
      <c r="A25" s="772"/>
      <c r="B25" s="773"/>
      <c r="C25" s="11" t="s">
        <v>90</v>
      </c>
      <c r="D25" s="759" t="s">
        <v>370</v>
      </c>
      <c r="E25" s="759"/>
      <c r="F25" s="759"/>
      <c r="G25" s="759"/>
      <c r="H25" s="759"/>
      <c r="I25" s="759"/>
      <c r="J25" s="29"/>
      <c r="K25" s="29">
        <v>7695</v>
      </c>
      <c r="L25" s="29">
        <f t="shared" si="10"/>
        <v>7695</v>
      </c>
      <c r="M25" s="29" t="s">
        <v>85</v>
      </c>
      <c r="N25" s="32">
        <v>1</v>
      </c>
      <c r="O25" s="36">
        <f t="shared" si="9"/>
        <v>7695</v>
      </c>
      <c r="P25" s="36">
        <v>215</v>
      </c>
      <c r="Q25" s="36">
        <f>P25*$I$2</f>
        <v>43</v>
      </c>
      <c r="R25" s="36">
        <f>SUM(P25:Q25)</f>
        <v>258</v>
      </c>
      <c r="S25" s="38">
        <f t="shared" si="11"/>
        <v>258</v>
      </c>
      <c r="T25" s="31">
        <f t="shared" si="12"/>
        <v>0.36881091617933726</v>
      </c>
      <c r="U25" s="31">
        <f t="shared" si="13"/>
        <v>59.651162790697668</v>
      </c>
      <c r="V25" s="483"/>
      <c r="W25" s="478"/>
      <c r="X25" s="482"/>
      <c r="Y25" s="452"/>
      <c r="Z25" s="452"/>
    </row>
    <row r="26" spans="1:34" x14ac:dyDescent="0.3">
      <c r="A26" s="774"/>
      <c r="B26" s="775"/>
      <c r="C26" s="775"/>
      <c r="D26" s="775"/>
      <c r="E26" s="775"/>
      <c r="F26" s="775"/>
      <c r="G26" s="775"/>
      <c r="H26" s="775"/>
      <c r="I26" s="775"/>
      <c r="J26" s="775"/>
      <c r="K26" s="775"/>
      <c r="L26" s="775"/>
      <c r="M26" s="775"/>
      <c r="N26" s="775"/>
      <c r="O26" s="775"/>
      <c r="P26" s="775"/>
      <c r="Q26" s="775"/>
      <c r="R26" s="775"/>
      <c r="S26" s="775"/>
      <c r="T26" s="775"/>
      <c r="U26" s="775"/>
      <c r="V26" s="483"/>
      <c r="W26" s="478"/>
      <c r="X26" s="482"/>
      <c r="Y26" s="452"/>
      <c r="Z26" s="452"/>
      <c r="AA26" s="452"/>
      <c r="AB26" s="452"/>
      <c r="AC26" s="5"/>
    </row>
    <row r="27" spans="1:34" x14ac:dyDescent="0.3">
      <c r="A27" s="600" t="s">
        <v>371</v>
      </c>
      <c r="B27" s="600"/>
      <c r="C27" s="11" t="str">
        <f>'$_DB_CICLI'!F6</f>
        <v>INTSAL001</v>
      </c>
      <c r="D27" s="759" t="str">
        <f>'$_DB_CICLI'!I6</f>
        <v xml:space="preserve"> TELAIO COMPLETO PER FRESATRICE L=1500 </v>
      </c>
      <c r="E27" s="759"/>
      <c r="F27" s="759"/>
      <c r="G27" s="759"/>
      <c r="H27" s="759"/>
      <c r="I27" s="759"/>
      <c r="J27" s="29">
        <f>'$_DB_CICLI'!Q6</f>
        <v>14234</v>
      </c>
      <c r="K27" s="29"/>
      <c r="L27" s="29">
        <f>J27+K27</f>
        <v>14234</v>
      </c>
      <c r="M27" s="30" t="s">
        <v>96</v>
      </c>
      <c r="N27" s="32">
        <v>4</v>
      </c>
      <c r="O27" s="36">
        <f t="shared" ref="O27:O38" si="14">ROUNDUP(L27/N27,0)</f>
        <v>3559</v>
      </c>
      <c r="P27" s="38">
        <f>'$_DATI_BASE'!T47*'$_DATI_BASE'!U20</f>
        <v>485</v>
      </c>
      <c r="Q27" s="38">
        <f>P27*$I$2</f>
        <v>97</v>
      </c>
      <c r="R27" s="37">
        <f>SUM(P27:Q27)</f>
        <v>582</v>
      </c>
      <c r="S27" s="38">
        <f>R27/N27</f>
        <v>145.5</v>
      </c>
      <c r="T27" s="31">
        <f t="shared" ref="T27:T39" si="15">(R27/2)/(L27/$G$2)</f>
        <v>0.44976816074188564</v>
      </c>
      <c r="U27" s="31">
        <f t="shared" ref="U27:U39" si="16">$G$2/T27</f>
        <v>48.914089347079035</v>
      </c>
      <c r="Y27" s="452"/>
      <c r="Z27" s="452"/>
      <c r="AA27" s="452"/>
      <c r="AB27" s="452"/>
      <c r="AC27" s="5"/>
    </row>
    <row r="28" spans="1:34" x14ac:dyDescent="0.3">
      <c r="A28" s="600"/>
      <c r="B28" s="600"/>
      <c r="C28" s="11" t="str">
        <f>'$_DB_CICLI'!F30</f>
        <v>INTSAL002</v>
      </c>
      <c r="D28" s="759" t="str">
        <f>'$_DB_CICLI'!I30</f>
        <v xml:space="preserve"> TELAIO COMPLETO PER FRESATRICE L=1750 </v>
      </c>
      <c r="E28" s="759"/>
      <c r="F28" s="759"/>
      <c r="G28" s="759"/>
      <c r="H28" s="759"/>
      <c r="I28" s="759"/>
      <c r="J28" s="29"/>
      <c r="K28" s="29">
        <f>'$_DB_CICLI'!Q30</f>
        <v>6100</v>
      </c>
      <c r="L28" s="29">
        <f t="shared" ref="L28:L39" si="17">J28+K28</f>
        <v>6100</v>
      </c>
      <c r="M28" s="30" t="s">
        <v>96</v>
      </c>
      <c r="N28" s="32">
        <v>4</v>
      </c>
      <c r="O28" s="36">
        <f t="shared" si="14"/>
        <v>1525</v>
      </c>
      <c r="P28" s="38">
        <f>'$_DATI_BASE'!T48*'$_DATI_BASE'!U20</f>
        <v>208.54999999999998</v>
      </c>
      <c r="Q28" s="38">
        <f t="shared" ref="Q28:Q39" si="18">P28*$I$2</f>
        <v>41.71</v>
      </c>
      <c r="R28" s="37">
        <f t="shared" ref="R28:R39" si="19">SUM(P28:Q28)</f>
        <v>250.26</v>
      </c>
      <c r="S28" s="38">
        <f t="shared" ref="S28:S39" si="20">R28/N28</f>
        <v>62.564999999999998</v>
      </c>
      <c r="T28" s="31">
        <f t="shared" si="15"/>
        <v>0.45128852459016394</v>
      </c>
      <c r="U28" s="31">
        <f t="shared" si="16"/>
        <v>48.749300727243664</v>
      </c>
      <c r="V28" s="131"/>
      <c r="AC28" s="5"/>
    </row>
    <row r="29" spans="1:34" x14ac:dyDescent="0.3">
      <c r="A29" s="600"/>
      <c r="B29" s="600"/>
      <c r="C29" s="11" t="s">
        <v>95</v>
      </c>
      <c r="D29" s="759" t="s">
        <v>372</v>
      </c>
      <c r="E29" s="759"/>
      <c r="F29" s="759"/>
      <c r="G29" s="759"/>
      <c r="H29" s="759"/>
      <c r="I29" s="759"/>
      <c r="J29" s="29">
        <v>17955</v>
      </c>
      <c r="K29" s="29"/>
      <c r="L29" s="29">
        <v>17955</v>
      </c>
      <c r="M29" s="29" t="s">
        <v>96</v>
      </c>
      <c r="N29" s="32">
        <v>4</v>
      </c>
      <c r="O29" s="36">
        <v>4489</v>
      </c>
      <c r="P29" s="38">
        <v>485</v>
      </c>
      <c r="Q29" s="38">
        <v>97</v>
      </c>
      <c r="R29" s="37">
        <f t="shared" si="19"/>
        <v>582</v>
      </c>
      <c r="S29" s="38">
        <f t="shared" si="20"/>
        <v>145.5</v>
      </c>
      <c r="T29" s="31">
        <f t="shared" si="15"/>
        <v>0.35655806182121974</v>
      </c>
      <c r="U29" s="31">
        <f t="shared" si="16"/>
        <v>61.701030927835049</v>
      </c>
      <c r="AC29" s="5"/>
    </row>
    <row r="30" spans="1:34" x14ac:dyDescent="0.3">
      <c r="A30" s="600"/>
      <c r="B30" s="600"/>
      <c r="C30" s="11" t="s">
        <v>101</v>
      </c>
      <c r="D30" s="759" t="s">
        <v>373</v>
      </c>
      <c r="E30" s="759"/>
      <c r="F30" s="759"/>
      <c r="G30" s="759"/>
      <c r="H30" s="759"/>
      <c r="I30" s="759"/>
      <c r="J30" s="29"/>
      <c r="K30" s="29">
        <v>7695</v>
      </c>
      <c r="L30" s="29">
        <v>7695</v>
      </c>
      <c r="M30" s="29" t="s">
        <v>96</v>
      </c>
      <c r="N30" s="32">
        <v>4</v>
      </c>
      <c r="O30" s="36">
        <v>1924</v>
      </c>
      <c r="P30" s="38">
        <v>208.54999999999998</v>
      </c>
      <c r="Q30" s="38">
        <v>42</v>
      </c>
      <c r="R30" s="37">
        <f t="shared" si="19"/>
        <v>250.54999999999998</v>
      </c>
      <c r="S30" s="38">
        <f t="shared" si="20"/>
        <v>62.637499999999996</v>
      </c>
      <c r="T30" s="31">
        <f t="shared" si="15"/>
        <v>0.35816114359974011</v>
      </c>
      <c r="U30" s="31">
        <f t="shared" si="16"/>
        <v>61.424865296348031</v>
      </c>
      <c r="W30" s="502"/>
      <c r="AC30" s="5"/>
    </row>
    <row r="31" spans="1:34" x14ac:dyDescent="0.3">
      <c r="A31" s="600"/>
      <c r="B31" s="600"/>
      <c r="C31" s="11" t="str">
        <f>'$_DB_CICLI'!F8</f>
        <v>INTPSP001</v>
      </c>
      <c r="D31" s="759" t="str">
        <f>'$_DB_CICLI'!I8</f>
        <v>CARTER L=1500</v>
      </c>
      <c r="E31" s="759"/>
      <c r="F31" s="759"/>
      <c r="G31" s="759"/>
      <c r="H31" s="759"/>
      <c r="I31" s="759"/>
      <c r="J31" s="29">
        <f>'$_DB_CICLI'!Q8+18511</f>
        <v>33186</v>
      </c>
      <c r="K31" s="29"/>
      <c r="L31" s="29">
        <f t="shared" si="17"/>
        <v>33186</v>
      </c>
      <c r="M31" s="30" t="s">
        <v>58</v>
      </c>
      <c r="N31" s="32">
        <v>25</v>
      </c>
      <c r="O31" s="36">
        <f t="shared" si="14"/>
        <v>1328</v>
      </c>
      <c r="P31" s="38">
        <f>'$_DATI_BASE'!T49*'$_DATI_BASE'!$U$26*2</f>
        <v>980</v>
      </c>
      <c r="Q31" s="38">
        <f t="shared" si="18"/>
        <v>196</v>
      </c>
      <c r="R31" s="37">
        <f t="shared" si="19"/>
        <v>1176</v>
      </c>
      <c r="S31" s="38">
        <f t="shared" si="20"/>
        <v>47.04</v>
      </c>
      <c r="T31" s="31">
        <f t="shared" si="15"/>
        <v>0.38980292894594104</v>
      </c>
      <c r="U31" s="31">
        <f t="shared" si="16"/>
        <v>56.438775510204081</v>
      </c>
      <c r="W31" s="502"/>
    </row>
    <row r="32" spans="1:34" x14ac:dyDescent="0.3">
      <c r="A32" s="600"/>
      <c r="B32" s="600"/>
      <c r="C32" s="11" t="str">
        <f>'$_FABB_PARTI_LOTTI_TOTALE'!C15</f>
        <v>INTPSP001-10</v>
      </c>
      <c r="D32" s="759" t="str">
        <f>'$_DB_CICLI'!I10</f>
        <v>TRANCIATURA CARTER L=1500</v>
      </c>
      <c r="E32" s="759"/>
      <c r="F32" s="759"/>
      <c r="G32" s="759"/>
      <c r="H32" s="759"/>
      <c r="I32" s="759"/>
      <c r="J32" s="29">
        <f>'$_DB_CICLI'!Q10+18889</f>
        <v>33864</v>
      </c>
      <c r="K32" s="29"/>
      <c r="L32" s="29">
        <f t="shared" si="17"/>
        <v>33864</v>
      </c>
      <c r="M32" s="30" t="s">
        <v>58</v>
      </c>
      <c r="N32" s="32">
        <v>25</v>
      </c>
      <c r="O32" s="36">
        <f t="shared" si="14"/>
        <v>1355</v>
      </c>
      <c r="P32" s="38">
        <f>'$_DATI_BASE'!T50*'$_DATI_BASE'!$U$28*2</f>
        <v>990</v>
      </c>
      <c r="Q32" s="38">
        <f t="shared" si="18"/>
        <v>198</v>
      </c>
      <c r="R32" s="37">
        <f t="shared" si="19"/>
        <v>1188</v>
      </c>
      <c r="S32" s="38">
        <f t="shared" si="20"/>
        <v>47.52</v>
      </c>
      <c r="T32" s="31">
        <f t="shared" si="15"/>
        <v>0.38589652728561302</v>
      </c>
      <c r="U32" s="31">
        <f t="shared" si="16"/>
        <v>57.01010101010101</v>
      </c>
      <c r="W32" s="502"/>
    </row>
    <row r="33" spans="1:34" x14ac:dyDescent="0.3">
      <c r="A33" s="600"/>
      <c r="B33" s="600"/>
      <c r="C33" s="11" t="str">
        <f>'$_DB_CICLI'!F32</f>
        <v>INTPSP002</v>
      </c>
      <c r="D33" s="759" t="str">
        <f>'$_DB_CICLI'!I32</f>
        <v>CARTER L=1750</v>
      </c>
      <c r="E33" s="759"/>
      <c r="F33" s="759"/>
      <c r="G33" s="759"/>
      <c r="H33" s="759"/>
      <c r="I33" s="759"/>
      <c r="J33" s="29"/>
      <c r="K33" s="29">
        <f>'$_DB_CICLI'!Q32+7933</f>
        <v>14222</v>
      </c>
      <c r="L33" s="29">
        <f t="shared" si="17"/>
        <v>14222</v>
      </c>
      <c r="M33" s="30" t="s">
        <v>58</v>
      </c>
      <c r="N33" s="32">
        <v>25</v>
      </c>
      <c r="O33" s="36">
        <f t="shared" si="14"/>
        <v>569</v>
      </c>
      <c r="P33" s="38">
        <f>'$_DATI_BASE'!T51*'$_DATI_BASE'!$U$26*2</f>
        <v>421.4</v>
      </c>
      <c r="Q33" s="38">
        <f t="shared" si="18"/>
        <v>84.28</v>
      </c>
      <c r="R33" s="37">
        <f t="shared" si="19"/>
        <v>505.67999999999995</v>
      </c>
      <c r="S33" s="38">
        <f t="shared" si="20"/>
        <v>20.227199999999996</v>
      </c>
      <c r="T33" s="31">
        <f t="shared" si="15"/>
        <v>0.39111798621853461</v>
      </c>
      <c r="U33" s="31">
        <f t="shared" si="16"/>
        <v>56.249011232399944</v>
      </c>
      <c r="W33" s="526"/>
    </row>
    <row r="34" spans="1:34" x14ac:dyDescent="0.3">
      <c r="A34" s="600"/>
      <c r="B34" s="600"/>
      <c r="C34" s="11" t="str">
        <f>'$_FABB_PARTI_LOTTI_TOTALE'!C17</f>
        <v>INTPSP002-10</v>
      </c>
      <c r="D34" s="759" t="str">
        <f>'$_FABB_PARTI_LOTTI_TOTALE'!D17</f>
        <v>TRANCIATURA CARTER L=1750</v>
      </c>
      <c r="E34" s="759"/>
      <c r="F34" s="759"/>
      <c r="G34" s="759"/>
      <c r="H34" s="759"/>
      <c r="I34" s="759"/>
      <c r="J34" s="29"/>
      <c r="K34" s="29">
        <f>'$_DB_CICLI'!Q34+8095</f>
        <v>14513</v>
      </c>
      <c r="L34" s="29">
        <f t="shared" si="17"/>
        <v>14513</v>
      </c>
      <c r="M34" s="30" t="s">
        <v>58</v>
      </c>
      <c r="N34" s="32">
        <v>25</v>
      </c>
      <c r="O34" s="36">
        <f t="shared" si="14"/>
        <v>581</v>
      </c>
      <c r="P34" s="38">
        <f>'$_DATI_BASE'!T52*'$_DATI_BASE'!$U$28*2</f>
        <v>425.7</v>
      </c>
      <c r="Q34" s="38">
        <f t="shared" si="18"/>
        <v>85.14</v>
      </c>
      <c r="R34" s="37">
        <f t="shared" si="19"/>
        <v>510.84</v>
      </c>
      <c r="S34" s="38">
        <f t="shared" si="20"/>
        <v>20.433599999999998</v>
      </c>
      <c r="T34" s="31">
        <f t="shared" si="15"/>
        <v>0.38718666023565079</v>
      </c>
      <c r="U34" s="31">
        <f t="shared" si="16"/>
        <v>56.820139378278917</v>
      </c>
      <c r="W34" s="526"/>
    </row>
    <row r="35" spans="1:34" x14ac:dyDescent="0.3">
      <c r="A35" s="600"/>
      <c r="B35" s="600"/>
      <c r="C35" s="11" t="str">
        <f>'$_DB_CICLI'!F12</f>
        <v>INTPSP003</v>
      </c>
      <c r="D35" s="759" t="str">
        <f>'$_DB_CICLI'!I12</f>
        <v>STAFFE RINFORZO</v>
      </c>
      <c r="E35" s="759"/>
      <c r="F35" s="759"/>
      <c r="G35" s="759"/>
      <c r="H35" s="759"/>
      <c r="I35" s="759"/>
      <c r="J35" s="29">
        <f>'$_DB_CICLI'!Q12+55531</f>
        <v>99554</v>
      </c>
      <c r="K35" s="29">
        <f>'$_DB_CICLI'!Q36+1587</f>
        <v>33031</v>
      </c>
      <c r="L35" s="29">
        <f t="shared" si="17"/>
        <v>132585</v>
      </c>
      <c r="M35" s="30" t="s">
        <v>70</v>
      </c>
      <c r="N35" s="32">
        <v>200</v>
      </c>
      <c r="O35" s="36">
        <f t="shared" si="14"/>
        <v>663</v>
      </c>
      <c r="P35" s="38">
        <f>'$_DATI_BASE'!T53*'$_DATI_BASE'!$U$26*2</f>
        <v>5880</v>
      </c>
      <c r="Q35" s="38">
        <f t="shared" si="18"/>
        <v>1176</v>
      </c>
      <c r="R35" s="37">
        <f t="shared" si="19"/>
        <v>7056</v>
      </c>
      <c r="S35" s="38">
        <f t="shared" si="20"/>
        <v>35.28</v>
      </c>
      <c r="T35" s="31">
        <f t="shared" si="15"/>
        <v>0.58540558886751892</v>
      </c>
      <c r="U35" s="31">
        <f t="shared" si="16"/>
        <v>37.580782312925173</v>
      </c>
      <c r="V35" s="149"/>
      <c r="W35" s="527"/>
      <c r="X35" s="149"/>
    </row>
    <row r="36" spans="1:34" x14ac:dyDescent="0.3">
      <c r="A36" s="600"/>
      <c r="B36" s="600"/>
      <c r="C36" s="11" t="str">
        <f>'$_FABB_PARTI_LOTTI_TOTALE'!C19</f>
        <v>INTPSP003-10</v>
      </c>
      <c r="D36" s="759" t="str">
        <f>'$_FABB_PARTI_LOTTI_TOTALE'!D19</f>
        <v>TRANCIATURA STAFFE RINFORZO</v>
      </c>
      <c r="E36" s="759"/>
      <c r="F36" s="759"/>
      <c r="G36" s="759"/>
      <c r="H36" s="759"/>
      <c r="I36" s="759"/>
      <c r="J36" s="29">
        <f>'$_DB_CICLI'!Q14+56665</f>
        <v>101587</v>
      </c>
      <c r="K36" s="29">
        <f>'$_DB_CICLI'!Q38+1620</f>
        <v>33706</v>
      </c>
      <c r="L36" s="29">
        <f t="shared" si="17"/>
        <v>135293</v>
      </c>
      <c r="M36" s="30" t="s">
        <v>70</v>
      </c>
      <c r="N36" s="32">
        <v>200</v>
      </c>
      <c r="O36" s="36">
        <f t="shared" si="14"/>
        <v>677</v>
      </c>
      <c r="P36" s="38">
        <f>'$_DATI_BASE'!T54*'$_DATI_BASE'!$U$28*2</f>
        <v>5940</v>
      </c>
      <c r="Q36" s="38">
        <f t="shared" si="18"/>
        <v>1188</v>
      </c>
      <c r="R36" s="37">
        <f t="shared" si="19"/>
        <v>7128</v>
      </c>
      <c r="S36" s="38">
        <f t="shared" si="20"/>
        <v>35.64</v>
      </c>
      <c r="T36" s="31">
        <f t="shared" si="15"/>
        <v>0.57954217882669468</v>
      </c>
      <c r="U36" s="31">
        <f t="shared" si="16"/>
        <v>37.960998877665546</v>
      </c>
      <c r="W36" s="502"/>
    </row>
    <row r="37" spans="1:34" x14ac:dyDescent="0.3">
      <c r="A37" s="600"/>
      <c r="B37" s="600"/>
      <c r="C37" s="11" t="str">
        <f>'$_DB_CICLI'!F16</f>
        <v>INTPSP004</v>
      </c>
      <c r="D37" s="759" t="str">
        <f>'$_DB_CICLI'!I16</f>
        <v>PIASTRE ATTACCO TRATTORE</v>
      </c>
      <c r="E37" s="759"/>
      <c r="F37" s="759"/>
      <c r="G37" s="759"/>
      <c r="H37" s="759"/>
      <c r="I37" s="759"/>
      <c r="J37" s="29">
        <f>'$_DB_CICLI'!Q16+37021</f>
        <v>66370</v>
      </c>
      <c r="K37" s="29">
        <f>'$_DB_CICLI'!Q40+15866</f>
        <v>28444</v>
      </c>
      <c r="L37" s="29">
        <f t="shared" si="17"/>
        <v>94814</v>
      </c>
      <c r="M37" s="30" t="s">
        <v>70</v>
      </c>
      <c r="N37" s="32">
        <v>200</v>
      </c>
      <c r="O37" s="36">
        <f t="shared" si="14"/>
        <v>475</v>
      </c>
      <c r="P37" s="38">
        <f>'$_DATI_BASE'!T55*'$_DATI_BASE'!$U$26*2</f>
        <v>3920</v>
      </c>
      <c r="Q37" s="38">
        <f t="shared" si="18"/>
        <v>784</v>
      </c>
      <c r="R37" s="37">
        <f t="shared" si="19"/>
        <v>4704</v>
      </c>
      <c r="S37" s="38">
        <f t="shared" si="20"/>
        <v>23.52</v>
      </c>
      <c r="T37" s="31">
        <f t="shared" si="15"/>
        <v>0.54574218997194501</v>
      </c>
      <c r="U37" s="31">
        <f t="shared" si="16"/>
        <v>40.31207482993198</v>
      </c>
      <c r="W37" s="502"/>
    </row>
    <row r="38" spans="1:34" x14ac:dyDescent="0.3">
      <c r="A38" s="600"/>
      <c r="B38" s="600"/>
      <c r="C38" s="11" t="str">
        <f>'$_FABB_PARTI_LOTTI_TOTALE'!C21</f>
        <v>INTPSP004-10</v>
      </c>
      <c r="D38" s="759" t="str">
        <f>'$_FABB_PARTI_LOTTI_TOTALE'!D21</f>
        <v>TRANCIATURA STAFFE ATTACCO TRATTORE</v>
      </c>
      <c r="E38" s="759"/>
      <c r="F38" s="759"/>
      <c r="G38" s="759"/>
      <c r="H38" s="759"/>
      <c r="I38" s="759"/>
      <c r="J38" s="29">
        <f>'$_DB_CICLI'!Q18+37777</f>
        <v>67725</v>
      </c>
      <c r="K38" s="29">
        <f>'$_DB_CICLI'!Q42+16190</f>
        <v>29025</v>
      </c>
      <c r="L38" s="29">
        <f t="shared" si="17"/>
        <v>96750</v>
      </c>
      <c r="M38" s="30" t="s">
        <v>70</v>
      </c>
      <c r="N38" s="32">
        <v>200</v>
      </c>
      <c r="O38" s="36">
        <f t="shared" si="14"/>
        <v>484</v>
      </c>
      <c r="P38" s="38">
        <f>'$_DATI_BASE'!T56*'$_DATI_BASE'!$U$28*2</f>
        <v>3960</v>
      </c>
      <c r="Q38" s="38">
        <f t="shared" si="18"/>
        <v>792</v>
      </c>
      <c r="R38" s="37">
        <f t="shared" si="19"/>
        <v>4752</v>
      </c>
      <c r="S38" s="38">
        <f t="shared" si="20"/>
        <v>23.76</v>
      </c>
      <c r="T38" s="31">
        <f t="shared" si="15"/>
        <v>0.54027906976744178</v>
      </c>
      <c r="U38" s="31">
        <f t="shared" si="16"/>
        <v>40.719696969696976</v>
      </c>
    </row>
    <row r="39" spans="1:34" x14ac:dyDescent="0.3">
      <c r="A39" s="600"/>
      <c r="B39" s="600"/>
      <c r="C39" s="11" t="str">
        <f>'$_DB_CICLI'!F20</f>
        <v>INTTRA001</v>
      </c>
      <c r="D39" s="759" t="str">
        <f>'$_DB_CICLI'!I20</f>
        <v>PIASTRE LATERALI</v>
      </c>
      <c r="E39" s="759"/>
      <c r="F39" s="759"/>
      <c r="G39" s="759"/>
      <c r="H39" s="759"/>
      <c r="I39" s="759"/>
      <c r="J39" s="29">
        <f>'$_DB_CICLI'!Q20</f>
        <v>29349</v>
      </c>
      <c r="K39" s="29">
        <f>'$_DB_CICLI'!Q44</f>
        <v>12578</v>
      </c>
      <c r="L39" s="29">
        <f t="shared" si="17"/>
        <v>41927</v>
      </c>
      <c r="M39" s="30" t="s">
        <v>70</v>
      </c>
      <c r="N39" s="32">
        <v>200</v>
      </c>
      <c r="O39" s="36">
        <f>ROUNDUP(L39/N39,0)</f>
        <v>210</v>
      </c>
      <c r="P39" s="38">
        <f>'$_DATI_BASE'!T57*'$_DATI_BASE'!$U$26*2</f>
        <v>3920</v>
      </c>
      <c r="Q39" s="38">
        <f t="shared" si="18"/>
        <v>784</v>
      </c>
      <c r="R39" s="37">
        <f t="shared" si="19"/>
        <v>4704</v>
      </c>
      <c r="S39" s="38">
        <f t="shared" si="20"/>
        <v>23.52</v>
      </c>
      <c r="T39" s="31">
        <f t="shared" si="15"/>
        <v>1.2341450616547809</v>
      </c>
      <c r="U39" s="31">
        <f t="shared" si="16"/>
        <v>17.826105442176871</v>
      </c>
    </row>
    <row r="40" spans="1:34" x14ac:dyDescent="0.3">
      <c r="A40" s="3"/>
      <c r="B40" s="10"/>
      <c r="J40" s="2"/>
      <c r="L40" s="2"/>
      <c r="M40" s="1"/>
    </row>
    <row r="41" spans="1:34" ht="15" customHeight="1" thickBot="1" x14ac:dyDescent="0.35"/>
    <row r="42" spans="1:34" x14ac:dyDescent="0.3">
      <c r="J42" s="2"/>
      <c r="X42" s="617" t="s">
        <v>48</v>
      </c>
      <c r="Y42" s="618"/>
      <c r="Z42" s="618"/>
      <c r="AA42" s="619" t="s">
        <v>374</v>
      </c>
      <c r="AB42" s="620" t="s">
        <v>375</v>
      </c>
      <c r="AD42" s="617" t="s">
        <v>48</v>
      </c>
      <c r="AE42" s="618"/>
      <c r="AF42" s="618"/>
      <c r="AG42" s="619" t="s">
        <v>49</v>
      </c>
      <c r="AH42" s="620" t="s">
        <v>50</v>
      </c>
    </row>
    <row r="43" spans="1:34" x14ac:dyDescent="0.3">
      <c r="X43" s="599"/>
      <c r="Y43" s="600"/>
      <c r="Z43" s="600"/>
      <c r="AA43" s="593"/>
      <c r="AB43" s="612"/>
      <c r="AD43" s="599"/>
      <c r="AE43" s="600"/>
      <c r="AF43" s="600"/>
      <c r="AG43" s="593"/>
      <c r="AH43" s="612"/>
    </row>
    <row r="44" spans="1:34" x14ac:dyDescent="0.3">
      <c r="X44" s="599"/>
      <c r="Y44" s="600"/>
      <c r="Z44" s="600"/>
      <c r="AA44" s="593"/>
      <c r="AB44" s="612"/>
      <c r="AD44" s="599"/>
      <c r="AE44" s="600"/>
      <c r="AF44" s="600"/>
      <c r="AG44" s="593"/>
      <c r="AH44" s="612"/>
    </row>
    <row r="45" spans="1:34" x14ac:dyDescent="0.3">
      <c r="K45" s="2"/>
      <c r="X45" s="601" t="s">
        <v>56</v>
      </c>
      <c r="Y45" s="590"/>
      <c r="Z45" s="590"/>
      <c r="AA45" s="610">
        <v>10</v>
      </c>
      <c r="AB45" s="612">
        <v>3</v>
      </c>
      <c r="AD45" s="601" t="s">
        <v>56</v>
      </c>
      <c r="AE45" s="590"/>
      <c r="AF45" s="590"/>
      <c r="AG45" s="610">
        <v>10</v>
      </c>
      <c r="AH45" s="612">
        <v>3</v>
      </c>
    </row>
    <row r="46" spans="1:34" x14ac:dyDescent="0.3">
      <c r="X46" s="601"/>
      <c r="Y46" s="590"/>
      <c r="Z46" s="590"/>
      <c r="AA46" s="610"/>
      <c r="AB46" s="612"/>
      <c r="AD46" s="601"/>
      <c r="AE46" s="590"/>
      <c r="AF46" s="590"/>
      <c r="AG46" s="610"/>
      <c r="AH46" s="612"/>
    </row>
    <row r="47" spans="1:34" x14ac:dyDescent="0.3">
      <c r="X47" s="599" t="s">
        <v>64</v>
      </c>
      <c r="Y47" s="590"/>
      <c r="Z47" s="590"/>
      <c r="AA47" s="610">
        <v>3</v>
      </c>
      <c r="AB47" s="612">
        <v>1</v>
      </c>
      <c r="AD47" s="599" t="s">
        <v>64</v>
      </c>
      <c r="AE47" s="590"/>
      <c r="AF47" s="590"/>
      <c r="AG47" s="610">
        <v>3</v>
      </c>
      <c r="AH47" s="612">
        <v>1</v>
      </c>
    </row>
    <row r="48" spans="1:34" x14ac:dyDescent="0.3">
      <c r="X48" s="601"/>
      <c r="Y48" s="590"/>
      <c r="Z48" s="590"/>
      <c r="AA48" s="610"/>
      <c r="AB48" s="612"/>
      <c r="AD48" s="601"/>
      <c r="AE48" s="590"/>
      <c r="AF48" s="590"/>
      <c r="AG48" s="610"/>
      <c r="AH48" s="612"/>
    </row>
    <row r="49" spans="1:34" x14ac:dyDescent="0.3">
      <c r="X49" s="601" t="s">
        <v>68</v>
      </c>
      <c r="Y49" s="590"/>
      <c r="Z49" s="590"/>
      <c r="AA49" s="610">
        <v>10</v>
      </c>
      <c r="AB49" s="612">
        <v>3</v>
      </c>
      <c r="AD49" s="601" t="s">
        <v>68</v>
      </c>
      <c r="AE49" s="590"/>
      <c r="AF49" s="590"/>
      <c r="AG49" s="610">
        <v>10</v>
      </c>
      <c r="AH49" s="612">
        <v>3</v>
      </c>
    </row>
    <row r="50" spans="1:34" ht="39" customHeight="1" x14ac:dyDescent="0.3">
      <c r="B50" s="486"/>
      <c r="C50" s="486"/>
      <c r="D50" s="486"/>
      <c r="E50" s="486"/>
      <c r="F50" s="486"/>
      <c r="G50" s="486"/>
      <c r="H50" s="486"/>
      <c r="V50" s="452"/>
      <c r="W50" s="452"/>
      <c r="X50" s="601"/>
      <c r="Y50" s="590"/>
      <c r="Z50" s="590"/>
      <c r="AA50" s="610"/>
      <c r="AB50" s="612"/>
      <c r="AD50" s="601"/>
      <c r="AE50" s="590"/>
      <c r="AF50" s="590"/>
      <c r="AG50" s="610"/>
      <c r="AH50" s="612"/>
    </row>
    <row r="51" spans="1:34" x14ac:dyDescent="0.3">
      <c r="X51" s="601" t="s">
        <v>376</v>
      </c>
      <c r="Y51" s="590"/>
      <c r="Z51" s="590"/>
      <c r="AA51" s="610">
        <v>5</v>
      </c>
      <c r="AB51" s="612">
        <v>1</v>
      </c>
      <c r="AD51" s="601" t="s">
        <v>75</v>
      </c>
      <c r="AE51" s="590"/>
      <c r="AF51" s="590"/>
      <c r="AG51" s="610">
        <v>5</v>
      </c>
      <c r="AH51" s="612">
        <v>2</v>
      </c>
    </row>
    <row r="52" spans="1:34" ht="15" customHeight="1" thickBot="1" x14ac:dyDescent="0.35">
      <c r="A52" s="470"/>
      <c r="B52" s="470"/>
      <c r="J52" s="2"/>
      <c r="K52" s="2"/>
      <c r="L52" s="2"/>
      <c r="M52" s="1"/>
      <c r="N52" s="4"/>
      <c r="O52" s="3"/>
      <c r="P52" s="454"/>
      <c r="Q52" s="454"/>
      <c r="R52" s="478"/>
      <c r="S52" s="454"/>
      <c r="T52" s="391"/>
      <c r="U52" s="391"/>
      <c r="V52" s="483"/>
      <c r="W52" s="454"/>
      <c r="X52" s="601"/>
      <c r="Y52" s="590"/>
      <c r="Z52" s="590"/>
      <c r="AA52" s="610"/>
      <c r="AB52" s="612"/>
      <c r="AD52" s="602"/>
      <c r="AE52" s="603"/>
      <c r="AF52" s="603"/>
      <c r="AG52" s="611"/>
      <c r="AH52" s="613"/>
    </row>
    <row r="53" spans="1:34" ht="19.2" customHeight="1" x14ac:dyDescent="0.3">
      <c r="A53" s="470"/>
      <c r="B53" s="470"/>
      <c r="J53" s="2"/>
      <c r="K53" s="2"/>
      <c r="L53" s="2"/>
      <c r="M53" s="1"/>
      <c r="N53" s="4"/>
      <c r="O53" s="3"/>
      <c r="P53" s="454"/>
      <c r="Q53" s="454"/>
      <c r="R53" s="478"/>
      <c r="S53" s="454"/>
      <c r="T53" s="391"/>
      <c r="U53" s="391"/>
      <c r="V53" s="483"/>
      <c r="W53" s="454"/>
      <c r="X53" s="601" t="s">
        <v>377</v>
      </c>
      <c r="Y53" s="590"/>
      <c r="Z53" s="590"/>
      <c r="AA53" s="610">
        <v>10</v>
      </c>
      <c r="AB53" s="612">
        <v>3</v>
      </c>
    </row>
    <row r="54" spans="1:34" ht="15" thickBot="1" x14ac:dyDescent="0.35">
      <c r="A54" s="470"/>
      <c r="B54" s="470"/>
      <c r="V54" s="483"/>
      <c r="W54" s="454"/>
      <c r="X54" s="602"/>
      <c r="Y54" s="603"/>
      <c r="Z54" s="603"/>
      <c r="AA54" s="611"/>
      <c r="AB54" s="613"/>
    </row>
    <row r="55" spans="1:34" x14ac:dyDescent="0.3">
      <c r="A55" s="470"/>
      <c r="B55" s="470"/>
      <c r="J55" s="2"/>
      <c r="K55" s="2"/>
      <c r="L55" s="2"/>
      <c r="M55" s="1"/>
      <c r="N55" s="4"/>
      <c r="O55" s="3"/>
      <c r="P55" s="454"/>
      <c r="Q55" s="454"/>
      <c r="R55" s="478"/>
      <c r="S55" s="454"/>
      <c r="T55" s="391"/>
      <c r="U55" s="391"/>
      <c r="V55" s="483"/>
      <c r="W55" s="454"/>
      <c r="X55" s="391"/>
      <c r="Y55" s="391"/>
      <c r="Z55" s="485"/>
      <c r="AB55" s="1"/>
    </row>
    <row r="56" spans="1:34" x14ac:dyDescent="0.3">
      <c r="A56" s="470"/>
      <c r="B56" s="470"/>
      <c r="J56" s="2"/>
      <c r="K56" s="2"/>
      <c r="L56" s="2"/>
      <c r="M56" s="1"/>
      <c r="N56" s="4"/>
      <c r="O56" s="3"/>
      <c r="P56" s="454"/>
      <c r="Q56" s="454"/>
      <c r="R56" s="478"/>
      <c r="S56" s="454"/>
      <c r="T56" s="391"/>
      <c r="U56" s="391"/>
      <c r="V56" s="483"/>
      <c r="W56" s="454"/>
      <c r="X56" s="454"/>
      <c r="Y56" s="391"/>
      <c r="Z56" s="5"/>
    </row>
    <row r="57" spans="1:34" x14ac:dyDescent="0.3">
      <c r="A57" s="470"/>
      <c r="B57" s="470"/>
      <c r="J57" s="2"/>
      <c r="K57" s="2"/>
      <c r="L57" s="2"/>
      <c r="M57" s="1"/>
      <c r="N57" s="4"/>
      <c r="O57" s="3"/>
      <c r="P57" s="454"/>
      <c r="Q57" s="454"/>
      <c r="R57" s="478"/>
      <c r="S57" s="454"/>
      <c r="T57" s="391"/>
      <c r="U57" s="391"/>
      <c r="V57" s="483"/>
      <c r="W57" s="454"/>
      <c r="X57" s="454"/>
      <c r="Y57" s="454"/>
      <c r="Z57" s="454"/>
    </row>
    <row r="58" spans="1:34" x14ac:dyDescent="0.3">
      <c r="A58" s="470"/>
      <c r="B58" s="470"/>
      <c r="J58" s="2"/>
      <c r="K58" s="2"/>
      <c r="L58" s="2"/>
      <c r="M58" s="1"/>
      <c r="N58" s="4"/>
      <c r="O58" s="3"/>
      <c r="P58" s="454"/>
      <c r="Q58" s="454"/>
      <c r="R58" s="478"/>
      <c r="S58" s="454"/>
      <c r="T58" s="391"/>
      <c r="U58" s="391"/>
      <c r="V58" s="483"/>
      <c r="W58" s="454"/>
      <c r="X58" s="454"/>
      <c r="Y58" s="483"/>
      <c r="Z58" s="485"/>
    </row>
    <row r="59" spans="1:34" x14ac:dyDescent="0.3">
      <c r="A59" s="470"/>
      <c r="B59" s="470"/>
      <c r="J59" s="2"/>
      <c r="K59" s="2"/>
      <c r="L59" s="2"/>
      <c r="M59" s="1"/>
      <c r="N59" s="4"/>
      <c r="O59" s="3"/>
      <c r="P59" s="454"/>
      <c r="Q59" s="454"/>
      <c r="R59" s="478"/>
      <c r="S59" s="454"/>
      <c r="T59" s="391"/>
      <c r="U59" s="391"/>
      <c r="V59" s="483"/>
      <c r="W59" s="454"/>
      <c r="X59" s="454"/>
      <c r="Y59" s="483"/>
      <c r="Z59" s="5"/>
    </row>
    <row r="60" spans="1:34" x14ac:dyDescent="0.3">
      <c r="A60" s="470"/>
      <c r="B60" s="470"/>
      <c r="V60" s="483"/>
      <c r="W60" s="454"/>
      <c r="X60" s="391"/>
      <c r="Y60" s="1"/>
      <c r="Z60" s="454"/>
    </row>
    <row r="61" spans="1:34" x14ac:dyDescent="0.3">
      <c r="A61" s="470"/>
      <c r="B61" s="470"/>
      <c r="J61" s="2"/>
      <c r="K61" s="2"/>
      <c r="L61" s="2"/>
      <c r="M61" s="1"/>
      <c r="N61" s="4"/>
      <c r="O61" s="3"/>
      <c r="P61" s="454"/>
      <c r="Q61" s="454"/>
      <c r="R61" s="478"/>
      <c r="S61" s="454"/>
      <c r="T61" s="391"/>
      <c r="U61" s="391"/>
      <c r="V61" s="483"/>
      <c r="W61" s="454"/>
      <c r="X61" s="454"/>
      <c r="Y61" s="454"/>
      <c r="Z61" s="485"/>
    </row>
    <row r="62" spans="1:34" x14ac:dyDescent="0.3">
      <c r="A62" s="470"/>
      <c r="B62" s="470"/>
      <c r="J62" s="2"/>
      <c r="K62" s="2"/>
      <c r="L62" s="2"/>
      <c r="M62" s="1"/>
      <c r="N62" s="4"/>
      <c r="O62" s="3"/>
      <c r="P62" s="454"/>
      <c r="Q62" s="454"/>
      <c r="R62" s="478"/>
      <c r="S62" s="454"/>
      <c r="T62" s="391"/>
      <c r="U62" s="391"/>
      <c r="V62" s="483"/>
      <c r="W62" s="454"/>
      <c r="X62" s="454"/>
      <c r="Y62" s="454"/>
      <c r="Z62" s="5"/>
    </row>
    <row r="63" spans="1:34" x14ac:dyDescent="0.3">
      <c r="A63" s="470"/>
      <c r="B63" s="470"/>
      <c r="J63" s="2"/>
      <c r="K63" s="2"/>
      <c r="L63" s="2"/>
      <c r="M63" s="1"/>
      <c r="N63" s="4"/>
      <c r="O63" s="3"/>
      <c r="P63" s="454"/>
      <c r="Q63" s="454"/>
      <c r="R63" s="478"/>
      <c r="S63" s="454"/>
      <c r="T63" s="391"/>
      <c r="U63" s="391"/>
      <c r="V63" s="483"/>
      <c r="W63" s="454"/>
      <c r="X63" s="454"/>
      <c r="Y63" s="454"/>
      <c r="Z63" s="454"/>
    </row>
    <row r="64" spans="1:34" x14ac:dyDescent="0.3">
      <c r="A64" s="470"/>
      <c r="B64" s="470"/>
      <c r="J64" s="2"/>
      <c r="K64" s="2"/>
      <c r="L64" s="2"/>
      <c r="M64" s="1"/>
      <c r="N64" s="4"/>
      <c r="O64" s="3"/>
      <c r="P64" s="454"/>
      <c r="Q64" s="454"/>
      <c r="R64" s="478"/>
      <c r="S64" s="454"/>
      <c r="T64" s="391"/>
      <c r="U64" s="391"/>
      <c r="V64" s="483"/>
      <c r="W64" s="454"/>
      <c r="X64" s="454"/>
      <c r="Y64" s="454"/>
      <c r="Z64" s="454"/>
    </row>
    <row r="65" spans="22:26" x14ac:dyDescent="0.3">
      <c r="V65" s="483"/>
      <c r="W65" s="454"/>
      <c r="X65" s="454"/>
      <c r="Y65" s="454"/>
      <c r="Z65" s="454"/>
    </row>
  </sheetData>
  <mergeCells count="92">
    <mergeCell ref="A6:B20"/>
    <mergeCell ref="AD49:AF50"/>
    <mergeCell ref="AG49:AG50"/>
    <mergeCell ref="AH49:AH50"/>
    <mergeCell ref="AD51:AF52"/>
    <mergeCell ref="AG51:AG52"/>
    <mergeCell ref="AH51:AH52"/>
    <mergeCell ref="AH42:AH44"/>
    <mergeCell ref="AD45:AF46"/>
    <mergeCell ref="AG45:AG46"/>
    <mergeCell ref="AH45:AH46"/>
    <mergeCell ref="AD47:AF48"/>
    <mergeCell ref="AG47:AG48"/>
    <mergeCell ref="AH47:AH48"/>
    <mergeCell ref="D37:I37"/>
    <mergeCell ref="D38:I38"/>
    <mergeCell ref="D39:I39"/>
    <mergeCell ref="AD42:AF44"/>
    <mergeCell ref="AG42:AG44"/>
    <mergeCell ref="D32:I32"/>
    <mergeCell ref="D33:I33"/>
    <mergeCell ref="D34:I34"/>
    <mergeCell ref="D35:I35"/>
    <mergeCell ref="D36:I36"/>
    <mergeCell ref="X42:Z44"/>
    <mergeCell ref="AA42:AA44"/>
    <mergeCell ref="AB42:AB44"/>
    <mergeCell ref="D22:I22"/>
    <mergeCell ref="D23:I23"/>
    <mergeCell ref="A22:B25"/>
    <mergeCell ref="A26:U26"/>
    <mergeCell ref="A21:U21"/>
    <mergeCell ref="A27:B39"/>
    <mergeCell ref="D27:I27"/>
    <mergeCell ref="D28:I28"/>
    <mergeCell ref="D31:I31"/>
    <mergeCell ref="D9:I9"/>
    <mergeCell ref="D10:I10"/>
    <mergeCell ref="D11:I11"/>
    <mergeCell ref="D12:I12"/>
    <mergeCell ref="D13:I13"/>
    <mergeCell ref="D14:I14"/>
    <mergeCell ref="D15:I15"/>
    <mergeCell ref="D16:I16"/>
    <mergeCell ref="D17:I17"/>
    <mergeCell ref="D18:I18"/>
    <mergeCell ref="D19:I19"/>
    <mergeCell ref="D20:I20"/>
    <mergeCell ref="D8:I8"/>
    <mergeCell ref="U4:U5"/>
    <mergeCell ref="O4:O5"/>
    <mergeCell ref="P4:P5"/>
    <mergeCell ref="Q4:Q5"/>
    <mergeCell ref="R4:R5"/>
    <mergeCell ref="S4:S5"/>
    <mergeCell ref="T4:T5"/>
    <mergeCell ref="J4:K4"/>
    <mergeCell ref="L4:L5"/>
    <mergeCell ref="M4:M5"/>
    <mergeCell ref="N4:N5"/>
    <mergeCell ref="X47:Z48"/>
    <mergeCell ref="AA47:AA48"/>
    <mergeCell ref="AB47:AB48"/>
    <mergeCell ref="A1:C1"/>
    <mergeCell ref="P1:Q1"/>
    <mergeCell ref="A2:C2"/>
    <mergeCell ref="E2:F2"/>
    <mergeCell ref="J2:O3"/>
    <mergeCell ref="P2:U3"/>
    <mergeCell ref="A3:C3"/>
    <mergeCell ref="E3:F3"/>
    <mergeCell ref="A4:B5"/>
    <mergeCell ref="C4:C5"/>
    <mergeCell ref="D4:I5"/>
    <mergeCell ref="D6:I6"/>
    <mergeCell ref="D7:I7"/>
    <mergeCell ref="X53:Z54"/>
    <mergeCell ref="AA53:AA54"/>
    <mergeCell ref="AB53:AB54"/>
    <mergeCell ref="D24:I24"/>
    <mergeCell ref="D25:I25"/>
    <mergeCell ref="D29:I29"/>
    <mergeCell ref="D30:I30"/>
    <mergeCell ref="X49:Z50"/>
    <mergeCell ref="AA49:AA50"/>
    <mergeCell ref="AB49:AB50"/>
    <mergeCell ref="X51:Z52"/>
    <mergeCell ref="AA51:AA52"/>
    <mergeCell ref="AB51:AB52"/>
    <mergeCell ref="X45:Z46"/>
    <mergeCell ref="AA45:AA46"/>
    <mergeCell ref="AB45:AB46"/>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H35"/>
  <sheetViews>
    <sheetView zoomScale="73" zoomScaleNormal="97" workbookViewId="0">
      <pane xSplit="9" ySplit="5" topLeftCell="J6" activePane="bottomRight" state="frozen"/>
      <selection pane="topRight" activeCell="J1" sqref="J1"/>
      <selection pane="bottomLeft" activeCell="A6" sqref="A6"/>
      <selection pane="bottomRight" activeCell="K17" sqref="K17"/>
    </sheetView>
  </sheetViews>
  <sheetFormatPr defaultRowHeight="14.4" outlineLevelCol="1" x14ac:dyDescent="0.3"/>
  <cols>
    <col min="3" max="3" width="14.109375" customWidth="1"/>
    <col min="4" max="4" width="10.109375" customWidth="1"/>
    <col min="13" max="15" width="8.88671875" customWidth="1" outlineLevel="1"/>
    <col min="16" max="17" width="9.6640625" bestFit="1" customWidth="1"/>
    <col min="21" max="21" width="18.6640625" bestFit="1" customWidth="1"/>
    <col min="22" max="22" width="10.33203125" customWidth="1"/>
    <col min="23" max="23" width="14.5546875" customWidth="1"/>
    <col min="24" max="24" width="14.33203125" customWidth="1"/>
    <col min="25" max="25" width="15.5546875" customWidth="1"/>
    <col min="26" max="26" width="15.6640625" customWidth="1"/>
    <col min="28" max="28" width="13.6640625" customWidth="1"/>
  </cols>
  <sheetData>
    <row r="1" spans="1:34" ht="18.75" customHeight="1" x14ac:dyDescent="0.3">
      <c r="A1" s="760" t="s">
        <v>194</v>
      </c>
      <c r="B1" s="760"/>
      <c r="C1" s="760"/>
      <c r="D1" s="34">
        <f>'$_DB_CICLI'!Q4+'$_DB_CICLI'!Q28</f>
        <v>20334</v>
      </c>
      <c r="E1" s="15" t="s">
        <v>36</v>
      </c>
      <c r="F1" s="34">
        <f>D1/G2</f>
        <v>924.27272727272725</v>
      </c>
      <c r="G1" s="7" t="s">
        <v>195</v>
      </c>
      <c r="H1" s="6">
        <f>'$_DATI_BASE'!M8</f>
        <v>330</v>
      </c>
      <c r="I1" s="7" t="s">
        <v>210</v>
      </c>
      <c r="J1" s="1"/>
      <c r="O1" t="s">
        <v>339</v>
      </c>
      <c r="P1" s="761"/>
      <c r="Q1" s="761"/>
      <c r="R1" s="14"/>
      <c r="S1" s="9" t="s">
        <v>340</v>
      </c>
      <c r="T1" s="9"/>
      <c r="U1" s="9"/>
    </row>
    <row r="2" spans="1:34" ht="18.75" customHeight="1" x14ac:dyDescent="0.3">
      <c r="A2" s="760" t="s">
        <v>208</v>
      </c>
      <c r="B2" s="760"/>
      <c r="C2" s="760"/>
      <c r="D2" s="34">
        <f>D1*70%</f>
        <v>14233.8</v>
      </c>
      <c r="E2" s="762" t="s">
        <v>209</v>
      </c>
      <c r="F2" s="762"/>
      <c r="G2" s="6">
        <v>22</v>
      </c>
      <c r="H2" s="7" t="s">
        <v>341</v>
      </c>
      <c r="I2" s="35">
        <v>0.2</v>
      </c>
      <c r="J2" s="642" t="s">
        <v>342</v>
      </c>
      <c r="K2" s="643"/>
      <c r="L2" s="643"/>
      <c r="M2" s="643"/>
      <c r="N2" s="643"/>
      <c r="O2" s="643"/>
      <c r="P2" s="763" t="s">
        <v>343</v>
      </c>
      <c r="Q2" s="763"/>
      <c r="R2" s="763"/>
      <c r="S2" s="763"/>
      <c r="T2" s="763"/>
      <c r="U2" s="763"/>
      <c r="V2" s="690"/>
      <c r="W2" s="690"/>
      <c r="X2" s="690"/>
      <c r="Y2" s="690"/>
      <c r="Z2" s="690"/>
    </row>
    <row r="3" spans="1:34" ht="18.75" customHeight="1" x14ac:dyDescent="0.3">
      <c r="A3" s="760" t="s">
        <v>211</v>
      </c>
      <c r="B3" s="760"/>
      <c r="C3" s="760"/>
      <c r="D3" s="34">
        <f>D1*30%</f>
        <v>6100.2</v>
      </c>
      <c r="E3" s="762" t="s">
        <v>344</v>
      </c>
      <c r="F3" s="762"/>
      <c r="G3" s="6">
        <v>15</v>
      </c>
      <c r="H3" s="11"/>
      <c r="I3" s="7"/>
      <c r="J3" s="643"/>
      <c r="K3" s="643"/>
      <c r="L3" s="643"/>
      <c r="M3" s="643"/>
      <c r="N3" s="643"/>
      <c r="O3" s="643"/>
      <c r="P3" s="763"/>
      <c r="Q3" s="763"/>
      <c r="R3" s="763"/>
      <c r="S3" s="763"/>
      <c r="T3" s="763"/>
      <c r="U3" s="779"/>
      <c r="V3" s="690"/>
      <c r="W3" s="690"/>
      <c r="X3" s="690"/>
      <c r="Y3" s="690"/>
      <c r="Z3" s="690"/>
    </row>
    <row r="4" spans="1:34" ht="14.4" customHeight="1" x14ac:dyDescent="0.3">
      <c r="A4" s="690"/>
      <c r="B4" s="690"/>
      <c r="C4" s="765" t="s">
        <v>77</v>
      </c>
      <c r="D4" s="765" t="s">
        <v>149</v>
      </c>
      <c r="E4" s="765"/>
      <c r="F4" s="765"/>
      <c r="G4" s="765"/>
      <c r="H4" s="765"/>
      <c r="I4" s="765"/>
      <c r="J4" s="591" t="s">
        <v>213</v>
      </c>
      <c r="K4" s="591"/>
      <c r="L4" s="590" t="s">
        <v>345</v>
      </c>
      <c r="M4" s="600" t="s">
        <v>346</v>
      </c>
      <c r="N4" s="590" t="s">
        <v>347</v>
      </c>
      <c r="O4" s="767" t="s">
        <v>348</v>
      </c>
      <c r="P4" s="600" t="s">
        <v>349</v>
      </c>
      <c r="Q4" s="600" t="s">
        <v>350</v>
      </c>
      <c r="R4" s="600" t="s">
        <v>345</v>
      </c>
      <c r="S4" s="767" t="s">
        <v>348</v>
      </c>
      <c r="T4" s="768" t="s">
        <v>351</v>
      </c>
      <c r="U4" s="780" t="s">
        <v>352</v>
      </c>
      <c r="V4" s="758"/>
      <c r="W4" s="758"/>
      <c r="X4" s="783"/>
      <c r="Y4" s="758"/>
      <c r="Z4" s="758"/>
      <c r="AB4" s="758"/>
      <c r="AC4" s="758"/>
      <c r="AD4" s="783"/>
      <c r="AE4" s="758"/>
      <c r="AF4" s="758"/>
      <c r="AG4" s="457"/>
    </row>
    <row r="5" spans="1:34" ht="21.75" customHeight="1" x14ac:dyDescent="0.3">
      <c r="A5" s="690"/>
      <c r="B5" s="690"/>
      <c r="C5" s="643"/>
      <c r="D5" s="643"/>
      <c r="E5" s="643"/>
      <c r="F5" s="643"/>
      <c r="G5" s="643"/>
      <c r="H5" s="643"/>
      <c r="I5" s="643"/>
      <c r="J5" s="21" t="s">
        <v>215</v>
      </c>
      <c r="K5" s="21" t="s">
        <v>216</v>
      </c>
      <c r="L5" s="590"/>
      <c r="M5" s="590"/>
      <c r="N5" s="590"/>
      <c r="O5" s="591"/>
      <c r="P5" s="600"/>
      <c r="Q5" s="600"/>
      <c r="R5" s="600"/>
      <c r="S5" s="591"/>
      <c r="T5" s="768"/>
      <c r="U5" s="780"/>
      <c r="V5" s="758"/>
      <c r="W5" s="758"/>
      <c r="X5" s="783"/>
      <c r="Y5" s="758"/>
      <c r="Z5" s="758"/>
      <c r="AB5" s="758"/>
      <c r="AC5" s="758"/>
      <c r="AD5" s="783"/>
      <c r="AE5" s="758"/>
      <c r="AF5" s="758"/>
      <c r="AG5" s="457"/>
      <c r="AH5" s="457"/>
    </row>
    <row r="6" spans="1:34" x14ac:dyDescent="0.3">
      <c r="A6" s="600" t="s">
        <v>353</v>
      </c>
      <c r="B6" s="600"/>
      <c r="C6" s="11" t="str">
        <f>'$_DB_CICLI'!F11</f>
        <v>ESTLAM001</v>
      </c>
      <c r="D6" s="759" t="str">
        <f>'$_DB_CICLI'!I11</f>
        <v>FOGLIO LAMIERA 1500x2000x3</v>
      </c>
      <c r="E6" s="759"/>
      <c r="F6" s="759"/>
      <c r="G6" s="759"/>
      <c r="H6" s="759"/>
      <c r="I6" s="759"/>
      <c r="J6" s="29">
        <f>'$_DB_CICLI'!Q11</f>
        <v>3026</v>
      </c>
      <c r="K6" s="362">
        <f>'$_DB_CICLI'!Q35</f>
        <v>1297</v>
      </c>
      <c r="L6" s="29">
        <f>J6+K6</f>
        <v>4323</v>
      </c>
      <c r="M6" s="30" t="s">
        <v>58</v>
      </c>
      <c r="N6" s="32">
        <v>25</v>
      </c>
      <c r="O6" s="36">
        <f>ROUNDUP(L6/N6,0)</f>
        <v>173</v>
      </c>
      <c r="P6" s="37">
        <f>L6/$G$2*$Y$14</f>
        <v>1965</v>
      </c>
      <c r="Q6" s="37">
        <f>L6/$G$2*$Z$14</f>
        <v>589.5</v>
      </c>
      <c r="R6" s="37">
        <f>SUM(P6:Q6)</f>
        <v>2554.5</v>
      </c>
      <c r="S6" s="30">
        <f>_xlfn.CEILING.MATH(R6/N6)</f>
        <v>103</v>
      </c>
      <c r="T6" s="30">
        <f>(R6/2)/(L6/$G$2)</f>
        <v>6.5</v>
      </c>
      <c r="U6" s="455">
        <f>$G$2/T6</f>
        <v>3.3846153846153846</v>
      </c>
      <c r="V6" s="483"/>
      <c r="W6" s="483"/>
      <c r="X6" s="149"/>
      <c r="Y6" s="149"/>
      <c r="Z6" s="782"/>
      <c r="AH6" s="131"/>
    </row>
    <row r="7" spans="1:34" x14ac:dyDescent="0.3">
      <c r="A7" s="600"/>
      <c r="B7" s="600"/>
      <c r="C7" s="11" t="str">
        <f>'$_DB_CICLI'!F15</f>
        <v>ESTLAM002</v>
      </c>
      <c r="D7" s="759" t="str">
        <f>'$_DB_CICLI'!I15</f>
        <v>FOGLIO LAMIERA 1000x1500x3</v>
      </c>
      <c r="E7" s="759"/>
      <c r="F7" s="759"/>
      <c r="G7" s="759"/>
      <c r="H7" s="759"/>
      <c r="I7" s="759"/>
      <c r="J7" s="29">
        <f>'$_DB_CICLI'!Q15</f>
        <v>2269</v>
      </c>
      <c r="K7" s="29">
        <f>'$_DB_CICLI'!Q39</f>
        <v>1621</v>
      </c>
      <c r="L7" s="29">
        <f t="shared" ref="L7:L13" si="0">J7+K7</f>
        <v>3890</v>
      </c>
      <c r="M7" s="30" t="s">
        <v>58</v>
      </c>
      <c r="N7" s="32">
        <v>25</v>
      </c>
      <c r="O7" s="36">
        <f t="shared" ref="O7:O14" si="1">ROUNDUP(L7/N7,0)</f>
        <v>156</v>
      </c>
      <c r="P7" s="37">
        <f>L7/$G$2*$Y$14</f>
        <v>1768.181818181818</v>
      </c>
      <c r="Q7" s="37">
        <f>L7/$G$2*$Z$14</f>
        <v>530.4545454545455</v>
      </c>
      <c r="R7" s="37">
        <f t="shared" ref="R7:R13" si="2">SUM(P7:Q7)</f>
        <v>2298.6363636363635</v>
      </c>
      <c r="S7" s="30">
        <f t="shared" ref="S7:S14" si="3">_xlfn.CEILING.MATH(R7/N7)</f>
        <v>92</v>
      </c>
      <c r="T7" s="30">
        <f t="shared" ref="T7:T14" si="4">(R7/2)/(L7/$G$2)</f>
        <v>6.5</v>
      </c>
      <c r="U7" s="455">
        <f t="shared" ref="U7:U14" si="5">$G$2/T7</f>
        <v>3.3846153846153846</v>
      </c>
      <c r="V7" s="483"/>
      <c r="W7" s="483"/>
      <c r="X7" s="149"/>
      <c r="Y7" s="149"/>
      <c r="Z7" s="782"/>
      <c r="AH7" s="131"/>
    </row>
    <row r="8" spans="1:34" x14ac:dyDescent="0.3">
      <c r="A8" s="600"/>
      <c r="B8" s="600"/>
      <c r="C8" s="11" t="str">
        <f>'$_DB_CICLI'!F19</f>
        <v>ESTLAM003</v>
      </c>
      <c r="D8" s="759" t="str">
        <f>'$_DB_CICLI'!I19</f>
        <v>FOGLIO LAMIERA 1000x2000x3</v>
      </c>
      <c r="E8" s="759"/>
      <c r="F8" s="759"/>
      <c r="G8" s="759"/>
      <c r="H8" s="759"/>
      <c r="I8" s="759"/>
      <c r="J8" s="29">
        <f>'$_DB_CICLI'!Q19+'$_DB_CICLI'!Q22</f>
        <v>14975</v>
      </c>
      <c r="K8" s="29">
        <f>'$_DB_CICLI'!Q43+'$_DB_CICLI'!Q46</f>
        <v>6419</v>
      </c>
      <c r="L8" s="29">
        <f t="shared" si="0"/>
        <v>21394</v>
      </c>
      <c r="M8" s="30" t="s">
        <v>58</v>
      </c>
      <c r="N8" s="32">
        <v>25</v>
      </c>
      <c r="O8" s="36">
        <f>ROUNDUP(L8/N8,0)</f>
        <v>856</v>
      </c>
      <c r="P8" s="37">
        <f>L8/$G$2*$Y$14</f>
        <v>9724.5454545454559</v>
      </c>
      <c r="Q8" s="37">
        <f>L8/$G$2*$Z$14</f>
        <v>2917.3636363636365</v>
      </c>
      <c r="R8" s="37">
        <f t="shared" si="2"/>
        <v>12641.909090909092</v>
      </c>
      <c r="S8" s="30">
        <f t="shared" si="3"/>
        <v>506</v>
      </c>
      <c r="T8" s="30">
        <f t="shared" si="4"/>
        <v>6.5</v>
      </c>
      <c r="U8" s="455">
        <f t="shared" si="5"/>
        <v>3.3846153846153846</v>
      </c>
      <c r="V8" s="483"/>
      <c r="W8" s="483"/>
      <c r="X8" s="149"/>
      <c r="Y8" s="149"/>
      <c r="Z8" s="782"/>
      <c r="AH8" s="131"/>
    </row>
    <row r="9" spans="1:34" x14ac:dyDescent="0.3">
      <c r="A9" s="600"/>
      <c r="B9" s="600"/>
      <c r="C9" s="11" t="str">
        <f>'$_DB_CICLI'!F26</f>
        <v>ESTASS001</v>
      </c>
      <c r="D9" s="759" t="s">
        <v>354</v>
      </c>
      <c r="E9" s="759"/>
      <c r="F9" s="759"/>
      <c r="G9" s="759"/>
      <c r="H9" s="759"/>
      <c r="I9" s="759"/>
      <c r="J9" s="29">
        <f>'$_DB_CICLI'!Q26</f>
        <v>14234</v>
      </c>
      <c r="K9" s="29"/>
      <c r="L9" s="29">
        <f>J9+K9</f>
        <v>14234</v>
      </c>
      <c r="M9" s="30" t="s">
        <v>96</v>
      </c>
      <c r="N9" s="32">
        <v>12</v>
      </c>
      <c r="O9" s="36">
        <f t="shared" si="1"/>
        <v>1187</v>
      </c>
      <c r="P9" s="37">
        <f>L9/$G$2*$Y$20</f>
        <v>3235</v>
      </c>
      <c r="Q9" s="37">
        <f>L9/$G$2*$Z$20</f>
        <v>1294</v>
      </c>
      <c r="R9" s="37">
        <f t="shared" si="2"/>
        <v>4529</v>
      </c>
      <c r="S9" s="30">
        <f t="shared" si="3"/>
        <v>378</v>
      </c>
      <c r="T9" s="30">
        <f t="shared" si="4"/>
        <v>3.5</v>
      </c>
      <c r="U9" s="458">
        <f t="shared" si="5"/>
        <v>6.2857142857142856</v>
      </c>
      <c r="V9" s="483"/>
      <c r="W9" s="483"/>
      <c r="X9" s="149"/>
      <c r="Y9" s="149"/>
      <c r="Z9" s="782"/>
      <c r="AH9" s="131"/>
    </row>
    <row r="10" spans="1:34" ht="15" thickBot="1" x14ac:dyDescent="0.35">
      <c r="A10" s="600"/>
      <c r="B10" s="600"/>
      <c r="C10" s="11" t="str">
        <f>'$_DB_CICLI'!F50</f>
        <v>ESTASS002</v>
      </c>
      <c r="D10" s="759" t="s">
        <v>355</v>
      </c>
      <c r="E10" s="759"/>
      <c r="F10" s="759"/>
      <c r="G10" s="759"/>
      <c r="H10" s="759"/>
      <c r="I10" s="759"/>
      <c r="J10" s="29"/>
      <c r="K10" s="29">
        <f>'$_DB_CICLI'!Q50</f>
        <v>6100</v>
      </c>
      <c r="L10" s="29">
        <f>J10+K10</f>
        <v>6100</v>
      </c>
      <c r="M10" s="30" t="s">
        <v>96</v>
      </c>
      <c r="N10" s="32">
        <v>12</v>
      </c>
      <c r="O10" s="36">
        <f t="shared" si="1"/>
        <v>509</v>
      </c>
      <c r="P10" s="37">
        <f>L10/$G$2*$Y$20</f>
        <v>1386.3636363636363</v>
      </c>
      <c r="Q10" s="37">
        <f>L10/$G$2*$Z$20</f>
        <v>554.5454545454545</v>
      </c>
      <c r="R10" s="37">
        <f t="shared" si="2"/>
        <v>1940.9090909090908</v>
      </c>
      <c r="S10" s="30">
        <f t="shared" si="3"/>
        <v>162</v>
      </c>
      <c r="T10" s="30">
        <f t="shared" si="4"/>
        <v>3.5</v>
      </c>
      <c r="U10" s="458">
        <f t="shared" si="5"/>
        <v>6.2857142857142856</v>
      </c>
      <c r="V10" s="483"/>
      <c r="W10" s="483"/>
      <c r="X10" s="149"/>
      <c r="Y10" s="149"/>
      <c r="Z10" s="782"/>
      <c r="AH10" s="131"/>
    </row>
    <row r="11" spans="1:34" x14ac:dyDescent="0.3">
      <c r="A11" s="600"/>
      <c r="B11" s="600"/>
      <c r="C11" s="11" t="str">
        <f>'$_DB_CICLI'!F23</f>
        <v>ESTALB001</v>
      </c>
      <c r="D11" s="759" t="s">
        <v>356</v>
      </c>
      <c r="E11" s="759"/>
      <c r="F11" s="759"/>
      <c r="G11" s="759"/>
      <c r="H11" s="759"/>
      <c r="I11" s="759"/>
      <c r="J11" s="29">
        <f>'$_DB_CICLI'!Q23</f>
        <v>14234</v>
      </c>
      <c r="K11" s="29"/>
      <c r="L11" s="29">
        <f t="shared" si="0"/>
        <v>14234</v>
      </c>
      <c r="M11" s="30" t="s" cm="1">
        <v>70</v>
      </c>
      <c r="N11" s="32">
        <v>50</v>
      </c>
      <c r="O11" s="36">
        <f t="shared" si="1"/>
        <v>285</v>
      </c>
      <c r="P11" s="37">
        <f>L11/$G$2*$Y$18</f>
        <v>6470</v>
      </c>
      <c r="Q11" s="37">
        <f>L11/$G$2*$Z$18</f>
        <v>1941</v>
      </c>
      <c r="R11" s="37">
        <f t="shared" si="2"/>
        <v>8411</v>
      </c>
      <c r="S11" s="30">
        <f t="shared" si="3"/>
        <v>169</v>
      </c>
      <c r="T11" s="30">
        <f t="shared" si="4"/>
        <v>6.5</v>
      </c>
      <c r="U11" s="455">
        <f t="shared" si="5"/>
        <v>3.3846153846153846</v>
      </c>
      <c r="V11" s="617" t="s">
        <v>48</v>
      </c>
      <c r="W11" s="618"/>
      <c r="X11" s="618"/>
      <c r="Y11" s="619" t="s">
        <v>49</v>
      </c>
      <c r="Z11" s="620" t="s">
        <v>50</v>
      </c>
      <c r="AH11" s="131"/>
    </row>
    <row r="12" spans="1:34" x14ac:dyDescent="0.3">
      <c r="A12" s="600"/>
      <c r="B12" s="600"/>
      <c r="C12" s="11" t="str">
        <f>'$_DB_CICLI'!F47</f>
        <v>ESTALB002</v>
      </c>
      <c r="D12" s="759" t="s">
        <v>357</v>
      </c>
      <c r="E12" s="759"/>
      <c r="F12" s="759"/>
      <c r="G12" s="759"/>
      <c r="H12" s="759"/>
      <c r="I12" s="759"/>
      <c r="J12" s="29"/>
      <c r="K12" s="29">
        <f>'$_DB_CICLI'!Q50</f>
        <v>6100</v>
      </c>
      <c r="L12" s="29">
        <f t="shared" si="0"/>
        <v>6100</v>
      </c>
      <c r="M12" s="30" t="s">
        <v>70</v>
      </c>
      <c r="N12" s="32">
        <v>50</v>
      </c>
      <c r="O12" s="36">
        <f t="shared" si="1"/>
        <v>122</v>
      </c>
      <c r="P12" s="37">
        <f>L12/$G$2*$Y$18</f>
        <v>2772.7272727272725</v>
      </c>
      <c r="Q12" s="37">
        <f>L12/$G$2*$Z$18</f>
        <v>831.81818181818176</v>
      </c>
      <c r="R12" s="37">
        <f t="shared" si="2"/>
        <v>3604.545454545454</v>
      </c>
      <c r="S12" s="30">
        <f t="shared" si="3"/>
        <v>73</v>
      </c>
      <c r="T12" s="30">
        <f t="shared" si="4"/>
        <v>6.5</v>
      </c>
      <c r="U12" s="455">
        <f t="shared" si="5"/>
        <v>3.3846153846153846</v>
      </c>
      <c r="V12" s="599"/>
      <c r="W12" s="600"/>
      <c r="X12" s="600"/>
      <c r="Y12" s="593"/>
      <c r="Z12" s="612"/>
      <c r="AH12" s="131"/>
    </row>
    <row r="13" spans="1:34" x14ac:dyDescent="0.3">
      <c r="A13" s="600"/>
      <c r="B13" s="600"/>
      <c r="C13" s="11" t="str">
        <f>'$_DB_CICLI'!F48</f>
        <v>ESTING001</v>
      </c>
      <c r="D13" s="759" t="s">
        <v>71</v>
      </c>
      <c r="E13" s="759"/>
      <c r="F13" s="759"/>
      <c r="G13" s="759"/>
      <c r="H13" s="759"/>
      <c r="I13" s="759"/>
      <c r="J13" s="29">
        <f>'$_DB_CICLI'!Q24</f>
        <v>28468</v>
      </c>
      <c r="K13" s="29">
        <f>'$_DB_CICLI'!Q48</f>
        <v>12200</v>
      </c>
      <c r="L13" s="29">
        <f t="shared" si="0"/>
        <v>40668</v>
      </c>
      <c r="M13" s="30" t="s">
        <v>70</v>
      </c>
      <c r="N13" s="32">
        <v>200</v>
      </c>
      <c r="O13" s="36">
        <f t="shared" si="1"/>
        <v>204</v>
      </c>
      <c r="P13" s="37">
        <f>L13/$G$2*$Y$16</f>
        <v>5545.636363636364</v>
      </c>
      <c r="Q13" s="37">
        <f>L13/$G$2*$Z$16</f>
        <v>1848.5454545454545</v>
      </c>
      <c r="R13" s="37">
        <f t="shared" si="2"/>
        <v>7394.181818181818</v>
      </c>
      <c r="S13" s="30">
        <f t="shared" si="3"/>
        <v>37</v>
      </c>
      <c r="T13" s="30">
        <f t="shared" si="4"/>
        <v>2</v>
      </c>
      <c r="U13" s="456">
        <f t="shared" si="5"/>
        <v>11</v>
      </c>
      <c r="V13" s="599"/>
      <c r="W13" s="600"/>
      <c r="X13" s="600"/>
      <c r="Y13" s="593"/>
      <c r="Z13" s="612"/>
      <c r="AH13" s="131"/>
    </row>
    <row r="14" spans="1:34" x14ac:dyDescent="0.3">
      <c r="A14" s="600"/>
      <c r="B14" s="600"/>
      <c r="C14" s="11" t="str">
        <f>'$_DB_CICLI'!F49</f>
        <v>ESTING002</v>
      </c>
      <c r="D14" s="759" t="s">
        <v>74</v>
      </c>
      <c r="E14" s="759"/>
      <c r="F14" s="759"/>
      <c r="G14" s="759"/>
      <c r="H14" s="759"/>
      <c r="I14" s="759"/>
      <c r="J14" s="29">
        <f>'$_DB_CICLI'!Q25</f>
        <v>42702</v>
      </c>
      <c r="K14" s="29">
        <f>'$_DB_CICLI'!Q49</f>
        <v>18300</v>
      </c>
      <c r="L14" s="29">
        <f>J14+K14</f>
        <v>61002</v>
      </c>
      <c r="M14" s="30" t="s">
        <v>70</v>
      </c>
      <c r="N14" s="32">
        <v>200</v>
      </c>
      <c r="O14" s="36">
        <f t="shared" si="1"/>
        <v>306</v>
      </c>
      <c r="P14" s="37">
        <f>L14/$G$2*$Y$16</f>
        <v>8318.454545454546</v>
      </c>
      <c r="Q14" s="37">
        <f>L14/$G$2*$Z$16</f>
        <v>2772.818181818182</v>
      </c>
      <c r="R14" s="37">
        <f>SUM(P14:Q14)</f>
        <v>11091.272727272728</v>
      </c>
      <c r="S14" s="30">
        <f t="shared" si="3"/>
        <v>56</v>
      </c>
      <c r="T14" s="30">
        <f t="shared" si="4"/>
        <v>2</v>
      </c>
      <c r="U14" s="456">
        <f t="shared" si="5"/>
        <v>11</v>
      </c>
      <c r="V14" s="601" t="s">
        <v>56</v>
      </c>
      <c r="W14" s="590"/>
      <c r="X14" s="590"/>
      <c r="Y14" s="610">
        <v>10</v>
      </c>
      <c r="Z14" s="612">
        <v>3</v>
      </c>
      <c r="AH14" s="131"/>
    </row>
    <row r="15" spans="1:34" x14ac:dyDescent="0.3">
      <c r="A15" s="690"/>
      <c r="B15" s="690"/>
      <c r="C15" s="690"/>
      <c r="D15" s="690"/>
      <c r="E15" s="690"/>
      <c r="F15" s="690"/>
      <c r="G15" s="690"/>
      <c r="H15" s="690"/>
      <c r="I15" s="690"/>
      <c r="J15" s="690"/>
      <c r="K15" s="690"/>
      <c r="L15" s="690"/>
      <c r="O15" s="5"/>
      <c r="P15" s="13"/>
      <c r="Q15" s="13"/>
      <c r="R15" s="13"/>
      <c r="S15" s="13"/>
      <c r="T15" s="7"/>
      <c r="U15" s="459"/>
      <c r="V15" s="601"/>
      <c r="W15" s="590"/>
      <c r="X15" s="590"/>
      <c r="Y15" s="610"/>
      <c r="Z15" s="612"/>
    </row>
    <row r="16" spans="1:34" x14ac:dyDescent="0.3">
      <c r="A16" s="600" t="s">
        <v>368</v>
      </c>
      <c r="B16" s="600"/>
      <c r="C16" s="11" t="str">
        <f>'$_DB_CICLI'!F4</f>
        <v>INTASS001</v>
      </c>
      <c r="D16" s="759" t="str">
        <f>'$_DB_CICLI'!I4</f>
        <v>FRESATRICE COMPLETA L=1500</v>
      </c>
      <c r="E16" s="759"/>
      <c r="F16" s="759"/>
      <c r="G16" s="759"/>
      <c r="H16" s="759"/>
      <c r="I16" s="759"/>
      <c r="J16" s="29">
        <f>'$_DB_CICLI'!Q4</f>
        <v>14234</v>
      </c>
      <c r="K16" s="29"/>
      <c r="L16" s="29">
        <f>J16+K16</f>
        <v>14234</v>
      </c>
      <c r="M16" s="30" t="s">
        <v>85</v>
      </c>
      <c r="N16" s="32">
        <v>1</v>
      </c>
      <c r="O16" s="36">
        <f t="shared" ref="O16:O17" si="6">ROUNDUP(L16/N16,0)</f>
        <v>14234</v>
      </c>
      <c r="P16" s="38">
        <f>'$_DATI_BASE'!T45</f>
        <v>500</v>
      </c>
      <c r="Q16" s="363">
        <f>P16*$I$2</f>
        <v>100</v>
      </c>
      <c r="R16" s="37">
        <f>SUM(P16:Q16)</f>
        <v>600</v>
      </c>
      <c r="S16" s="38">
        <f>R16/N16</f>
        <v>600</v>
      </c>
      <c r="T16" s="31">
        <f>(R16/2)/(L16/$G$2)</f>
        <v>0.46367851622874806</v>
      </c>
      <c r="U16" s="206">
        <f>$G$2/T16</f>
        <v>47.446666666666665</v>
      </c>
      <c r="V16" s="599" t="s">
        <v>64</v>
      </c>
      <c r="W16" s="590"/>
      <c r="X16" s="590"/>
      <c r="Y16" s="610">
        <v>3</v>
      </c>
      <c r="Z16" s="612">
        <v>1</v>
      </c>
      <c r="AC16" s="5"/>
    </row>
    <row r="17" spans="1:29" ht="15" customHeight="1" x14ac:dyDescent="0.3">
      <c r="A17" s="600"/>
      <c r="B17" s="600"/>
      <c r="C17" s="11" t="str">
        <f>'$_DB_CICLI'!F28</f>
        <v>INTASS002</v>
      </c>
      <c r="D17" s="759" t="str">
        <f>'$_DB_CICLI'!I28</f>
        <v>FRESATRICE COMPLETA L=1750</v>
      </c>
      <c r="E17" s="759"/>
      <c r="F17" s="759"/>
      <c r="G17" s="759"/>
      <c r="H17" s="759"/>
      <c r="I17" s="759"/>
      <c r="J17" s="29"/>
      <c r="K17" s="29">
        <f>'$_DB_CICLI'!Q28</f>
        <v>6100</v>
      </c>
      <c r="L17" s="29">
        <f>J17+K17</f>
        <v>6100</v>
      </c>
      <c r="M17" s="30" t="s">
        <v>85</v>
      </c>
      <c r="N17" s="32">
        <v>1</v>
      </c>
      <c r="O17" s="36">
        <f t="shared" si="6"/>
        <v>6100</v>
      </c>
      <c r="P17" s="38">
        <f>'$_DATI_BASE'!T46</f>
        <v>215</v>
      </c>
      <c r="Q17" s="363">
        <f>P17*$I$2</f>
        <v>43</v>
      </c>
      <c r="R17" s="37">
        <f>SUM(P17:Q17)</f>
        <v>258</v>
      </c>
      <c r="S17" s="38">
        <f>R17/N17</f>
        <v>258</v>
      </c>
      <c r="T17" s="31">
        <f>(R17/2)/(L17/$G$2)</f>
        <v>0.46524590163934432</v>
      </c>
      <c r="U17" s="206">
        <f>$G$2/T17</f>
        <v>47.286821705426348</v>
      </c>
      <c r="V17" s="601"/>
      <c r="W17" s="590"/>
      <c r="X17" s="590"/>
      <c r="Y17" s="610"/>
      <c r="Z17" s="612"/>
      <c r="AA17" s="545"/>
      <c r="AB17" s="545"/>
      <c r="AC17" s="5"/>
    </row>
    <row r="18" spans="1:29" x14ac:dyDescent="0.3">
      <c r="A18" s="784"/>
      <c r="B18" s="784"/>
      <c r="C18" s="784"/>
      <c r="D18" s="784"/>
      <c r="E18" s="784"/>
      <c r="F18" s="784"/>
      <c r="G18" s="784"/>
      <c r="H18" s="784"/>
      <c r="I18" s="784"/>
      <c r="J18" s="784"/>
      <c r="K18" s="784"/>
      <c r="L18" s="784"/>
      <c r="M18" s="784"/>
      <c r="N18" s="784"/>
      <c r="O18" s="784"/>
      <c r="P18" s="784"/>
      <c r="Q18" s="784"/>
      <c r="R18" s="784"/>
      <c r="S18" s="784"/>
      <c r="T18" s="12"/>
      <c r="U18" s="459"/>
      <c r="V18" s="601" t="s">
        <v>68</v>
      </c>
      <c r="W18" s="590"/>
      <c r="X18" s="590"/>
      <c r="Y18" s="610">
        <v>10</v>
      </c>
      <c r="Z18" s="612">
        <v>3</v>
      </c>
      <c r="AA18" s="545"/>
      <c r="AB18" s="545"/>
      <c r="AC18" s="5"/>
    </row>
    <row r="19" spans="1:29" x14ac:dyDescent="0.3">
      <c r="A19" s="600" t="s">
        <v>371</v>
      </c>
      <c r="B19" s="600"/>
      <c r="C19" s="11" t="str">
        <f>'$_DB_CICLI'!F6</f>
        <v>INTSAL001</v>
      </c>
      <c r="D19" s="759" t="str">
        <f>'$_DB_CICLI'!I6</f>
        <v xml:space="preserve"> TELAIO COMPLETO PER FRESATRICE L=1500 </v>
      </c>
      <c r="E19" s="759"/>
      <c r="F19" s="759"/>
      <c r="G19" s="759"/>
      <c r="H19" s="759"/>
      <c r="I19" s="759"/>
      <c r="J19" s="29">
        <f>'$_DB_CICLI'!Q6</f>
        <v>14234</v>
      </c>
      <c r="K19" s="29"/>
      <c r="L19" s="29">
        <f>J19+K19</f>
        <v>14234</v>
      </c>
      <c r="M19" s="30" t="s">
        <v>96</v>
      </c>
      <c r="N19" s="32">
        <v>4</v>
      </c>
      <c r="O19" s="36">
        <f t="shared" ref="O19:O28" si="7">ROUNDUP(L19/N19,0)</f>
        <v>3559</v>
      </c>
      <c r="P19" s="38">
        <f>'$_DATI_BASE'!T47*'$_DATI_BASE'!U20</f>
        <v>485</v>
      </c>
      <c r="Q19" s="38">
        <f>P19*$I$2</f>
        <v>97</v>
      </c>
      <c r="R19" s="37">
        <f>SUM(P19:Q19)</f>
        <v>582</v>
      </c>
      <c r="S19" s="38">
        <f>R19/N19</f>
        <v>145.5</v>
      </c>
      <c r="T19" s="31">
        <f t="shared" ref="T19:T29" si="8">(R19/2)/(L19/$G$2)</f>
        <v>0.44976816074188564</v>
      </c>
      <c r="U19" s="31">
        <f t="shared" ref="U19:U29" si="9">$G$2/T19</f>
        <v>48.914089347079035</v>
      </c>
      <c r="V19" s="601"/>
      <c r="W19" s="590"/>
      <c r="X19" s="590"/>
      <c r="Y19" s="610"/>
      <c r="Z19" s="612"/>
      <c r="AA19" s="545"/>
      <c r="AB19" s="545"/>
      <c r="AC19" s="5"/>
    </row>
    <row r="20" spans="1:29" x14ac:dyDescent="0.3">
      <c r="A20" s="600"/>
      <c r="B20" s="600"/>
      <c r="C20" s="11" t="str">
        <f>'$_DB_CICLI'!F30</f>
        <v>INTSAL002</v>
      </c>
      <c r="D20" s="759" t="str">
        <f>'$_DB_CICLI'!I30</f>
        <v xml:space="preserve"> TELAIO COMPLETO PER FRESATRICE L=1750 </v>
      </c>
      <c r="E20" s="759"/>
      <c r="F20" s="759"/>
      <c r="G20" s="759"/>
      <c r="H20" s="759"/>
      <c r="I20" s="759"/>
      <c r="J20" s="29"/>
      <c r="K20" s="29">
        <f>'$_DB_CICLI'!Q30</f>
        <v>6100</v>
      </c>
      <c r="L20" s="29">
        <f t="shared" ref="L20:L29" si="10">J20+K20</f>
        <v>6100</v>
      </c>
      <c r="M20" s="30" t="s">
        <v>96</v>
      </c>
      <c r="N20" s="32">
        <v>4</v>
      </c>
      <c r="O20" s="36">
        <f t="shared" si="7"/>
        <v>1525</v>
      </c>
      <c r="P20" s="38">
        <f>'$_DATI_BASE'!T48*'$_DATI_BASE'!U20</f>
        <v>208.54999999999998</v>
      </c>
      <c r="Q20" s="38">
        <f t="shared" ref="Q20:Q29" si="11">P20*$I$2</f>
        <v>41.71</v>
      </c>
      <c r="R20" s="37">
        <f t="shared" ref="R20:R29" si="12">SUM(P20:Q20)</f>
        <v>250.26</v>
      </c>
      <c r="S20" s="38">
        <f t="shared" ref="S20:S29" si="13">R20/N20</f>
        <v>62.564999999999998</v>
      </c>
      <c r="T20" s="31">
        <f t="shared" si="8"/>
        <v>0.45128852459016394</v>
      </c>
      <c r="U20" s="31">
        <f t="shared" si="9"/>
        <v>48.749300727243664</v>
      </c>
      <c r="V20" s="601" t="s">
        <v>75</v>
      </c>
      <c r="W20" s="590"/>
      <c r="X20" s="590"/>
      <c r="Y20" s="610">
        <v>5</v>
      </c>
      <c r="Z20" s="612">
        <v>2</v>
      </c>
      <c r="AC20" s="5"/>
    </row>
    <row r="21" spans="1:29" ht="15" thickBot="1" x14ac:dyDescent="0.35">
      <c r="A21" s="600"/>
      <c r="B21" s="600"/>
      <c r="C21" s="11" t="str">
        <f>'$_DB_CICLI'!F8</f>
        <v>INTPSP001</v>
      </c>
      <c r="D21" s="759" t="str">
        <f>'$_DB_CICLI'!I8</f>
        <v>CARTER L=1500</v>
      </c>
      <c r="E21" s="759"/>
      <c r="F21" s="759"/>
      <c r="G21" s="759"/>
      <c r="H21" s="759"/>
      <c r="I21" s="759"/>
      <c r="J21" s="29">
        <f>'$_DB_CICLI'!Q8</f>
        <v>14675</v>
      </c>
      <c r="K21" s="29"/>
      <c r="L21" s="29">
        <f t="shared" si="10"/>
        <v>14675</v>
      </c>
      <c r="M21" s="30" t="s">
        <v>58</v>
      </c>
      <c r="N21" s="32">
        <v>25</v>
      </c>
      <c r="O21" s="36">
        <f t="shared" si="7"/>
        <v>587</v>
      </c>
      <c r="P21" s="38">
        <f>'$_DATI_BASE'!T49*'$_DATI_BASE'!$U$26</f>
        <v>490</v>
      </c>
      <c r="Q21" s="38">
        <f t="shared" si="11"/>
        <v>98</v>
      </c>
      <c r="R21" s="37">
        <f t="shared" si="12"/>
        <v>588</v>
      </c>
      <c r="S21" s="38">
        <f t="shared" si="13"/>
        <v>23.52</v>
      </c>
      <c r="T21" s="31">
        <f t="shared" si="8"/>
        <v>0.44074957410562182</v>
      </c>
      <c r="U21" s="31">
        <f t="shared" si="9"/>
        <v>49.914965986394556</v>
      </c>
      <c r="V21" s="602"/>
      <c r="W21" s="603"/>
      <c r="X21" s="603"/>
      <c r="Y21" s="611"/>
      <c r="Z21" s="613"/>
    </row>
    <row r="22" spans="1:29" x14ac:dyDescent="0.3">
      <c r="A22" s="600"/>
      <c r="B22" s="600"/>
      <c r="C22" s="11" t="str">
        <f>'$_FABB_PARTI_LOTTI_TOTALE'!C15</f>
        <v>INTPSP001-10</v>
      </c>
      <c r="D22" s="759" t="str">
        <f>'$_DB_CICLI'!I10</f>
        <v>TRANCIATURA CARTER L=1500</v>
      </c>
      <c r="E22" s="759"/>
      <c r="F22" s="759"/>
      <c r="G22" s="759"/>
      <c r="H22" s="759"/>
      <c r="I22" s="759"/>
      <c r="J22" s="29">
        <f>'$_DB_CICLI'!Q10</f>
        <v>14975</v>
      </c>
      <c r="K22" s="29"/>
      <c r="L22" s="29">
        <f t="shared" si="10"/>
        <v>14975</v>
      </c>
      <c r="M22" s="30" t="s">
        <v>58</v>
      </c>
      <c r="N22" s="32">
        <v>25</v>
      </c>
      <c r="O22" s="36">
        <f t="shared" si="7"/>
        <v>599</v>
      </c>
      <c r="P22" s="38">
        <f>'$_DATI_BASE'!T50*'$_DATI_BASE'!$U$28</f>
        <v>495</v>
      </c>
      <c r="Q22" s="38">
        <f t="shared" si="11"/>
        <v>99</v>
      </c>
      <c r="R22" s="37">
        <f t="shared" si="12"/>
        <v>594</v>
      </c>
      <c r="S22" s="38">
        <f t="shared" si="13"/>
        <v>23.76</v>
      </c>
      <c r="T22" s="31">
        <f t="shared" si="8"/>
        <v>0.43632721202003344</v>
      </c>
      <c r="U22" s="31">
        <f t="shared" si="9"/>
        <v>50.420875420875419</v>
      </c>
    </row>
    <row r="23" spans="1:29" x14ac:dyDescent="0.3">
      <c r="A23" s="600"/>
      <c r="B23" s="600"/>
      <c r="C23" s="11" t="str">
        <f>'$_DB_CICLI'!F32</f>
        <v>INTPSP002</v>
      </c>
      <c r="D23" s="759" t="str">
        <f>'$_DB_CICLI'!I32</f>
        <v>CARTER L=1750</v>
      </c>
      <c r="E23" s="759"/>
      <c r="F23" s="759"/>
      <c r="G23" s="759"/>
      <c r="H23" s="759"/>
      <c r="I23" s="759"/>
      <c r="J23" s="29"/>
      <c r="K23" s="29">
        <f>'$_DB_CICLI'!Q32</f>
        <v>6289</v>
      </c>
      <c r="L23" s="29">
        <f t="shared" si="10"/>
        <v>6289</v>
      </c>
      <c r="M23" s="30" t="s">
        <v>58</v>
      </c>
      <c r="N23" s="32">
        <v>25</v>
      </c>
      <c r="O23" s="36">
        <f t="shared" si="7"/>
        <v>252</v>
      </c>
      <c r="P23" s="38">
        <f>'$_DATI_BASE'!T51*'$_DATI_BASE'!$U$26</f>
        <v>210.7</v>
      </c>
      <c r="Q23" s="38">
        <f t="shared" si="11"/>
        <v>42.14</v>
      </c>
      <c r="R23" s="37">
        <f t="shared" si="12"/>
        <v>252.83999999999997</v>
      </c>
      <c r="S23" s="38">
        <f t="shared" si="13"/>
        <v>10.113599999999998</v>
      </c>
      <c r="T23" s="31">
        <f t="shared" si="8"/>
        <v>0.44223882970265538</v>
      </c>
      <c r="U23" s="31">
        <f t="shared" si="9"/>
        <v>49.746875494383808</v>
      </c>
      <c r="W23" s="1"/>
    </row>
    <row r="24" spans="1:29" x14ac:dyDescent="0.3">
      <c r="A24" s="600"/>
      <c r="B24" s="600"/>
      <c r="C24" s="11" t="str">
        <f>'$_FABB_PARTI_LOTTI_TOTALE'!C17</f>
        <v>INTPSP002-10</v>
      </c>
      <c r="D24" s="759" t="str">
        <f>'$_FABB_PARTI_LOTTI_TOTALE'!D17</f>
        <v>TRANCIATURA CARTER L=1750</v>
      </c>
      <c r="E24" s="759"/>
      <c r="F24" s="759"/>
      <c r="G24" s="759"/>
      <c r="H24" s="759"/>
      <c r="I24" s="759"/>
      <c r="J24" s="29"/>
      <c r="K24" s="29">
        <f>'$_DB_CICLI'!Q34</f>
        <v>6418</v>
      </c>
      <c r="L24" s="29">
        <f t="shared" si="10"/>
        <v>6418</v>
      </c>
      <c r="M24" s="30" t="s">
        <v>58</v>
      </c>
      <c r="N24" s="32">
        <v>25</v>
      </c>
      <c r="O24" s="36">
        <f t="shared" si="7"/>
        <v>257</v>
      </c>
      <c r="P24" s="38">
        <f>'$_DATI_BASE'!T52*'$_DATI_BASE'!$U$28</f>
        <v>212.85</v>
      </c>
      <c r="Q24" s="38">
        <f t="shared" si="11"/>
        <v>42.57</v>
      </c>
      <c r="R24" s="37">
        <f t="shared" si="12"/>
        <v>255.42</v>
      </c>
      <c r="S24" s="38">
        <f t="shared" si="13"/>
        <v>10.216799999999999</v>
      </c>
      <c r="T24" s="31">
        <f t="shared" si="8"/>
        <v>0.43777189155500151</v>
      </c>
      <c r="U24" s="31">
        <f t="shared" si="9"/>
        <v>50.254482812622349</v>
      </c>
      <c r="W24" s="1"/>
    </row>
    <row r="25" spans="1:29" x14ac:dyDescent="0.3">
      <c r="A25" s="600"/>
      <c r="B25" s="600"/>
      <c r="C25" s="11" t="str">
        <f>'$_DB_CICLI'!F12</f>
        <v>INTPSP003</v>
      </c>
      <c r="D25" s="759" t="str">
        <f>'$_DB_CICLI'!I12</f>
        <v>STAFFE RINFORZO</v>
      </c>
      <c r="E25" s="759"/>
      <c r="F25" s="759"/>
      <c r="G25" s="759"/>
      <c r="H25" s="759"/>
      <c r="I25" s="759"/>
      <c r="J25" s="29">
        <f>'$_DB_CICLI'!Q12</f>
        <v>44023</v>
      </c>
      <c r="K25" s="29">
        <f>'$_DB_CICLI'!Q36</f>
        <v>31444</v>
      </c>
      <c r="L25" s="29">
        <f t="shared" si="10"/>
        <v>75467</v>
      </c>
      <c r="M25" s="30" t="s">
        <v>70</v>
      </c>
      <c r="N25" s="32">
        <v>200</v>
      </c>
      <c r="O25" s="36">
        <f t="shared" si="7"/>
        <v>378</v>
      </c>
      <c r="P25" s="38">
        <f>'$_DATI_BASE'!T53*'$_DATI_BASE'!$U$26</f>
        <v>2940</v>
      </c>
      <c r="Q25" s="38">
        <f t="shared" si="11"/>
        <v>588</v>
      </c>
      <c r="R25" s="37">
        <f t="shared" si="12"/>
        <v>3528</v>
      </c>
      <c r="S25" s="38">
        <f t="shared" si="13"/>
        <v>17.64</v>
      </c>
      <c r="T25" s="31">
        <f t="shared" si="8"/>
        <v>0.51423801131620439</v>
      </c>
      <c r="U25" s="31">
        <f t="shared" si="9"/>
        <v>42.781746031746039</v>
      </c>
      <c r="V25" s="781"/>
      <c r="W25" s="781"/>
      <c r="X25" s="781"/>
    </row>
    <row r="26" spans="1:29" x14ac:dyDescent="0.3">
      <c r="A26" s="600"/>
      <c r="B26" s="600"/>
      <c r="C26" s="11" t="str">
        <f>'$_FABB_PARTI_LOTTI_TOTALE'!C19</f>
        <v>INTPSP003-10</v>
      </c>
      <c r="D26" s="759" t="str">
        <f>'$_FABB_PARTI_LOTTI_TOTALE'!D19</f>
        <v>TRANCIATURA STAFFE RINFORZO</v>
      </c>
      <c r="E26" s="759"/>
      <c r="F26" s="759"/>
      <c r="G26" s="759"/>
      <c r="H26" s="759"/>
      <c r="I26" s="759"/>
      <c r="J26" s="29">
        <f>'$_DB_CICLI'!Q14</f>
        <v>44922</v>
      </c>
      <c r="K26" s="29">
        <f>'$_DB_CICLI'!Q38</f>
        <v>32086</v>
      </c>
      <c r="L26" s="29">
        <f t="shared" si="10"/>
        <v>77008</v>
      </c>
      <c r="M26" s="30" t="s">
        <v>70</v>
      </c>
      <c r="N26" s="32">
        <v>200</v>
      </c>
      <c r="O26" s="36">
        <f t="shared" si="7"/>
        <v>386</v>
      </c>
      <c r="P26" s="38">
        <f>'$_DATI_BASE'!T54*'$_DATI_BASE'!$U$28</f>
        <v>2970</v>
      </c>
      <c r="Q26" s="38">
        <f t="shared" si="11"/>
        <v>594</v>
      </c>
      <c r="R26" s="37">
        <f t="shared" si="12"/>
        <v>3564</v>
      </c>
      <c r="S26" s="38">
        <f t="shared" si="13"/>
        <v>17.82</v>
      </c>
      <c r="T26" s="31">
        <f t="shared" si="8"/>
        <v>0.50908996467899437</v>
      </c>
      <c r="U26" s="31">
        <f t="shared" si="9"/>
        <v>43.214365881032549</v>
      </c>
    </row>
    <row r="27" spans="1:29" x14ac:dyDescent="0.3">
      <c r="A27" s="600"/>
      <c r="B27" s="600"/>
      <c r="C27" s="11" t="str">
        <f>'$_DB_CICLI'!F16</f>
        <v>INTPSP004</v>
      </c>
      <c r="D27" s="759" t="str">
        <f>'$_DB_CICLI'!I16</f>
        <v>PIASTRE ATTACCO TRATTORE</v>
      </c>
      <c r="E27" s="759"/>
      <c r="F27" s="759"/>
      <c r="G27" s="759"/>
      <c r="H27" s="759"/>
      <c r="I27" s="759"/>
      <c r="J27" s="29">
        <f>'$_DB_CICLI'!Q16</f>
        <v>29349</v>
      </c>
      <c r="K27" s="29">
        <f>'$_DB_CICLI'!Q40</f>
        <v>12578</v>
      </c>
      <c r="L27" s="29">
        <f t="shared" si="10"/>
        <v>41927</v>
      </c>
      <c r="M27" s="30" t="s">
        <v>70</v>
      </c>
      <c r="N27" s="32">
        <v>200</v>
      </c>
      <c r="O27" s="36">
        <f t="shared" si="7"/>
        <v>210</v>
      </c>
      <c r="P27" s="38">
        <f>'$_DATI_BASE'!T55*'$_DATI_BASE'!$U$26</f>
        <v>1960</v>
      </c>
      <c r="Q27" s="38">
        <f t="shared" si="11"/>
        <v>392</v>
      </c>
      <c r="R27" s="37">
        <f t="shared" si="12"/>
        <v>2352</v>
      </c>
      <c r="S27" s="38">
        <f t="shared" si="13"/>
        <v>11.76</v>
      </c>
      <c r="T27" s="31">
        <f t="shared" si="8"/>
        <v>0.61707253082739044</v>
      </c>
      <c r="U27" s="31">
        <f t="shared" si="9"/>
        <v>35.652210884353742</v>
      </c>
      <c r="V27" s="2"/>
      <c r="W27" s="131"/>
    </row>
    <row r="28" spans="1:29" x14ac:dyDescent="0.3">
      <c r="A28" s="600"/>
      <c r="B28" s="600"/>
      <c r="C28" s="11" t="str">
        <f>'$_FABB_PARTI_LOTTI_TOTALE'!C21</f>
        <v>INTPSP004-10</v>
      </c>
      <c r="D28" s="759" t="str">
        <f>'$_FABB_PARTI_LOTTI_TOTALE'!D21</f>
        <v>TRANCIATURA STAFFE ATTACCO TRATTORE</v>
      </c>
      <c r="E28" s="759"/>
      <c r="F28" s="759"/>
      <c r="G28" s="759"/>
      <c r="H28" s="759"/>
      <c r="I28" s="759"/>
      <c r="J28" s="29">
        <f>'$_DB_CICLI'!Q18</f>
        <v>29948</v>
      </c>
      <c r="K28" s="29">
        <f>'$_DB_CICLI'!Q42</f>
        <v>12835</v>
      </c>
      <c r="L28" s="29">
        <f t="shared" si="10"/>
        <v>42783</v>
      </c>
      <c r="M28" s="30" t="s">
        <v>70</v>
      </c>
      <c r="N28" s="32">
        <v>200</v>
      </c>
      <c r="O28" s="36">
        <f t="shared" si="7"/>
        <v>214</v>
      </c>
      <c r="P28" s="38">
        <f>'$_DATI_BASE'!T56*'$_DATI_BASE'!$U$28</f>
        <v>1980</v>
      </c>
      <c r="Q28" s="38">
        <f t="shared" si="11"/>
        <v>396</v>
      </c>
      <c r="R28" s="37">
        <f t="shared" si="12"/>
        <v>2376</v>
      </c>
      <c r="S28" s="38">
        <f t="shared" si="13"/>
        <v>11.88</v>
      </c>
      <c r="T28" s="31">
        <f t="shared" si="8"/>
        <v>0.61089685155318696</v>
      </c>
      <c r="U28" s="31">
        <f t="shared" si="9"/>
        <v>36.012626262626263</v>
      </c>
    </row>
    <row r="29" spans="1:29" x14ac:dyDescent="0.3">
      <c r="A29" s="600"/>
      <c r="B29" s="600"/>
      <c r="C29" s="11" t="str">
        <f>'$_DB_CICLI'!F20</f>
        <v>INTTRA001</v>
      </c>
      <c r="D29" s="759" t="str">
        <f>'$_DB_CICLI'!I20</f>
        <v>PIASTRE LATERALI</v>
      </c>
      <c r="E29" s="759"/>
      <c r="F29" s="759"/>
      <c r="G29" s="759"/>
      <c r="H29" s="759"/>
      <c r="I29" s="759"/>
      <c r="J29" s="29">
        <f>'$_DB_CICLI'!Q20</f>
        <v>29349</v>
      </c>
      <c r="K29" s="29">
        <f>'$_DB_CICLI'!Q44</f>
        <v>12578</v>
      </c>
      <c r="L29" s="29">
        <f t="shared" si="10"/>
        <v>41927</v>
      </c>
      <c r="M29" s="30" t="s">
        <v>70</v>
      </c>
      <c r="N29" s="32">
        <v>200</v>
      </c>
      <c r="O29" s="36">
        <f>ROUNDUP(L29/N29,0)</f>
        <v>210</v>
      </c>
      <c r="P29" s="38">
        <f>'$_DATI_BASE'!T57*'$_DATI_BASE'!$U$26</f>
        <v>1960</v>
      </c>
      <c r="Q29" s="38">
        <f t="shared" si="11"/>
        <v>392</v>
      </c>
      <c r="R29" s="37">
        <f t="shared" si="12"/>
        <v>2352</v>
      </c>
      <c r="S29" s="38">
        <f t="shared" si="13"/>
        <v>11.76</v>
      </c>
      <c r="T29" s="31">
        <f t="shared" si="8"/>
        <v>0.61707253082739044</v>
      </c>
      <c r="U29" s="31">
        <f t="shared" si="9"/>
        <v>35.652210884353742</v>
      </c>
    </row>
    <row r="30" spans="1:29" x14ac:dyDescent="0.3">
      <c r="A30" s="3"/>
      <c r="B30" s="10"/>
      <c r="D30" s="649"/>
      <c r="E30" s="649"/>
      <c r="F30" s="649"/>
      <c r="G30" s="649"/>
      <c r="H30" s="649"/>
      <c r="I30" s="649"/>
      <c r="J30" s="2"/>
      <c r="L30" s="2"/>
      <c r="M30" s="1"/>
    </row>
    <row r="31" spans="1:29" ht="15" customHeight="1" x14ac:dyDescent="0.3"/>
    <row r="32" spans="1:29" x14ac:dyDescent="0.3">
      <c r="J32" s="2"/>
    </row>
    <row r="35" spans="11:11" x14ac:dyDescent="0.3">
      <c r="K35" s="2"/>
    </row>
  </sheetData>
  <mergeCells count="78">
    <mergeCell ref="AF4:AF5"/>
    <mergeCell ref="D6:I6"/>
    <mergeCell ref="AB4:AB5"/>
    <mergeCell ref="S4:S5"/>
    <mergeCell ref="Q4:Q5"/>
    <mergeCell ref="R4:R5"/>
    <mergeCell ref="V20:X21"/>
    <mergeCell ref="Y20:Y21"/>
    <mergeCell ref="AC4:AC5"/>
    <mergeCell ref="AD4:AD5"/>
    <mergeCell ref="AE4:AE5"/>
    <mergeCell ref="Y16:Y17"/>
    <mergeCell ref="Z16:Z17"/>
    <mergeCell ref="V18:X19"/>
    <mergeCell ref="Y18:Y19"/>
    <mergeCell ref="Z18:Z19"/>
    <mergeCell ref="D30:I30"/>
    <mergeCell ref="D27:I27"/>
    <mergeCell ref="D28:I28"/>
    <mergeCell ref="D21:I21"/>
    <mergeCell ref="D23:I23"/>
    <mergeCell ref="D24:I24"/>
    <mergeCell ref="D22:I22"/>
    <mergeCell ref="D25:I25"/>
    <mergeCell ref="D26:I26"/>
    <mergeCell ref="D20:I20"/>
    <mergeCell ref="D14:I14"/>
    <mergeCell ref="A18:S18"/>
    <mergeCell ref="D17:I17"/>
    <mergeCell ref="A6:B14"/>
    <mergeCell ref="D19:I19"/>
    <mergeCell ref="D11:I11"/>
    <mergeCell ref="D7:I7"/>
    <mergeCell ref="A19:B29"/>
    <mergeCell ref="D8:I8"/>
    <mergeCell ref="D9:I9"/>
    <mergeCell ref="A16:B17"/>
    <mergeCell ref="D13:I13"/>
    <mergeCell ref="D29:I29"/>
    <mergeCell ref="D10:I10"/>
    <mergeCell ref="D12:I12"/>
    <mergeCell ref="P1:Q1"/>
    <mergeCell ref="A1:C1"/>
    <mergeCell ref="A2:C2"/>
    <mergeCell ref="A3:C3"/>
    <mergeCell ref="C4:C5"/>
    <mergeCell ref="A4:B5"/>
    <mergeCell ref="E3:F3"/>
    <mergeCell ref="D4:I5"/>
    <mergeCell ref="O4:O5"/>
    <mergeCell ref="J4:K4"/>
    <mergeCell ref="L4:L5"/>
    <mergeCell ref="M4:M5"/>
    <mergeCell ref="N4:N5"/>
    <mergeCell ref="J2:O3"/>
    <mergeCell ref="E2:F2"/>
    <mergeCell ref="P4:P5"/>
    <mergeCell ref="V2:Z3"/>
    <mergeCell ref="V25:X25"/>
    <mergeCell ref="Y4:Y5"/>
    <mergeCell ref="Z6:Z10"/>
    <mergeCell ref="Z4:Z5"/>
    <mergeCell ref="X4:X5"/>
    <mergeCell ref="V4:V5"/>
    <mergeCell ref="W4:W5"/>
    <mergeCell ref="V11:X13"/>
    <mergeCell ref="Y11:Y13"/>
    <mergeCell ref="Z11:Z13"/>
    <mergeCell ref="Z14:Z15"/>
    <mergeCell ref="V14:X15"/>
    <mergeCell ref="Y14:Y15"/>
    <mergeCell ref="Z20:Z21"/>
    <mergeCell ref="V16:X17"/>
    <mergeCell ref="A15:L15"/>
    <mergeCell ref="D16:I16"/>
    <mergeCell ref="P2:U3"/>
    <mergeCell ref="U4:U5"/>
    <mergeCell ref="T4:T5"/>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34755-92DE-4652-90DE-EA07014FF338}">
  <sheetPr>
    <tabColor theme="9"/>
  </sheetPr>
  <dimension ref="A1:AP160"/>
  <sheetViews>
    <sheetView topLeftCell="A54" zoomScale="39" zoomScaleNormal="70" zoomScaleSheetLayoutView="50" workbookViewId="0">
      <selection activeCell="L76" sqref="L76"/>
    </sheetView>
  </sheetViews>
  <sheetFormatPr defaultRowHeight="14.4" x14ac:dyDescent="0.3"/>
  <cols>
    <col min="1" max="1" width="20" customWidth="1"/>
    <col min="2" max="2" width="28.33203125" customWidth="1"/>
    <col min="3" max="3" width="14.5546875" customWidth="1"/>
    <col min="4" max="4" width="16.33203125" customWidth="1"/>
    <col min="5" max="5" width="16.5546875" customWidth="1"/>
    <col min="6" max="6" width="14.88671875" customWidth="1"/>
    <col min="7" max="7" width="18.88671875" customWidth="1"/>
    <col min="8" max="8" width="33.88671875" customWidth="1"/>
    <col min="9" max="9" width="31.5546875" customWidth="1"/>
    <col min="10" max="10" width="18.33203125" customWidth="1"/>
    <col min="11" max="11" width="22.88671875" customWidth="1"/>
    <col min="12" max="12" width="18.44140625" customWidth="1"/>
    <col min="13" max="13" width="11.33203125" customWidth="1"/>
    <col min="14" max="14" width="26.33203125" customWidth="1"/>
    <col min="15" max="15" width="16.44140625" customWidth="1"/>
    <col min="16" max="16" width="15.6640625" customWidth="1"/>
    <col min="17" max="18" width="21" customWidth="1"/>
    <col min="19" max="19" width="26.6640625" customWidth="1"/>
    <col min="20" max="20" width="20.33203125" customWidth="1"/>
    <col min="21" max="21" width="20.6640625" customWidth="1"/>
    <col min="28" max="28" width="20" customWidth="1"/>
    <col min="36" max="36" width="71.5546875" customWidth="1"/>
    <col min="37" max="37" width="15.33203125" customWidth="1"/>
  </cols>
  <sheetData>
    <row r="1" spans="1:35" x14ac:dyDescent="0.3">
      <c r="G1" s="820" t="s">
        <v>663</v>
      </c>
      <c r="H1" s="821"/>
      <c r="I1" s="821"/>
      <c r="J1" s="821"/>
      <c r="K1" s="821"/>
      <c r="L1" s="821"/>
      <c r="M1" s="822"/>
    </row>
    <row r="2" spans="1:35" ht="15" thickBot="1" x14ac:dyDescent="0.35">
      <c r="G2" s="823"/>
      <c r="H2" s="824"/>
      <c r="I2" s="824"/>
      <c r="J2" s="824"/>
      <c r="K2" s="824"/>
      <c r="L2" s="824"/>
      <c r="M2" s="825"/>
    </row>
    <row r="4" spans="1:35" ht="31.2" customHeight="1" thickBot="1" x14ac:dyDescent="0.35">
      <c r="A4" s="633" t="s">
        <v>378</v>
      </c>
      <c r="B4" s="634"/>
      <c r="C4" s="634"/>
      <c r="D4" s="638"/>
      <c r="G4" s="590" t="s">
        <v>379</v>
      </c>
      <c r="H4" s="590"/>
      <c r="J4" s="590" t="s">
        <v>380</v>
      </c>
      <c r="K4" s="590"/>
      <c r="N4" s="6" t="s">
        <v>381</v>
      </c>
      <c r="O4" s="5"/>
      <c r="P4" s="5"/>
      <c r="Q4" s="590" t="s">
        <v>382</v>
      </c>
      <c r="R4" s="590"/>
      <c r="S4" s="590"/>
      <c r="T4" s="590"/>
      <c r="U4" s="590"/>
    </row>
    <row r="5" spans="1:35" ht="71.400000000000006" customHeight="1" x14ac:dyDescent="0.3">
      <c r="A5" s="690"/>
      <c r="B5" s="690"/>
      <c r="C5" s="807" t="s">
        <v>383</v>
      </c>
      <c r="D5" s="808"/>
      <c r="E5" s="515"/>
      <c r="F5" s="470"/>
      <c r="G5" s="6" t="s">
        <v>384</v>
      </c>
      <c r="H5" s="360" t="s">
        <v>385</v>
      </c>
      <c r="I5" s="69"/>
      <c r="J5" s="6" t="s">
        <v>384</v>
      </c>
      <c r="K5" s="360" t="s">
        <v>386</v>
      </c>
      <c r="N5" s="360" t="s">
        <v>387</v>
      </c>
      <c r="O5" s="5"/>
      <c r="P5" s="5"/>
      <c r="Q5" s="360" t="s">
        <v>388</v>
      </c>
      <c r="R5" s="360" t="s">
        <v>389</v>
      </c>
      <c r="S5" s="360" t="s">
        <v>390</v>
      </c>
      <c r="T5" s="360" t="s">
        <v>391</v>
      </c>
      <c r="U5" s="360" t="s">
        <v>392</v>
      </c>
      <c r="X5" s="785" t="s">
        <v>687</v>
      </c>
      <c r="Y5" s="786"/>
      <c r="Z5" s="786"/>
      <c r="AA5" s="786"/>
      <c r="AB5" s="787"/>
    </row>
    <row r="6" spans="1:35" ht="21.6" customHeight="1" thickBot="1" x14ac:dyDescent="0.35">
      <c r="A6" s="600" t="s">
        <v>393</v>
      </c>
      <c r="B6" s="683"/>
      <c r="C6" s="809">
        <f>SUM('$_MAG_BUFFER_TOTALE'!R22:R25)</f>
        <v>1716</v>
      </c>
      <c r="D6" s="810"/>
      <c r="E6" s="516"/>
      <c r="F6" s="467"/>
      <c r="G6" s="813">
        <f>'$_MAG_BUFFER_TOTALE'!R32+'$_MAG_BUFFER_TOTALE'!R34</f>
        <v>1698.84</v>
      </c>
      <c r="H6" s="813">
        <f>'$_MAG_BUFFER_TOTALE'!R36+'$_MAG_BUFFER_TOTALE'!R38+'$_MAG_BUFFER_TOTALE'!R39</f>
        <v>16584</v>
      </c>
      <c r="I6" s="468"/>
      <c r="J6" s="813">
        <f>'$_MAG_BUFFER_TOTALE'!R31+'$_MAG_BUFFER_TOTALE'!R33</f>
        <v>1681.6799999999998</v>
      </c>
      <c r="K6" s="813">
        <f>'$_MAG_BUFFER_TOTALE'!R35+'$_MAG_BUFFER_TOTALE'!R37</f>
        <v>11760</v>
      </c>
      <c r="N6" s="819">
        <f>SUM('$_MAG_BUFFER_TOTALE'!R27:R30)</f>
        <v>1664.81</v>
      </c>
      <c r="O6" s="470"/>
      <c r="P6" s="470"/>
      <c r="Q6" s="819">
        <f>SUM('$_MAG_BUFFER_TOTALE'!R6:R8)</f>
        <v>30509.818181818184</v>
      </c>
      <c r="R6" s="819">
        <f>SUM('$_MAG_BUFFER_TOTALE'!R13:R14)</f>
        <v>41803.636363636368</v>
      </c>
      <c r="S6" s="819">
        <f>SUM('$_MAG_BUFFER_TOTALE'!R9:R10)+SUM('$_MAG_BUFFER_TOTALE'!R17:R18)</f>
        <v>13465.363636363636</v>
      </c>
      <c r="T6" s="826">
        <f>SUM('$_MAG_BUFFER_TOTALE'!R11:R12)+SUM('$_MAG_BUFFER_TOTALE'!R15:R16)</f>
        <v>27172.363636363636</v>
      </c>
      <c r="U6" s="826">
        <f>SUM('$_MAG_BUFFER_TOTALE'!R19:R20)</f>
        <v>15156.818181818182</v>
      </c>
      <c r="X6" s="788">
        <f>14</f>
        <v>14</v>
      </c>
      <c r="Y6" s="788"/>
      <c r="Z6" s="788"/>
      <c r="AA6" s="788"/>
      <c r="AB6" s="788"/>
    </row>
    <row r="7" spans="1:35" ht="21.6" customHeight="1" thickTop="1" x14ac:dyDescent="0.3">
      <c r="A7" s="600"/>
      <c r="B7" s="683"/>
      <c r="C7" s="811"/>
      <c r="D7" s="812"/>
      <c r="E7" s="517"/>
      <c r="F7" s="467"/>
      <c r="G7" s="813"/>
      <c r="H7" s="814"/>
      <c r="I7" s="467"/>
      <c r="J7" s="814"/>
      <c r="K7" s="814"/>
      <c r="N7" s="815"/>
      <c r="O7" s="470"/>
      <c r="P7" s="470"/>
      <c r="Q7" s="815"/>
      <c r="R7" s="815"/>
      <c r="S7" s="815"/>
      <c r="T7" s="827"/>
      <c r="U7" s="827"/>
      <c r="X7" s="788"/>
      <c r="Y7" s="788"/>
      <c r="Z7" s="788"/>
      <c r="AA7" s="788"/>
      <c r="AB7" s="788"/>
      <c r="AC7" s="5"/>
      <c r="AD7" s="5"/>
      <c r="AE7" s="5"/>
      <c r="AF7" s="5"/>
      <c r="AG7" s="5"/>
      <c r="AH7" s="5"/>
      <c r="AI7" s="5"/>
    </row>
    <row r="8" spans="1:35" ht="21.6" customHeight="1" thickBot="1" x14ac:dyDescent="0.35">
      <c r="A8" s="600" t="s">
        <v>394</v>
      </c>
      <c r="B8" s="683"/>
      <c r="C8" s="809">
        <f>SUM('$_MAG_BUFFER_TOTALE'!S22:S25)</f>
        <v>1716</v>
      </c>
      <c r="D8" s="810"/>
      <c r="E8" s="516"/>
      <c r="F8" s="467"/>
      <c r="G8" s="813">
        <f>'$_MAG_BUFFER_TOTALE'!S32+'$_MAG_BUFFER_TOTALE'!S34</f>
        <v>67.953599999999994</v>
      </c>
      <c r="H8" s="813">
        <f>'$_MAG_BUFFER_TOTALE'!S36+'$_MAG_BUFFER_TOTALE'!S38+'$_MAG_BUFFER_TOTALE'!S39</f>
        <v>82.92</v>
      </c>
      <c r="I8" s="468"/>
      <c r="J8" s="813">
        <f>'$_MAG_BUFFER_TOTALE'!S31+'$_MAG_BUFFER_TOTALE'!S33</f>
        <v>67.267200000000003</v>
      </c>
      <c r="K8" s="813">
        <f>'$_MAG_BUFFER_TOTALE'!S35+'$_MAG_BUFFER_TOTALE'!S37</f>
        <v>58.8</v>
      </c>
      <c r="N8" s="819">
        <f>SUM('$_MAG_BUFFER_TOTALE'!S27:S30)</f>
        <v>416.20249999999999</v>
      </c>
      <c r="O8" s="470"/>
      <c r="P8" s="470"/>
      <c r="Q8" s="819">
        <f>SUM('$_MAG_BUFFER_TOTALE'!S6:S8)</f>
        <v>1222</v>
      </c>
      <c r="R8" s="819">
        <f>SUM('$_MAG_BUFFER_TOTALE'!S13:S14)</f>
        <v>210</v>
      </c>
      <c r="S8" s="819">
        <f>SUM('$_MAG_BUFFER_TOTALE'!S9:S10)+SUM('$_MAG_BUFFER_TOTALE'!S17:S18)</f>
        <v>1124</v>
      </c>
      <c r="T8" s="828">
        <f>SUM('$_MAG_BUFFER_TOTALE'!S11:S12)+SUM('$_MAG_BUFFER_TOTALE'!S15:S16)</f>
        <v>546</v>
      </c>
      <c r="U8" s="828">
        <f>SUM('$_MAG_BUFFER_TOTALE'!S19:S20)</f>
        <v>1264</v>
      </c>
      <c r="X8" s="788"/>
      <c r="Y8" s="788"/>
      <c r="Z8" s="788"/>
      <c r="AA8" s="788"/>
      <c r="AB8" s="788"/>
      <c r="AC8" s="5"/>
      <c r="AD8" s="5"/>
      <c r="AE8" s="5"/>
      <c r="AF8" s="5"/>
      <c r="AG8" s="5"/>
      <c r="AH8" s="5"/>
      <c r="AI8" s="5"/>
    </row>
    <row r="9" spans="1:35" ht="21.6" thickTop="1" x14ac:dyDescent="0.3">
      <c r="A9" s="816"/>
      <c r="B9" s="770"/>
      <c r="C9" s="817"/>
      <c r="D9" s="818"/>
      <c r="E9" s="517"/>
      <c r="F9" s="467"/>
      <c r="G9" s="813"/>
      <c r="H9" s="814"/>
      <c r="I9" s="467"/>
      <c r="J9" s="814"/>
      <c r="K9" s="814"/>
      <c r="N9" s="815"/>
      <c r="O9" s="470"/>
      <c r="P9" s="470"/>
      <c r="Q9" s="815"/>
      <c r="R9" s="815"/>
      <c r="S9" s="815"/>
      <c r="T9" s="827"/>
      <c r="U9" s="827"/>
      <c r="AC9" s="5"/>
      <c r="AD9" s="5"/>
      <c r="AE9" s="5"/>
      <c r="AF9" s="5"/>
      <c r="AG9" s="5"/>
      <c r="AH9" s="5"/>
      <c r="AI9" s="5"/>
    </row>
    <row r="10" spans="1:35" ht="21.6" thickBot="1" x14ac:dyDescent="0.35">
      <c r="A10" s="600" t="s">
        <v>395</v>
      </c>
      <c r="B10" s="683"/>
      <c r="C10" s="809" t="s">
        <v>87</v>
      </c>
      <c r="D10" s="810"/>
      <c r="E10" s="516"/>
      <c r="F10" s="467"/>
      <c r="G10" s="813" t="s">
        <v>130</v>
      </c>
      <c r="H10" s="813" t="s">
        <v>72</v>
      </c>
      <c r="I10" s="467"/>
      <c r="J10" s="813" t="str">
        <f>G10</f>
        <v>1500x2000</v>
      </c>
      <c r="K10" s="813" t="s">
        <v>396</v>
      </c>
      <c r="N10" s="819" t="s">
        <v>397</v>
      </c>
      <c r="O10" s="470"/>
      <c r="P10" s="470"/>
      <c r="Q10" s="819" t="s">
        <v>60</v>
      </c>
      <c r="R10" s="819" t="s">
        <v>72</v>
      </c>
      <c r="S10" s="819" t="s">
        <v>108</v>
      </c>
      <c r="T10" s="819" t="s">
        <v>122</v>
      </c>
      <c r="U10" s="819" t="s">
        <v>108</v>
      </c>
      <c r="AC10" s="5"/>
      <c r="AD10" s="5"/>
      <c r="AE10" s="5"/>
      <c r="AF10" s="5"/>
      <c r="AG10" s="5"/>
      <c r="AH10" s="5"/>
      <c r="AI10" s="5"/>
    </row>
    <row r="11" spans="1:35" ht="21.6" customHeight="1" thickTop="1" x14ac:dyDescent="0.3">
      <c r="A11" s="816"/>
      <c r="B11" s="770"/>
      <c r="C11" s="817"/>
      <c r="D11" s="818"/>
      <c r="E11" s="517"/>
      <c r="F11" s="467"/>
      <c r="G11" s="813"/>
      <c r="H11" s="814"/>
      <c r="I11" s="467"/>
      <c r="J11" s="814"/>
      <c r="K11" s="814"/>
      <c r="N11" s="815"/>
      <c r="O11" s="470"/>
      <c r="P11" s="470"/>
      <c r="Q11" s="815"/>
      <c r="R11" s="815"/>
      <c r="S11" s="815"/>
      <c r="T11" s="815"/>
      <c r="U11" s="815"/>
      <c r="X11" s="468"/>
      <c r="Y11" s="467"/>
      <c r="AC11" s="5"/>
      <c r="AD11" s="5"/>
      <c r="AE11" s="5"/>
      <c r="AF11" s="5"/>
      <c r="AG11" s="5"/>
      <c r="AH11" s="5"/>
      <c r="AI11" s="5"/>
    </row>
    <row r="12" spans="1:35" ht="21.6" thickBot="1" x14ac:dyDescent="0.35">
      <c r="A12" s="829" t="s">
        <v>398</v>
      </c>
      <c r="B12" s="830"/>
      <c r="C12" s="831">
        <v>1550</v>
      </c>
      <c r="D12" s="832"/>
      <c r="E12" s="519"/>
      <c r="F12" s="469"/>
      <c r="G12" s="813">
        <v>1550</v>
      </c>
      <c r="H12" s="814">
        <v>850</v>
      </c>
      <c r="I12" s="467"/>
      <c r="J12" s="813">
        <f>G12</f>
        <v>1550</v>
      </c>
      <c r="K12" s="813">
        <f>H12</f>
        <v>850</v>
      </c>
      <c r="N12" s="815">
        <v>1550</v>
      </c>
      <c r="O12" s="470"/>
      <c r="P12" s="470"/>
      <c r="Q12" s="815">
        <v>1550</v>
      </c>
      <c r="R12" s="815">
        <v>850</v>
      </c>
      <c r="S12" s="815">
        <v>1050</v>
      </c>
      <c r="T12" s="815">
        <v>850</v>
      </c>
      <c r="U12" s="815">
        <v>1050</v>
      </c>
      <c r="X12" s="467"/>
      <c r="Y12" s="467"/>
      <c r="AC12" s="5"/>
      <c r="AD12" s="5"/>
      <c r="AE12" s="5"/>
      <c r="AF12" s="5"/>
      <c r="AG12" s="5"/>
      <c r="AH12" s="5"/>
      <c r="AI12" s="5"/>
    </row>
    <row r="13" spans="1:35" ht="21.6" customHeight="1" thickTop="1" x14ac:dyDescent="0.3">
      <c r="A13" s="829"/>
      <c r="B13" s="830"/>
      <c r="C13" s="833"/>
      <c r="D13" s="834"/>
      <c r="E13" s="519"/>
      <c r="F13" s="469"/>
      <c r="G13" s="813"/>
      <c r="H13" s="814"/>
      <c r="I13" s="467"/>
      <c r="J13" s="814"/>
      <c r="K13" s="814"/>
      <c r="N13" s="815"/>
      <c r="O13" s="470"/>
      <c r="P13" s="470"/>
      <c r="Q13" s="815"/>
      <c r="R13" s="815"/>
      <c r="S13" s="815"/>
      <c r="T13" s="815"/>
      <c r="U13" s="815"/>
      <c r="AC13" s="5"/>
      <c r="AD13" s="5"/>
      <c r="AE13" s="5"/>
      <c r="AF13" s="5"/>
      <c r="AG13" s="5"/>
      <c r="AH13" s="5"/>
      <c r="AI13" s="5"/>
    </row>
    <row r="14" spans="1:35" ht="21.6" thickBot="1" x14ac:dyDescent="0.35">
      <c r="A14" s="835" t="s">
        <v>399</v>
      </c>
      <c r="B14" s="836"/>
      <c r="C14" s="831">
        <v>2100</v>
      </c>
      <c r="D14" s="832"/>
      <c r="E14" s="519"/>
      <c r="F14" s="469"/>
      <c r="G14" s="813">
        <v>2020</v>
      </c>
      <c r="H14" s="814">
        <v>1020</v>
      </c>
      <c r="I14" s="467"/>
      <c r="J14" s="813">
        <f t="shared" ref="J14:K14" si="0">G14</f>
        <v>2020</v>
      </c>
      <c r="K14" s="813">
        <f t="shared" si="0"/>
        <v>1020</v>
      </c>
      <c r="N14" s="815">
        <v>2020</v>
      </c>
      <c r="O14" s="470"/>
      <c r="P14" s="470"/>
      <c r="Q14" s="815">
        <v>2020</v>
      </c>
      <c r="R14" s="815">
        <v>1020</v>
      </c>
      <c r="S14" s="815">
        <v>2020</v>
      </c>
      <c r="T14" s="815">
        <v>1520</v>
      </c>
      <c r="U14" s="815">
        <v>2020</v>
      </c>
      <c r="AC14" s="5"/>
      <c r="AD14" s="5"/>
      <c r="AE14" s="5"/>
      <c r="AF14" s="5"/>
      <c r="AG14" s="5"/>
      <c r="AH14" s="5"/>
      <c r="AI14" s="5"/>
    </row>
    <row r="15" spans="1:35" ht="21.6" customHeight="1" thickTop="1" x14ac:dyDescent="0.3">
      <c r="A15" s="837"/>
      <c r="B15" s="838"/>
      <c r="C15" s="839"/>
      <c r="D15" s="840"/>
      <c r="E15" s="519"/>
      <c r="F15" s="469"/>
      <c r="G15" s="813"/>
      <c r="H15" s="814"/>
      <c r="I15" s="467"/>
      <c r="J15" s="814"/>
      <c r="K15" s="814"/>
      <c r="N15" s="815"/>
      <c r="O15" s="470"/>
      <c r="P15" s="470"/>
      <c r="Q15" s="815"/>
      <c r="R15" s="815"/>
      <c r="S15" s="815"/>
      <c r="T15" s="815"/>
      <c r="U15" s="815"/>
      <c r="AC15" s="5"/>
      <c r="AD15" s="5"/>
      <c r="AE15" s="5"/>
      <c r="AF15" s="5"/>
      <c r="AG15" s="5"/>
      <c r="AH15" s="5"/>
      <c r="AI15" s="5"/>
    </row>
    <row r="16" spans="1:35" ht="21.6" thickBot="1" x14ac:dyDescent="0.35">
      <c r="A16" s="835" t="s">
        <v>400</v>
      </c>
      <c r="B16" s="836"/>
      <c r="C16" s="831">
        <v>1200</v>
      </c>
      <c r="D16" s="832"/>
      <c r="E16" s="519"/>
      <c r="F16" s="469"/>
      <c r="G16" s="813">
        <v>2000</v>
      </c>
      <c r="H16" s="814">
        <v>1000</v>
      </c>
      <c r="I16" s="467"/>
      <c r="J16" s="813">
        <f t="shared" ref="J16:K16" si="1">G16</f>
        <v>2000</v>
      </c>
      <c r="K16" s="813">
        <f t="shared" si="1"/>
        <v>1000</v>
      </c>
      <c r="N16" s="815">
        <v>2200</v>
      </c>
      <c r="O16" s="470"/>
      <c r="P16" s="470"/>
      <c r="Q16" s="815">
        <v>1200</v>
      </c>
      <c r="R16" s="815">
        <v>1000</v>
      </c>
      <c r="S16" s="815">
        <v>1200</v>
      </c>
      <c r="T16" s="815">
        <v>1000</v>
      </c>
      <c r="U16" s="815">
        <v>1200</v>
      </c>
      <c r="AC16" s="5"/>
      <c r="AD16" s="5"/>
      <c r="AE16" s="5"/>
      <c r="AF16" s="5"/>
      <c r="AG16" s="5"/>
      <c r="AH16" s="5"/>
      <c r="AI16" s="5"/>
    </row>
    <row r="17" spans="1:35" ht="21.6" customHeight="1" thickTop="1" x14ac:dyDescent="0.3">
      <c r="A17" s="837"/>
      <c r="B17" s="838"/>
      <c r="C17" s="833"/>
      <c r="D17" s="834"/>
      <c r="E17" s="519"/>
      <c r="F17" s="469"/>
      <c r="G17" s="813"/>
      <c r="H17" s="814"/>
      <c r="I17" s="467"/>
      <c r="J17" s="814"/>
      <c r="K17" s="814"/>
      <c r="N17" s="815"/>
      <c r="O17" s="470"/>
      <c r="P17" s="470"/>
      <c r="Q17" s="815"/>
      <c r="R17" s="815"/>
      <c r="S17" s="815"/>
      <c r="T17" s="815"/>
      <c r="U17" s="815"/>
      <c r="X17" s="5"/>
      <c r="Y17" s="5"/>
      <c r="AC17" s="5"/>
      <c r="AD17" s="5"/>
      <c r="AE17" s="5"/>
      <c r="AF17" s="5"/>
      <c r="AG17" s="5"/>
      <c r="AH17" s="5"/>
      <c r="AI17" s="5"/>
    </row>
    <row r="18" spans="1:35" ht="21.6" thickBot="1" x14ac:dyDescent="0.35">
      <c r="A18" s="835" t="s">
        <v>401</v>
      </c>
      <c r="B18" s="836"/>
      <c r="C18" s="831">
        <v>2</v>
      </c>
      <c r="D18" s="832"/>
      <c r="E18" s="519"/>
      <c r="F18" s="469"/>
      <c r="G18" s="813" t="s">
        <v>402</v>
      </c>
      <c r="H18" s="814" t="s">
        <v>402</v>
      </c>
      <c r="I18" s="467"/>
      <c r="J18" s="813" t="str">
        <f t="shared" ref="J18:K24" si="2">G18</f>
        <v>\</v>
      </c>
      <c r="K18" s="813" t="str">
        <f t="shared" si="2"/>
        <v>\</v>
      </c>
      <c r="N18" s="815" t="s">
        <v>402</v>
      </c>
      <c r="O18" s="470"/>
      <c r="P18" s="470"/>
      <c r="Q18" s="815" t="s">
        <v>402</v>
      </c>
      <c r="R18" s="815" t="s">
        <v>402</v>
      </c>
      <c r="S18" s="815" t="s">
        <v>402</v>
      </c>
      <c r="T18" s="815" t="s">
        <v>402</v>
      </c>
      <c r="U18" s="815" t="s">
        <v>402</v>
      </c>
      <c r="AC18" s="5"/>
      <c r="AD18" s="5"/>
      <c r="AE18" s="5"/>
      <c r="AF18" s="5"/>
      <c r="AG18" s="5"/>
      <c r="AH18" s="5"/>
      <c r="AI18" s="5"/>
    </row>
    <row r="19" spans="1:35" ht="21.6" thickTop="1" x14ac:dyDescent="0.3">
      <c r="A19" s="841"/>
      <c r="B19" s="784"/>
      <c r="C19" s="833"/>
      <c r="D19" s="834"/>
      <c r="E19" s="519"/>
      <c r="F19" s="469"/>
      <c r="G19" s="813"/>
      <c r="H19" s="814"/>
      <c r="I19" s="467"/>
      <c r="J19" s="814"/>
      <c r="K19" s="814"/>
      <c r="N19" s="815"/>
      <c r="O19" s="470"/>
      <c r="P19" s="470"/>
      <c r="Q19" s="815"/>
      <c r="R19" s="815"/>
      <c r="S19" s="815"/>
      <c r="T19" s="815"/>
      <c r="U19" s="815"/>
      <c r="AC19" s="1"/>
      <c r="AD19" s="1"/>
      <c r="AE19" s="1"/>
      <c r="AF19" s="1"/>
      <c r="AG19" s="1"/>
      <c r="AH19" s="1"/>
      <c r="AI19" s="1"/>
    </row>
    <row r="20" spans="1:35" ht="21.6" thickBot="1" x14ac:dyDescent="0.35">
      <c r="A20" s="590" t="s">
        <v>403</v>
      </c>
      <c r="B20" s="635"/>
      <c r="C20" s="842">
        <f>INT(C24/C16)+1</f>
        <v>9</v>
      </c>
      <c r="D20" s="810"/>
      <c r="E20" s="517"/>
      <c r="F20" s="467"/>
      <c r="G20" s="815">
        <f>INT(G24/G16)+1</f>
        <v>6</v>
      </c>
      <c r="H20" s="815">
        <f>INT(H24/H16)+1</f>
        <v>11</v>
      </c>
      <c r="I20" s="467"/>
      <c r="J20" s="815">
        <f>INT(J24/J16)+1</f>
        <v>6</v>
      </c>
      <c r="K20" s="815">
        <f>INT(K24/K16)+1</f>
        <v>11</v>
      </c>
      <c r="N20" s="815">
        <f>INT(N24/N16)+1</f>
        <v>5</v>
      </c>
      <c r="O20" s="82"/>
      <c r="P20" s="82"/>
      <c r="Q20" s="815">
        <f>INT(Q24/Q16)+1</f>
        <v>9</v>
      </c>
      <c r="R20" s="815">
        <f>INT(R24/R16)+1</f>
        <v>11</v>
      </c>
      <c r="S20" s="815">
        <f>INT(S24/S16)+1</f>
        <v>9</v>
      </c>
      <c r="T20" s="815">
        <f>INT(T24/T16)+1</f>
        <v>11</v>
      </c>
      <c r="U20" s="815">
        <f>INT(U24/U16)+1</f>
        <v>9</v>
      </c>
      <c r="AC20" s="5"/>
      <c r="AD20" s="5"/>
      <c r="AE20" s="5"/>
      <c r="AF20" s="5"/>
      <c r="AG20" s="5"/>
      <c r="AH20" s="5"/>
      <c r="AI20" s="5"/>
    </row>
    <row r="21" spans="1:35" ht="21.6" thickTop="1" x14ac:dyDescent="0.3">
      <c r="A21" s="590"/>
      <c r="B21" s="635"/>
      <c r="C21" s="817"/>
      <c r="D21" s="818"/>
      <c r="E21" s="517"/>
      <c r="F21" s="467"/>
      <c r="G21" s="815"/>
      <c r="H21" s="815"/>
      <c r="I21" s="467"/>
      <c r="J21" s="815"/>
      <c r="K21" s="815"/>
      <c r="N21" s="815"/>
      <c r="O21" s="82"/>
      <c r="P21" s="82"/>
      <c r="Q21" s="815"/>
      <c r="R21" s="815"/>
      <c r="S21" s="815"/>
      <c r="T21" s="815"/>
      <c r="U21" s="815"/>
      <c r="AC21" s="5"/>
      <c r="AD21" s="5"/>
      <c r="AE21" s="5"/>
      <c r="AF21" s="5"/>
      <c r="AG21" s="5"/>
      <c r="AH21" s="5"/>
      <c r="AI21" s="5"/>
    </row>
    <row r="22" spans="1:35" ht="21.6" thickBot="1" x14ac:dyDescent="0.35">
      <c r="A22" s="590" t="s">
        <v>51</v>
      </c>
      <c r="B22" s="635"/>
      <c r="C22" s="843" t="s">
        <v>58</v>
      </c>
      <c r="D22" s="844"/>
      <c r="E22" s="520"/>
      <c r="F22" s="5"/>
      <c r="G22" s="813" t="s">
        <v>58</v>
      </c>
      <c r="H22" s="814" t="s">
        <v>404</v>
      </c>
      <c r="I22" s="467"/>
      <c r="J22" s="813" t="str">
        <f t="shared" si="2"/>
        <v>PEDANA</v>
      </c>
      <c r="K22" s="813" t="str">
        <f t="shared" si="2"/>
        <v>NORM</v>
      </c>
      <c r="N22" s="815" t="s">
        <v>405</v>
      </c>
      <c r="O22" s="82"/>
      <c r="P22" s="82"/>
      <c r="Q22" s="813" t="s">
        <v>58</v>
      </c>
      <c r="R22" s="815" t="s">
        <v>404</v>
      </c>
      <c r="S22" s="815" t="s">
        <v>405</v>
      </c>
      <c r="T22" s="815" t="s">
        <v>404</v>
      </c>
      <c r="U22" s="815" t="s">
        <v>405</v>
      </c>
    </row>
    <row r="23" spans="1:35" ht="21.6" thickTop="1" x14ac:dyDescent="0.3">
      <c r="A23" s="590"/>
      <c r="B23" s="635"/>
      <c r="C23" s="845"/>
      <c r="D23" s="846"/>
      <c r="E23" s="520"/>
      <c r="F23" s="5"/>
      <c r="G23" s="813"/>
      <c r="H23" s="814"/>
      <c r="I23" s="467"/>
      <c r="J23" s="814"/>
      <c r="K23" s="814"/>
      <c r="N23" s="815"/>
      <c r="O23" s="82"/>
      <c r="P23" s="82"/>
      <c r="Q23" s="814"/>
      <c r="R23" s="815"/>
      <c r="S23" s="815"/>
      <c r="T23" s="815"/>
      <c r="U23" s="815"/>
    </row>
    <row r="24" spans="1:35" x14ac:dyDescent="0.3">
      <c r="A24" s="590" t="s">
        <v>406</v>
      </c>
      <c r="B24" s="590"/>
      <c r="C24" s="593">
        <v>10000</v>
      </c>
      <c r="D24" s="595"/>
      <c r="E24" s="520"/>
      <c r="F24" s="5"/>
      <c r="G24" s="813">
        <f>C24</f>
        <v>10000</v>
      </c>
      <c r="H24" s="813">
        <f>G24</f>
        <v>10000</v>
      </c>
      <c r="J24" s="813">
        <f t="shared" si="2"/>
        <v>10000</v>
      </c>
      <c r="K24" s="813">
        <f t="shared" si="2"/>
        <v>10000</v>
      </c>
      <c r="N24" s="815">
        <v>10000</v>
      </c>
      <c r="O24" s="82"/>
      <c r="P24" s="82"/>
      <c r="Q24" s="815">
        <v>10000</v>
      </c>
      <c r="R24" s="815">
        <v>10000</v>
      </c>
      <c r="S24" s="815">
        <v>10000</v>
      </c>
      <c r="T24" s="815">
        <v>10000</v>
      </c>
      <c r="U24" s="815">
        <v>10000</v>
      </c>
    </row>
    <row r="25" spans="1:35" ht="21" customHeight="1" x14ac:dyDescent="0.3">
      <c r="A25" s="590"/>
      <c r="B25" s="590"/>
      <c r="C25" s="593"/>
      <c r="D25" s="595"/>
      <c r="E25" s="520"/>
      <c r="F25" s="5"/>
      <c r="G25" s="813"/>
      <c r="H25" s="814"/>
      <c r="J25" s="814"/>
      <c r="K25" s="814"/>
      <c r="N25" s="815"/>
      <c r="O25" s="82"/>
      <c r="P25" s="82"/>
      <c r="Q25" s="815"/>
      <c r="R25" s="815"/>
      <c r="S25" s="815"/>
      <c r="T25" s="815"/>
      <c r="U25" s="815"/>
    </row>
    <row r="26" spans="1:35" ht="30" customHeight="1" x14ac:dyDescent="0.3">
      <c r="A26" s="590" t="s">
        <v>407</v>
      </c>
      <c r="B26" s="590"/>
      <c r="C26" s="593">
        <v>4000</v>
      </c>
      <c r="D26" s="595"/>
      <c r="E26" s="520"/>
      <c r="F26" s="5"/>
      <c r="G26" s="504">
        <f>C26</f>
        <v>4000</v>
      </c>
      <c r="H26" s="504">
        <f>G26</f>
        <v>4000</v>
      </c>
      <c r="J26" s="7">
        <v>4000</v>
      </c>
      <c r="K26" s="7">
        <v>4000</v>
      </c>
      <c r="L26" s="1"/>
      <c r="N26" s="518">
        <v>4000</v>
      </c>
      <c r="O26" s="82"/>
      <c r="P26" s="82"/>
      <c r="Q26" s="518">
        <v>4000</v>
      </c>
      <c r="R26" s="518">
        <v>4000</v>
      </c>
      <c r="S26" s="518">
        <v>4000</v>
      </c>
      <c r="T26" s="518">
        <v>4000</v>
      </c>
      <c r="U26" s="518">
        <v>4000</v>
      </c>
    </row>
    <row r="27" spans="1:35" ht="31.8" customHeight="1" thickBot="1" x14ac:dyDescent="0.35"/>
    <row r="28" spans="1:35" ht="25.8" x14ac:dyDescent="0.3">
      <c r="E28" s="463"/>
      <c r="F28" s="463"/>
      <c r="G28" s="820" t="s">
        <v>408</v>
      </c>
      <c r="H28" s="821"/>
      <c r="I28" s="821"/>
      <c r="J28" s="821"/>
      <c r="K28" s="821"/>
      <c r="L28" s="821"/>
      <c r="M28" s="822"/>
    </row>
    <row r="29" spans="1:35" ht="26.4" thickBot="1" x14ac:dyDescent="0.35">
      <c r="E29" s="463"/>
      <c r="F29" s="463"/>
      <c r="G29" s="823"/>
      <c r="H29" s="824"/>
      <c r="I29" s="824"/>
      <c r="J29" s="824"/>
      <c r="K29" s="824"/>
      <c r="L29" s="824"/>
      <c r="M29" s="825"/>
    </row>
    <row r="30" spans="1:35" ht="25.95" customHeight="1" x14ac:dyDescent="0.45">
      <c r="G30" s="582"/>
      <c r="I30" s="582"/>
      <c r="Q30" s="5"/>
      <c r="R30" s="5"/>
      <c r="S30" s="5"/>
      <c r="T30" s="5"/>
      <c r="U30" s="5"/>
    </row>
    <row r="31" spans="1:35" ht="45.6" customHeight="1" x14ac:dyDescent="0.3">
      <c r="D31" s="584" t="s">
        <v>689</v>
      </c>
      <c r="E31" s="583"/>
      <c r="Q31" s="453"/>
      <c r="R31" s="453"/>
      <c r="S31" s="453"/>
      <c r="T31" s="453"/>
      <c r="U31" s="453"/>
    </row>
    <row r="32" spans="1:35" ht="21" x14ac:dyDescent="0.3">
      <c r="A32" s="791" t="s">
        <v>409</v>
      </c>
      <c r="B32" s="792"/>
      <c r="C32" s="847">
        <f>((C14*2)+C26)*C12/1000000</f>
        <v>12.71</v>
      </c>
      <c r="D32" s="848"/>
      <c r="E32" s="521"/>
      <c r="F32" s="465"/>
      <c r="G32" s="789">
        <f>((2*G14)+G26)*G12/1000000</f>
        <v>12.462</v>
      </c>
      <c r="H32" s="789">
        <f>((2*H14)+H26)*H12/1000000</f>
        <v>5.1340000000000003</v>
      </c>
      <c r="J32" s="789">
        <f>((2*J14)+J26)*J12/1000000</f>
        <v>12.462</v>
      </c>
      <c r="K32" s="789">
        <f>((2*K14)+K26)*K12/1000000</f>
        <v>5.1340000000000003</v>
      </c>
      <c r="N32" s="789">
        <f>((2*N14)+N26)*N12/1000000</f>
        <v>12.462</v>
      </c>
      <c r="O32" s="82"/>
      <c r="P32" s="82"/>
      <c r="Q32" s="789">
        <f>((2*Q14)+Q26)*Q12/1000000</f>
        <v>12.462</v>
      </c>
      <c r="R32" s="789">
        <f>((2*R14)+R26)*R12/1000000</f>
        <v>5.1340000000000003</v>
      </c>
      <c r="S32" s="789">
        <f>((2*S14)+S26)*S12/1000000</f>
        <v>8.4420000000000002</v>
      </c>
      <c r="T32" s="789">
        <f t="shared" ref="T32:U32" si="3">((2*T14)+T26)*T12/1000000</f>
        <v>5.984</v>
      </c>
      <c r="U32" s="789">
        <f t="shared" si="3"/>
        <v>8.4420000000000002</v>
      </c>
    </row>
    <row r="33" spans="1:21" ht="21" x14ac:dyDescent="0.3">
      <c r="A33" s="793"/>
      <c r="B33" s="794"/>
      <c r="C33" s="849"/>
      <c r="D33" s="850"/>
      <c r="E33" s="521"/>
      <c r="F33" s="465"/>
      <c r="G33" s="789"/>
      <c r="H33" s="789"/>
      <c r="J33" s="789"/>
      <c r="K33" s="789"/>
      <c r="N33" s="789"/>
      <c r="O33" s="82"/>
      <c r="P33" s="82"/>
      <c r="Q33" s="789"/>
      <c r="R33" s="789"/>
      <c r="S33" s="789"/>
      <c r="T33" s="789"/>
      <c r="U33" s="789"/>
    </row>
    <row r="34" spans="1:21" ht="21" x14ac:dyDescent="0.3">
      <c r="A34" s="590" t="s">
        <v>410</v>
      </c>
      <c r="B34" s="590"/>
      <c r="C34" s="814">
        <f>C20*2</f>
        <v>18</v>
      </c>
      <c r="D34" s="851"/>
      <c r="E34" s="517"/>
      <c r="F34" s="467"/>
      <c r="G34" s="852">
        <f>G20*2</f>
        <v>12</v>
      </c>
      <c r="H34" s="852">
        <f>H20*2</f>
        <v>22</v>
      </c>
      <c r="J34" s="852">
        <f>J20*2</f>
        <v>12</v>
      </c>
      <c r="K34" s="852">
        <f>K20*2</f>
        <v>22</v>
      </c>
      <c r="N34" s="852">
        <f>N20*2</f>
        <v>10</v>
      </c>
      <c r="O34" s="82"/>
      <c r="P34" s="82"/>
      <c r="Q34" s="852">
        <f>Q20*2</f>
        <v>18</v>
      </c>
      <c r="R34" s="852">
        <f>R20*2</f>
        <v>22</v>
      </c>
      <c r="S34" s="852">
        <f>S20*2</f>
        <v>18</v>
      </c>
      <c r="T34" s="852">
        <f t="shared" ref="T34:U34" si="4">T20*2</f>
        <v>22</v>
      </c>
      <c r="U34" s="852">
        <f t="shared" si="4"/>
        <v>18</v>
      </c>
    </row>
    <row r="35" spans="1:21" ht="21" x14ac:dyDescent="0.3">
      <c r="A35" s="590"/>
      <c r="B35" s="590"/>
      <c r="C35" s="814"/>
      <c r="D35" s="851"/>
      <c r="E35" s="517"/>
      <c r="F35" s="467"/>
      <c r="G35" s="852"/>
      <c r="H35" s="852"/>
      <c r="J35" s="852"/>
      <c r="K35" s="852"/>
      <c r="N35" s="852"/>
      <c r="O35" s="82"/>
      <c r="P35" s="82"/>
      <c r="Q35" s="852"/>
      <c r="R35" s="852"/>
      <c r="S35" s="852"/>
      <c r="T35" s="852"/>
      <c r="U35" s="852"/>
    </row>
    <row r="36" spans="1:21" ht="21" x14ac:dyDescent="0.3">
      <c r="A36" s="853" t="s">
        <v>411</v>
      </c>
      <c r="B36" s="853"/>
      <c r="C36" s="854">
        <f>C32/C34</f>
        <v>0.70611111111111113</v>
      </c>
      <c r="D36" s="855"/>
      <c r="E36" s="521"/>
      <c r="F36" s="465"/>
      <c r="G36" s="854">
        <f>G32/G34</f>
        <v>1.0385</v>
      </c>
      <c r="H36" s="854">
        <f>H32/H34</f>
        <v>0.23336363636363638</v>
      </c>
      <c r="J36" s="854">
        <f>J32/J34</f>
        <v>1.0385</v>
      </c>
      <c r="K36" s="854">
        <f>K32/K34</f>
        <v>0.23336363636363638</v>
      </c>
      <c r="N36" s="854">
        <f>N32/N34</f>
        <v>1.2462</v>
      </c>
      <c r="O36" s="82"/>
      <c r="P36" s="82"/>
      <c r="Q36" s="854">
        <f>Q32/Q34</f>
        <v>0.69233333333333336</v>
      </c>
      <c r="R36" s="854">
        <f>R32/R34</f>
        <v>0.23336363636363638</v>
      </c>
      <c r="S36" s="854">
        <f>S32/S34</f>
        <v>0.46900000000000003</v>
      </c>
      <c r="T36" s="854">
        <f t="shared" ref="T36:U36" si="5">T32/T34</f>
        <v>0.27200000000000002</v>
      </c>
      <c r="U36" s="854">
        <f t="shared" si="5"/>
        <v>0.46900000000000003</v>
      </c>
    </row>
    <row r="37" spans="1:21" ht="21" x14ac:dyDescent="0.3">
      <c r="A37" s="853"/>
      <c r="B37" s="853"/>
      <c r="C37" s="854"/>
      <c r="D37" s="855"/>
      <c r="E37" s="521"/>
      <c r="F37" s="465"/>
      <c r="G37" s="854"/>
      <c r="H37" s="854"/>
      <c r="J37" s="854"/>
      <c r="K37" s="854"/>
      <c r="N37" s="854"/>
      <c r="O37" s="82"/>
      <c r="P37" s="82"/>
      <c r="Q37" s="854"/>
      <c r="R37" s="854"/>
      <c r="S37" s="854"/>
      <c r="T37" s="854"/>
      <c r="U37" s="854"/>
    </row>
    <row r="38" spans="1:21" ht="21" x14ac:dyDescent="0.3">
      <c r="A38" s="590" t="s">
        <v>412</v>
      </c>
      <c r="B38" s="590"/>
      <c r="C38" s="856">
        <f>(C32-((C14*2)*C12)/1000000)/C32</f>
        <v>0.48780487804878053</v>
      </c>
      <c r="D38" s="857"/>
      <c r="E38" s="522"/>
      <c r="F38" s="466"/>
      <c r="G38" s="856">
        <f>(G32-((G14*2)*G12)/1000000)/G32</f>
        <v>0.49751243781094528</v>
      </c>
      <c r="H38" s="856">
        <f>(H32-((H14*2)*H12)/1000000)/H32</f>
        <v>0.66225165562913912</v>
      </c>
      <c r="J38" s="856">
        <f>(J32-((J14*2)*J12)/1000000)/J32</f>
        <v>0.49751243781094528</v>
      </c>
      <c r="K38" s="856">
        <f>(K32-((K14*2)*K12)/1000000)/K32</f>
        <v>0.66225165562913912</v>
      </c>
      <c r="N38" s="856">
        <f>(N32-((N14*2)*N12)/1000000)/N32</f>
        <v>0.49751243781094528</v>
      </c>
      <c r="O38" s="82"/>
      <c r="P38" s="82"/>
      <c r="Q38" s="856">
        <f>(Q32-((Q14*2)*Q12)/1000000)/Q32</f>
        <v>0.49751243781094528</v>
      </c>
      <c r="R38" s="856">
        <f>(R32-((R14*2)*R12)/1000000)/R32</f>
        <v>0.66225165562913912</v>
      </c>
      <c r="S38" s="856">
        <f>(S32-((S14*2)*S12)/1000000)/S32</f>
        <v>0.49751243781094528</v>
      </c>
      <c r="T38" s="856">
        <f t="shared" ref="T38:U38" si="6">(T32-((T14*2)*T12)/1000000)/T32</f>
        <v>0.56818181818181812</v>
      </c>
      <c r="U38" s="856">
        <f t="shared" si="6"/>
        <v>0.49751243781094528</v>
      </c>
    </row>
    <row r="39" spans="1:21" ht="21" x14ac:dyDescent="0.3">
      <c r="A39" s="590"/>
      <c r="B39" s="590"/>
      <c r="C39" s="856"/>
      <c r="D39" s="857"/>
      <c r="E39" s="522"/>
      <c r="F39" s="466"/>
      <c r="G39" s="856"/>
      <c r="H39" s="856"/>
      <c r="J39" s="856"/>
      <c r="K39" s="856"/>
      <c r="N39" s="856"/>
      <c r="O39" s="82"/>
      <c r="P39" s="82"/>
      <c r="Q39" s="856"/>
      <c r="R39" s="856"/>
      <c r="S39" s="856"/>
      <c r="T39" s="856"/>
      <c r="U39" s="856"/>
    </row>
    <row r="40" spans="1:21" ht="21" x14ac:dyDescent="0.3">
      <c r="A40" s="791" t="s">
        <v>688</v>
      </c>
      <c r="B40" s="792"/>
      <c r="C40" s="795">
        <f>((C32*$X$6)-(C32*(C16/1000)*C20))/(C32*$X$6)</f>
        <v>0.22857142857142856</v>
      </c>
      <c r="D40" s="796"/>
      <c r="E40" s="522"/>
      <c r="F40" s="466"/>
      <c r="G40" s="799">
        <f>((G32*$X$6)-(G32*(G16/1000)*G20))/(G32*$X$6)</f>
        <v>0.1428571428571429</v>
      </c>
      <c r="H40" s="799">
        <f>((H32*$X$6)-(H32*(H16/1000)*H20))/(H32*$X$6)</f>
        <v>0.21428571428571427</v>
      </c>
      <c r="J40" s="799">
        <f>((J32*$X$6)-(J32*(J16/1000)*J20))/(J32*$X$6)</f>
        <v>0.1428571428571429</v>
      </c>
      <c r="K40" s="799">
        <f>((K32*$X$6)-(K32*(K16/1000)*K20))/(K32*$X$6)</f>
        <v>0.21428571428571427</v>
      </c>
      <c r="N40" s="799">
        <f>((N32*$X$6)-(N32*(N16/1000)*N20))/(N32*$X$6)</f>
        <v>0.21428571428571411</v>
      </c>
      <c r="O40" s="82"/>
      <c r="P40" s="82"/>
      <c r="Q40" s="799">
        <f>((Q32*$X$6)-(Q32*(Q16/1000)*Q20))/(Q32*$X$6)</f>
        <v>0.22857142857142859</v>
      </c>
      <c r="R40" s="799">
        <f>((R32*$X$6)-(R32*(R16/1000)*R20))/(R32*$X$6)</f>
        <v>0.21428571428571427</v>
      </c>
      <c r="S40" s="799">
        <f>((S32*$X$6)-(S32*(S16/1000)*S20))/(S32*$X$6)</f>
        <v>0.22857142857142865</v>
      </c>
      <c r="T40" s="799">
        <f>((T32*$X$6)-(T32*(T16/1000)*T20))/(T32*$X$6)</f>
        <v>0.21428571428571427</v>
      </c>
      <c r="U40" s="799">
        <f>((U32*$X$6)-(U32*(U16/1000)*U20))/(U32*$X$6)</f>
        <v>0.22857142857142865</v>
      </c>
    </row>
    <row r="41" spans="1:21" ht="21" x14ac:dyDescent="0.3">
      <c r="A41" s="793"/>
      <c r="B41" s="794"/>
      <c r="C41" s="797"/>
      <c r="D41" s="798"/>
      <c r="E41" s="522"/>
      <c r="F41" s="466"/>
      <c r="G41" s="800"/>
      <c r="H41" s="800"/>
      <c r="J41" s="800"/>
      <c r="K41" s="800"/>
      <c r="N41" s="800"/>
      <c r="O41" s="82"/>
      <c r="P41" s="82"/>
      <c r="Q41" s="800"/>
      <c r="R41" s="800"/>
      <c r="S41" s="800"/>
      <c r="T41" s="800"/>
      <c r="U41" s="800"/>
    </row>
    <row r="42" spans="1:21" ht="21" x14ac:dyDescent="0.3">
      <c r="A42" s="791" t="s">
        <v>679</v>
      </c>
      <c r="B42" s="792"/>
      <c r="C42" s="789">
        <f>C34/C32</f>
        <v>1.4162077104642012</v>
      </c>
      <c r="D42" s="863"/>
      <c r="E42" s="522"/>
      <c r="F42" s="466"/>
      <c r="G42" s="890">
        <f>G34/G32</f>
        <v>0.96292729898892637</v>
      </c>
      <c r="H42" s="890">
        <f>H34/H32</f>
        <v>4.2851577717179588</v>
      </c>
      <c r="J42" s="890">
        <f>J34/J32</f>
        <v>0.96292729898892637</v>
      </c>
      <c r="K42" s="890">
        <f>K34/K32</f>
        <v>4.2851577717179588</v>
      </c>
      <c r="N42" s="890">
        <f>N34/N32</f>
        <v>0.80243941582410527</v>
      </c>
      <c r="O42" s="82"/>
      <c r="P42" s="82"/>
      <c r="Q42" s="890">
        <f>Q34/Q32</f>
        <v>1.4443909484833894</v>
      </c>
      <c r="R42" s="890">
        <f>R34/R32</f>
        <v>4.2851577717179588</v>
      </c>
      <c r="S42" s="890">
        <f>S34/S32</f>
        <v>2.1321961620469083</v>
      </c>
      <c r="T42" s="890">
        <f>T34/T32</f>
        <v>3.6764705882352939</v>
      </c>
      <c r="U42" s="890">
        <f>U34/U32</f>
        <v>2.1321961620469083</v>
      </c>
    </row>
    <row r="43" spans="1:21" ht="21" x14ac:dyDescent="0.3">
      <c r="A43" s="793"/>
      <c r="B43" s="794"/>
      <c r="C43" s="789"/>
      <c r="D43" s="863"/>
      <c r="E43" s="522"/>
      <c r="F43" s="466"/>
      <c r="G43" s="891"/>
      <c r="H43" s="891"/>
      <c r="J43" s="891"/>
      <c r="K43" s="891"/>
      <c r="N43" s="891"/>
      <c r="O43" s="82"/>
      <c r="P43" s="82"/>
      <c r="Q43" s="891"/>
      <c r="R43" s="891"/>
      <c r="S43" s="891"/>
      <c r="T43" s="891"/>
      <c r="U43" s="891"/>
    </row>
    <row r="44" spans="1:21" ht="21" x14ac:dyDescent="0.3">
      <c r="A44" s="858" t="s">
        <v>413</v>
      </c>
      <c r="B44" s="858"/>
      <c r="C44" s="859">
        <f>C8*C36</f>
        <v>1211.6866666666667</v>
      </c>
      <c r="D44" s="860"/>
      <c r="E44" s="521"/>
      <c r="F44" s="465"/>
      <c r="G44" s="859">
        <f>G36*G8</f>
        <v>70.569813599999989</v>
      </c>
      <c r="H44" s="859">
        <f>H36*H8</f>
        <v>19.350512727272729</v>
      </c>
      <c r="J44" s="861">
        <f>J36*J8</f>
        <v>69.856987200000006</v>
      </c>
      <c r="K44" s="859">
        <f>K36*K8</f>
        <v>13.721781818181819</v>
      </c>
      <c r="N44" s="859">
        <f>N36*N8</f>
        <v>518.67155549999995</v>
      </c>
      <c r="O44" s="82"/>
      <c r="P44" s="82"/>
      <c r="Q44" s="859">
        <f>Q36*Q8</f>
        <v>846.03133333333335</v>
      </c>
      <c r="R44" s="859">
        <f>R36*R8</f>
        <v>49.006363636363638</v>
      </c>
      <c r="S44" s="859">
        <f>S36*S8</f>
        <v>527.15600000000006</v>
      </c>
      <c r="T44" s="859">
        <f t="shared" ref="T44:U44" si="7">T36*T8</f>
        <v>148.512</v>
      </c>
      <c r="U44" s="859">
        <f t="shared" si="7"/>
        <v>592.81600000000003</v>
      </c>
    </row>
    <row r="45" spans="1:21" ht="21" x14ac:dyDescent="0.3">
      <c r="A45" s="858"/>
      <c r="B45" s="858"/>
      <c r="C45" s="859"/>
      <c r="D45" s="860"/>
      <c r="E45" s="521"/>
      <c r="G45" s="859"/>
      <c r="H45" s="859"/>
      <c r="J45" s="862"/>
      <c r="K45" s="859"/>
      <c r="N45" s="859"/>
      <c r="O45" s="82"/>
      <c r="Q45" s="859"/>
      <c r="R45" s="859"/>
      <c r="S45" s="859"/>
      <c r="T45" s="859"/>
      <c r="U45" s="859"/>
    </row>
    <row r="46" spans="1:21" ht="36" customHeight="1" thickBot="1" x14ac:dyDescent="0.5">
      <c r="C46" s="892"/>
      <c r="D46" s="892"/>
    </row>
    <row r="47" spans="1:21" ht="37.200000000000003" customHeight="1" thickBot="1" x14ac:dyDescent="0.35">
      <c r="G47" s="801" t="s">
        <v>414</v>
      </c>
      <c r="H47" s="802"/>
      <c r="I47" s="802"/>
      <c r="J47" s="802"/>
      <c r="K47" s="802"/>
      <c r="L47" s="802"/>
      <c r="M47" s="803"/>
    </row>
    <row r="48" spans="1:21" x14ac:dyDescent="0.3">
      <c r="C48" s="82"/>
      <c r="D48" s="82"/>
      <c r="E48" s="82"/>
      <c r="F48" s="82"/>
    </row>
    <row r="49" spans="1:21" ht="21" x14ac:dyDescent="0.3">
      <c r="A49" s="600" t="s">
        <v>415</v>
      </c>
      <c r="B49" s="600"/>
      <c r="C49" s="789">
        <f>SQRT((3/2)*C44)</f>
        <v>42.632499340292028</v>
      </c>
      <c r="D49" s="789"/>
      <c r="E49" s="521"/>
      <c r="F49" s="465"/>
      <c r="G49" s="789">
        <f>SQRT((3/2)*G44)</f>
        <v>10.288572320783871</v>
      </c>
      <c r="H49" s="789">
        <f>SQRT((3/2)*H44)</f>
        <v>5.3875568758862391</v>
      </c>
      <c r="J49" s="789">
        <f>SQRT((3/2)*J44)</f>
        <v>10.236477948982259</v>
      </c>
      <c r="K49" s="789">
        <f>SQRT((3/2)*K44)</f>
        <v>4.5368130584445208</v>
      </c>
      <c r="N49" s="789">
        <f>SQRT((3/2)*N44)</f>
        <v>27.892782816528005</v>
      </c>
      <c r="O49" s="470"/>
      <c r="P49" s="470"/>
      <c r="Q49" s="789">
        <f>SQRT((3/2)*Q44)</f>
        <v>35.62368594067717</v>
      </c>
      <c r="R49" s="789">
        <f>SQRT((3/2)*R44)</f>
        <v>8.5737707838818196</v>
      </c>
      <c r="S49" s="789">
        <f>SQRT((3/2)*S44)</f>
        <v>28.119992887623571</v>
      </c>
      <c r="T49" s="789">
        <f t="shared" ref="T49:U49" si="8">SQRT((3/2)*T44)</f>
        <v>14.925414567106671</v>
      </c>
      <c r="U49" s="789">
        <f t="shared" si="8"/>
        <v>29.819859154596958</v>
      </c>
    </row>
    <row r="50" spans="1:21" ht="21" x14ac:dyDescent="0.3">
      <c r="A50" s="600"/>
      <c r="B50" s="600"/>
      <c r="C50" s="789"/>
      <c r="D50" s="789"/>
      <c r="E50" s="521"/>
      <c r="F50" s="465"/>
      <c r="G50" s="789"/>
      <c r="H50" s="789"/>
      <c r="J50" s="789"/>
      <c r="K50" s="789"/>
      <c r="N50" s="789"/>
      <c r="O50" s="470"/>
      <c r="P50" s="470"/>
      <c r="Q50" s="789"/>
      <c r="R50" s="789"/>
      <c r="S50" s="789"/>
      <c r="T50" s="789"/>
      <c r="U50" s="789"/>
    </row>
    <row r="51" spans="1:21" ht="21" x14ac:dyDescent="0.3">
      <c r="A51" s="600" t="s">
        <v>416</v>
      </c>
      <c r="B51" s="600"/>
      <c r="C51" s="789">
        <f>2*C49/3</f>
        <v>28.421666226861351</v>
      </c>
      <c r="D51" s="863"/>
      <c r="E51" s="521"/>
      <c r="F51" s="465"/>
      <c r="G51" s="789">
        <f>2*G49/3</f>
        <v>6.8590482138559139</v>
      </c>
      <c r="H51" s="789">
        <f>2*H49/3</f>
        <v>3.5917045839241593</v>
      </c>
      <c r="J51" s="789">
        <f>2*J49/3</f>
        <v>6.8243186326548395</v>
      </c>
      <c r="K51" s="789">
        <f>2*K49/3</f>
        <v>3.024542038963014</v>
      </c>
      <c r="N51" s="789">
        <f>2*N49/3</f>
        <v>18.595188544352002</v>
      </c>
      <c r="O51" s="470"/>
      <c r="P51" s="470"/>
      <c r="Q51" s="789">
        <f>2*Q49/3</f>
        <v>23.749123960451445</v>
      </c>
      <c r="R51" s="789">
        <f>2*R49/3</f>
        <v>5.7158471892545464</v>
      </c>
      <c r="S51" s="789">
        <f>2*S49/3</f>
        <v>18.746661925082382</v>
      </c>
      <c r="T51" s="789">
        <f t="shared" ref="T51:U51" si="9">2*T49/3</f>
        <v>9.9502763780711145</v>
      </c>
      <c r="U51" s="789">
        <f t="shared" si="9"/>
        <v>19.879906103064638</v>
      </c>
    </row>
    <row r="52" spans="1:21" ht="21" x14ac:dyDescent="0.3">
      <c r="A52" s="600"/>
      <c r="B52" s="600"/>
      <c r="C52" s="789"/>
      <c r="D52" s="863"/>
      <c r="E52" s="521"/>
      <c r="F52" s="465"/>
      <c r="G52" s="789"/>
      <c r="H52" s="789"/>
      <c r="J52" s="789"/>
      <c r="K52" s="789"/>
      <c r="N52" s="789"/>
      <c r="O52" s="470"/>
      <c r="P52" s="470"/>
      <c r="Q52" s="789"/>
      <c r="R52" s="789"/>
      <c r="S52" s="789"/>
      <c r="T52" s="789"/>
      <c r="U52" s="789"/>
    </row>
    <row r="53" spans="1:21" ht="21" customHeight="1" x14ac:dyDescent="0.4">
      <c r="A53" s="600" t="s">
        <v>417</v>
      </c>
      <c r="B53" s="600"/>
      <c r="C53" s="865">
        <f>_xlfn.CEILING.MATH(C49/((C26+(2*C14))/1000))</f>
        <v>6</v>
      </c>
      <c r="D53" s="866"/>
      <c r="E53" s="523"/>
      <c r="F53" s="524"/>
      <c r="G53" s="814">
        <f>_xlfn.CEILING.MATH(G49/((G26+(2*G14))/1000))</f>
        <v>2</v>
      </c>
      <c r="H53" s="814">
        <f>_xlfn.CEILING.MATH(H49/((H26+(2*H14))/1000))</f>
        <v>1</v>
      </c>
      <c r="J53" s="814">
        <f>_xlfn.CEILING.MATH(J49/((J26+(2*J14))/1000))</f>
        <v>2</v>
      </c>
      <c r="K53" s="814">
        <f>_xlfn.CEILING.MATH(K49/((K26+(2*K14))/1000))</f>
        <v>1</v>
      </c>
      <c r="N53" s="814">
        <f>_xlfn.CEILING.MATH(N49/((N26+(2*N14))/1000))</f>
        <v>4</v>
      </c>
      <c r="O53" s="470"/>
      <c r="P53" s="470"/>
      <c r="Q53" s="814">
        <f>_xlfn.CEILING.MATH(Q49/((Q26+(2*Q14))/1000))</f>
        <v>5</v>
      </c>
      <c r="R53" s="814">
        <f>_xlfn.CEILING.MATH(R49/((R26+(2*R14))/1000))</f>
        <v>2</v>
      </c>
      <c r="S53" s="814">
        <f>_xlfn.CEILING.MATH(S49/((S26+(2*S14))/1000))</f>
        <v>4</v>
      </c>
      <c r="T53" s="814">
        <f t="shared" ref="T53:U53" si="10">_xlfn.CEILING.MATH(T49/((T26+(2*T14))/1000))</f>
        <v>3</v>
      </c>
      <c r="U53" s="814">
        <f t="shared" si="10"/>
        <v>4</v>
      </c>
    </row>
    <row r="54" spans="1:21" ht="21" x14ac:dyDescent="0.4">
      <c r="A54" s="600"/>
      <c r="B54" s="600"/>
      <c r="C54" s="867"/>
      <c r="D54" s="868"/>
      <c r="E54" s="523"/>
      <c r="F54" s="524"/>
      <c r="G54" s="814"/>
      <c r="H54" s="814"/>
      <c r="J54" s="814"/>
      <c r="K54" s="814"/>
      <c r="N54" s="814"/>
      <c r="O54" s="470"/>
      <c r="P54" s="470"/>
      <c r="Q54" s="814"/>
      <c r="R54" s="814"/>
      <c r="S54" s="814"/>
      <c r="T54" s="814"/>
      <c r="U54" s="814"/>
    </row>
    <row r="55" spans="1:21" ht="21" x14ac:dyDescent="0.4">
      <c r="A55" s="889" t="s">
        <v>418</v>
      </c>
      <c r="B55" s="889"/>
      <c r="C55" s="885">
        <f>C53*((C26/1000)+(2*(C14/1000)))</f>
        <v>49.199999999999996</v>
      </c>
      <c r="D55" s="886"/>
      <c r="E55" s="523"/>
      <c r="F55" s="524"/>
      <c r="G55" s="864">
        <f>G53*((G26/1000)+(2*(G14/1000)))</f>
        <v>16.079999999999998</v>
      </c>
      <c r="H55" s="864">
        <f>H53*((H26/1000)+(2*(H14/1000)))</f>
        <v>6.04</v>
      </c>
      <c r="J55" s="864">
        <f>J53*((J26/1000)+(2*(J14/1000)))</f>
        <v>16.079999999999998</v>
      </c>
      <c r="K55" s="864">
        <f>K53*((K26/1000)+(2*(K14/1000)))</f>
        <v>6.04</v>
      </c>
      <c r="N55" s="864">
        <f>N53*((N26/1000)+(2*(N14/1000)))</f>
        <v>32.159999999999997</v>
      </c>
      <c r="O55" s="470"/>
      <c r="P55" s="470"/>
      <c r="Q55" s="864">
        <f>Q53*((Q26/1000)+(2*(Q14/1000)))</f>
        <v>40.199999999999996</v>
      </c>
      <c r="R55" s="864">
        <f>R53*((R26/1000)+(2*(R14/1000)))</f>
        <v>12.08</v>
      </c>
      <c r="S55" s="864">
        <f>S53*((S26/1000)+(2*(S14/1000)))</f>
        <v>32.159999999999997</v>
      </c>
      <c r="T55" s="864">
        <f t="shared" ref="T55:U55" si="11">T53*((T26/1000)+(2*(T14/1000)))</f>
        <v>21.12</v>
      </c>
      <c r="U55" s="864">
        <f t="shared" si="11"/>
        <v>32.159999999999997</v>
      </c>
    </row>
    <row r="56" spans="1:21" ht="21" x14ac:dyDescent="0.4">
      <c r="A56" s="889"/>
      <c r="B56" s="889"/>
      <c r="C56" s="887"/>
      <c r="D56" s="888"/>
      <c r="E56" s="523"/>
      <c r="F56" s="524"/>
      <c r="G56" s="864"/>
      <c r="H56" s="864"/>
      <c r="J56" s="864"/>
      <c r="K56" s="864"/>
      <c r="N56" s="864"/>
      <c r="O56" s="470"/>
      <c r="P56" s="470"/>
      <c r="Q56" s="864"/>
      <c r="R56" s="864"/>
      <c r="S56" s="864"/>
      <c r="T56" s="864"/>
      <c r="U56" s="864"/>
    </row>
    <row r="57" spans="1:21" ht="21" customHeight="1" x14ac:dyDescent="0.4">
      <c r="A57" s="770" t="s">
        <v>419</v>
      </c>
      <c r="B57" s="771"/>
      <c r="C57" s="865">
        <f>_xlfn.CEILING.MATH(C8/(C53*2*C20))</f>
        <v>16</v>
      </c>
      <c r="D57" s="866"/>
      <c r="E57" s="523"/>
      <c r="F57" s="524"/>
      <c r="G57" s="814">
        <f>_xlfn.CEILING.MATH(G8/(G53*2*G20))</f>
        <v>3</v>
      </c>
      <c r="H57" s="814">
        <f>_xlfn.CEILING.MATH(H8/(H53*2*H20))</f>
        <v>4</v>
      </c>
      <c r="J57" s="814">
        <f>_xlfn.CEILING.MATH(J8/(J53*2*J20))</f>
        <v>3</v>
      </c>
      <c r="K57" s="814">
        <f>_xlfn.CEILING.MATH(K8/(K53*2*K20))</f>
        <v>3</v>
      </c>
      <c r="N57" s="814">
        <f>_xlfn.CEILING.MATH(N8/(N53*2*N20))</f>
        <v>11</v>
      </c>
      <c r="O57" s="470"/>
      <c r="P57" s="470"/>
      <c r="Q57" s="814">
        <f>_xlfn.CEILING.MATH(Q8/(Q53*2*Q20))</f>
        <v>14</v>
      </c>
      <c r="R57" s="814">
        <f>_xlfn.CEILING.MATH(R8/(R53*2*R20))</f>
        <v>5</v>
      </c>
      <c r="S57" s="814">
        <f>_xlfn.CEILING.MATH(S8/(S53*2*S20))</f>
        <v>16</v>
      </c>
      <c r="T57" s="814">
        <f t="shared" ref="T57:U57" si="12">_xlfn.CEILING.MATH(T8/(T53*2*T20))</f>
        <v>9</v>
      </c>
      <c r="U57" s="814">
        <f t="shared" si="12"/>
        <v>18</v>
      </c>
    </row>
    <row r="58" spans="1:21" ht="21" x14ac:dyDescent="0.4">
      <c r="A58" s="774"/>
      <c r="B58" s="778"/>
      <c r="C58" s="867"/>
      <c r="D58" s="868"/>
      <c r="E58" s="523"/>
      <c r="F58" s="524"/>
      <c r="G58" s="814"/>
      <c r="H58" s="814"/>
      <c r="J58" s="814"/>
      <c r="K58" s="814"/>
      <c r="N58" s="814"/>
      <c r="O58" s="470"/>
      <c r="P58" s="470"/>
      <c r="Q58" s="814"/>
      <c r="R58" s="814"/>
      <c r="S58" s="814"/>
      <c r="T58" s="814"/>
      <c r="U58" s="814"/>
    </row>
    <row r="59" spans="1:21" ht="21" x14ac:dyDescent="0.4">
      <c r="A59" s="881" t="s">
        <v>420</v>
      </c>
      <c r="B59" s="882"/>
      <c r="C59" s="885">
        <f>C57*C12/1000</f>
        <v>24.8</v>
      </c>
      <c r="D59" s="886"/>
      <c r="E59" s="523"/>
      <c r="F59" s="524"/>
      <c r="G59" s="864">
        <f>G57*G12/1000</f>
        <v>4.6500000000000004</v>
      </c>
      <c r="H59" s="864">
        <f>H57*H12/1000</f>
        <v>3.4</v>
      </c>
      <c r="J59" s="864">
        <f>J57*J12/1000</f>
        <v>4.6500000000000004</v>
      </c>
      <c r="K59" s="864">
        <f>K57*K12/1000</f>
        <v>2.5499999999999998</v>
      </c>
      <c r="N59" s="864">
        <f>N57*N12/1000</f>
        <v>17.05</v>
      </c>
      <c r="O59" s="470"/>
      <c r="P59" s="470"/>
      <c r="Q59" s="864">
        <f>Q57*Q12/1000</f>
        <v>21.7</v>
      </c>
      <c r="R59" s="864">
        <f>R57*R12/1000</f>
        <v>4.25</v>
      </c>
      <c r="S59" s="864">
        <f>S57*S12/1000</f>
        <v>16.8</v>
      </c>
      <c r="T59" s="864">
        <f t="shared" ref="T59:U59" si="13">T57*T12/1000</f>
        <v>7.65</v>
      </c>
      <c r="U59" s="864">
        <f t="shared" si="13"/>
        <v>18.899999999999999</v>
      </c>
    </row>
    <row r="60" spans="1:21" ht="21" x14ac:dyDescent="0.4">
      <c r="A60" s="883"/>
      <c r="B60" s="884"/>
      <c r="C60" s="887"/>
      <c r="D60" s="888"/>
      <c r="E60" s="523"/>
      <c r="F60" s="524"/>
      <c r="G60" s="864"/>
      <c r="H60" s="864"/>
      <c r="J60" s="864"/>
      <c r="K60" s="864"/>
      <c r="N60" s="864"/>
      <c r="O60" s="470"/>
      <c r="P60" s="470"/>
      <c r="Q60" s="864"/>
      <c r="R60" s="864"/>
      <c r="S60" s="864"/>
      <c r="T60" s="864"/>
      <c r="U60" s="864"/>
    </row>
    <row r="61" spans="1:21" ht="21" x14ac:dyDescent="0.4">
      <c r="A61" s="770" t="s">
        <v>421</v>
      </c>
      <c r="B61" s="771"/>
      <c r="C61" s="869">
        <f>2*C53*C57*C20</f>
        <v>1728</v>
      </c>
      <c r="D61" s="870"/>
      <c r="E61" s="525"/>
      <c r="F61" s="451"/>
      <c r="G61" s="814">
        <f>2*G53*G57*G20</f>
        <v>72</v>
      </c>
      <c r="H61" s="814">
        <f>2*H53*H57*H20</f>
        <v>88</v>
      </c>
      <c r="J61" s="814">
        <f>2*J53*J57*J20</f>
        <v>72</v>
      </c>
      <c r="K61" s="814">
        <f>2*K53*K57*K20</f>
        <v>66</v>
      </c>
      <c r="N61" s="814">
        <f>2*N53*N57*N20</f>
        <v>440</v>
      </c>
      <c r="O61" s="470"/>
      <c r="P61" s="470"/>
      <c r="Q61" s="814">
        <f>2*Q53*Q57*Q20</f>
        <v>1260</v>
      </c>
      <c r="R61" s="814">
        <f>2*R53*R57*R20</f>
        <v>220</v>
      </c>
      <c r="S61" s="814">
        <f>2*S53*S57*S20</f>
        <v>1152</v>
      </c>
      <c r="T61" s="814">
        <f t="shared" ref="T61:U61" si="14">2*T53*T57*T20</f>
        <v>594</v>
      </c>
      <c r="U61" s="814">
        <f t="shared" si="14"/>
        <v>1296</v>
      </c>
    </row>
    <row r="62" spans="1:21" ht="21" x14ac:dyDescent="0.4">
      <c r="A62" s="774"/>
      <c r="B62" s="778"/>
      <c r="C62" s="871"/>
      <c r="D62" s="872"/>
      <c r="E62" s="525"/>
      <c r="F62" s="451"/>
      <c r="G62" s="814"/>
      <c r="H62" s="814"/>
      <c r="J62" s="814"/>
      <c r="K62" s="814"/>
      <c r="N62" s="814"/>
      <c r="O62" s="470"/>
      <c r="P62" s="470"/>
      <c r="Q62" s="814"/>
      <c r="R62" s="814"/>
      <c r="S62" s="814"/>
      <c r="T62" s="814"/>
      <c r="U62" s="814"/>
    </row>
    <row r="63" spans="1:21" ht="21" customHeight="1" x14ac:dyDescent="0.4">
      <c r="A63" s="873" t="s">
        <v>422</v>
      </c>
      <c r="B63" s="874"/>
      <c r="C63" s="877">
        <f>C55*C59</f>
        <v>1220.1599999999999</v>
      </c>
      <c r="D63" s="878"/>
      <c r="E63" s="525"/>
      <c r="F63" s="451"/>
      <c r="G63" s="859">
        <f>G55*G59</f>
        <v>74.771999999999991</v>
      </c>
      <c r="H63" s="859">
        <f>H55*H59</f>
        <v>20.535999999999998</v>
      </c>
      <c r="J63" s="859">
        <f>J55*J59</f>
        <v>74.771999999999991</v>
      </c>
      <c r="K63" s="859">
        <f>K55*K59</f>
        <v>15.401999999999999</v>
      </c>
      <c r="N63" s="859">
        <f>N55*N59</f>
        <v>548.32799999999997</v>
      </c>
      <c r="O63" s="470"/>
      <c r="P63" s="470"/>
      <c r="Q63" s="859">
        <f>Q55*Q59</f>
        <v>872.33999999999992</v>
      </c>
      <c r="R63" s="859">
        <f>R55*R59</f>
        <v>51.34</v>
      </c>
      <c r="S63" s="859">
        <f>S55*S59</f>
        <v>540.28800000000001</v>
      </c>
      <c r="T63" s="859">
        <f t="shared" ref="T63:U63" si="15">T55*T59</f>
        <v>161.56800000000001</v>
      </c>
      <c r="U63" s="859">
        <f t="shared" si="15"/>
        <v>607.82399999999984</v>
      </c>
    </row>
    <row r="64" spans="1:21" ht="21" x14ac:dyDescent="0.4">
      <c r="A64" s="875"/>
      <c r="B64" s="876"/>
      <c r="C64" s="879"/>
      <c r="D64" s="880"/>
      <c r="E64" s="525"/>
      <c r="F64" s="451"/>
      <c r="G64" s="859"/>
      <c r="H64" s="859"/>
      <c r="J64" s="859"/>
      <c r="K64" s="859"/>
      <c r="N64" s="859"/>
      <c r="O64" s="470"/>
      <c r="P64" s="470"/>
      <c r="Q64" s="859"/>
      <c r="R64" s="859"/>
      <c r="S64" s="859"/>
      <c r="T64" s="859"/>
      <c r="U64" s="859"/>
    </row>
    <row r="65" spans="1:42" x14ac:dyDescent="0.3">
      <c r="A65" s="590" t="s">
        <v>423</v>
      </c>
      <c r="B65" s="590"/>
      <c r="C65" s="804">
        <f>C55/C59</f>
        <v>1.9838709677419353</v>
      </c>
      <c r="D65" s="804"/>
      <c r="G65" s="804">
        <f>G55/G59</f>
        <v>3.4580645161290318</v>
      </c>
      <c r="H65" s="804">
        <f>H55/H59</f>
        <v>1.7764705882352942</v>
      </c>
      <c r="J65" s="804">
        <f>J55/J59</f>
        <v>3.4580645161290318</v>
      </c>
      <c r="K65" s="804">
        <f>K55/K59</f>
        <v>2.3686274509803922</v>
      </c>
      <c r="N65" s="804">
        <f>N55/N59</f>
        <v>1.8862170087976537</v>
      </c>
      <c r="Q65" s="804">
        <f>Q55/Q59</f>
        <v>1.8525345622119815</v>
      </c>
      <c r="R65" s="804">
        <f>R55/R59</f>
        <v>2.8423529411764705</v>
      </c>
      <c r="S65" s="804">
        <f>S55/S59</f>
        <v>1.9142857142857139</v>
      </c>
      <c r="T65" s="804">
        <f t="shared" ref="T65:U65" si="16">T55/T59</f>
        <v>2.7607843137254902</v>
      </c>
      <c r="U65" s="804">
        <f t="shared" si="16"/>
        <v>1.7015873015873015</v>
      </c>
    </row>
    <row r="66" spans="1:42" ht="21" customHeight="1" x14ac:dyDescent="0.3">
      <c r="A66" s="590"/>
      <c r="B66" s="590"/>
      <c r="C66" s="804"/>
      <c r="D66" s="804"/>
      <c r="G66" s="804"/>
      <c r="H66" s="804"/>
      <c r="J66" s="804"/>
      <c r="K66" s="804"/>
      <c r="N66" s="804"/>
      <c r="Q66" s="804"/>
      <c r="R66" s="804"/>
      <c r="S66" s="804"/>
      <c r="T66" s="804"/>
      <c r="U66" s="804"/>
    </row>
    <row r="67" spans="1:42" ht="23.4" customHeight="1" x14ac:dyDescent="0.3">
      <c r="Q67" s="581"/>
      <c r="R67" s="581"/>
      <c r="S67" s="581"/>
      <c r="T67" s="581"/>
      <c r="U67" s="581"/>
    </row>
    <row r="68" spans="1:42" ht="25.2" customHeight="1" thickBot="1" x14ac:dyDescent="0.35"/>
    <row r="69" spans="1:42" ht="37.200000000000003" customHeight="1" thickBot="1" x14ac:dyDescent="0.35">
      <c r="G69" s="801" t="s">
        <v>680</v>
      </c>
      <c r="H69" s="802"/>
      <c r="I69" s="802"/>
      <c r="J69" s="802"/>
      <c r="K69" s="802"/>
      <c r="L69" s="802"/>
      <c r="M69" s="803"/>
    </row>
    <row r="70" spans="1:42" ht="28.2" customHeight="1" x14ac:dyDescent="0.3">
      <c r="A70" s="471"/>
      <c r="B70" s="471"/>
      <c r="C70" s="471"/>
      <c r="D70" s="471"/>
      <c r="E70" s="471"/>
      <c r="F70" s="471"/>
      <c r="G70" s="471"/>
      <c r="H70" s="471"/>
      <c r="I70" s="471"/>
      <c r="J70" s="471"/>
      <c r="K70" s="471"/>
      <c r="L70" s="471"/>
      <c r="M70" s="471"/>
      <c r="N70" s="471"/>
      <c r="O70" s="471"/>
      <c r="P70" s="471"/>
      <c r="Q70" s="471"/>
      <c r="R70" s="471"/>
      <c r="S70" s="580"/>
      <c r="T70" s="471"/>
      <c r="U70" s="471"/>
      <c r="V70" s="471"/>
      <c r="W70" s="471"/>
      <c r="X70" s="471"/>
      <c r="Y70" s="471"/>
      <c r="Z70" s="471"/>
      <c r="AA70" s="471"/>
      <c r="AB70" s="471"/>
      <c r="AC70" s="471"/>
      <c r="AD70" s="471"/>
      <c r="AE70" s="471"/>
      <c r="AF70" s="471"/>
      <c r="AG70" s="471"/>
      <c r="AH70" s="471"/>
      <c r="AI70" s="471"/>
      <c r="AJ70" s="471"/>
      <c r="AK70" s="471"/>
      <c r="AL70" s="471"/>
      <c r="AM70" s="471"/>
      <c r="AN70" s="471"/>
      <c r="AO70" s="471"/>
      <c r="AP70" s="471"/>
    </row>
    <row r="71" spans="1:42" ht="28.2" customHeight="1" x14ac:dyDescent="0.3">
      <c r="A71" s="600" t="s">
        <v>422</v>
      </c>
      <c r="B71" s="600"/>
      <c r="C71" s="789">
        <f>C63</f>
        <v>1220.1599999999999</v>
      </c>
      <c r="D71" s="789"/>
      <c r="G71" s="804">
        <f>G63</f>
        <v>74.771999999999991</v>
      </c>
      <c r="H71" s="804">
        <f>H63</f>
        <v>20.535999999999998</v>
      </c>
      <c r="I71" s="65"/>
      <c r="J71" s="804">
        <f>J63</f>
        <v>74.771999999999991</v>
      </c>
      <c r="K71" s="804">
        <f>K63</f>
        <v>15.401999999999999</v>
      </c>
      <c r="L71" s="65"/>
      <c r="M71" s="65"/>
      <c r="N71" s="804">
        <f>N63</f>
        <v>548.32799999999997</v>
      </c>
      <c r="Q71" s="806">
        <f>Q63</f>
        <v>872.33999999999992</v>
      </c>
      <c r="R71" s="806">
        <f t="shared" ref="R71:U71" si="17">R63</f>
        <v>51.34</v>
      </c>
      <c r="S71" s="804">
        <f t="shared" si="17"/>
        <v>540.28800000000001</v>
      </c>
      <c r="T71" s="804">
        <f t="shared" si="17"/>
        <v>161.56800000000001</v>
      </c>
      <c r="U71" s="804">
        <f t="shared" si="17"/>
        <v>607.82399999999984</v>
      </c>
    </row>
    <row r="72" spans="1:42" ht="29.4" customHeight="1" x14ac:dyDescent="0.3">
      <c r="A72" s="600"/>
      <c r="B72" s="600"/>
      <c r="C72" s="789"/>
      <c r="D72" s="789"/>
      <c r="G72" s="804"/>
      <c r="H72" s="804"/>
      <c r="I72" s="65"/>
      <c r="J72" s="804"/>
      <c r="K72" s="804"/>
      <c r="L72" s="65"/>
      <c r="M72" s="65"/>
      <c r="N72" s="804"/>
      <c r="Q72" s="806"/>
      <c r="R72" s="806"/>
      <c r="S72" s="804"/>
      <c r="T72" s="804"/>
      <c r="U72" s="804"/>
    </row>
    <row r="73" spans="1:42" ht="28.8" x14ac:dyDescent="0.55000000000000004">
      <c r="A73" s="600" t="s">
        <v>682</v>
      </c>
      <c r="B73" s="600"/>
      <c r="C73" s="789">
        <f>C71-(C71*C38)</f>
        <v>624.95999999999992</v>
      </c>
      <c r="D73" s="789"/>
      <c r="G73" s="804">
        <f>G71-(G71*G38)</f>
        <v>37.571999999999996</v>
      </c>
      <c r="H73" s="804">
        <f>H71-(H71*H38)</f>
        <v>6.9359999999999982</v>
      </c>
      <c r="I73" s="65"/>
      <c r="J73" s="804">
        <f>J71-(J71*J38)</f>
        <v>37.571999999999996</v>
      </c>
      <c r="K73" s="804">
        <f>K71-(K71*K38)</f>
        <v>5.2019999999999982</v>
      </c>
      <c r="L73" s="65"/>
      <c r="M73" s="65"/>
      <c r="N73" s="804">
        <f>N71-(N71*N38)</f>
        <v>275.52799999999996</v>
      </c>
      <c r="Q73" s="806">
        <f>Q71-(Q71*Q38)</f>
        <v>438.34</v>
      </c>
      <c r="R73" s="806">
        <f t="shared" ref="R73:U73" si="18">R71-(R71*R38)</f>
        <v>17.339999999999996</v>
      </c>
      <c r="S73" s="804">
        <f t="shared" si="18"/>
        <v>271.488</v>
      </c>
      <c r="T73" s="804">
        <f t="shared" si="18"/>
        <v>69.768000000000015</v>
      </c>
      <c r="U73" s="804">
        <f t="shared" si="18"/>
        <v>305.42399999999992</v>
      </c>
      <c r="Y73" s="464"/>
      <c r="Z73" s="464"/>
      <c r="AA73" s="464"/>
      <c r="AB73" s="464"/>
      <c r="AC73" s="464"/>
      <c r="AD73" s="464"/>
      <c r="AE73" s="464"/>
      <c r="AF73" s="464"/>
      <c r="AG73" s="464"/>
      <c r="AH73" s="464"/>
      <c r="AI73" s="464"/>
      <c r="AJ73" s="464"/>
    </row>
    <row r="74" spans="1:42" ht="28.8" x14ac:dyDescent="0.55000000000000004">
      <c r="A74" s="600"/>
      <c r="B74" s="600"/>
      <c r="C74" s="789"/>
      <c r="D74" s="789"/>
      <c r="G74" s="804"/>
      <c r="H74" s="804"/>
      <c r="I74" s="65"/>
      <c r="J74" s="804"/>
      <c r="K74" s="804"/>
      <c r="L74" s="65"/>
      <c r="M74" s="65"/>
      <c r="N74" s="804"/>
      <c r="Q74" s="806"/>
      <c r="R74" s="806"/>
      <c r="S74" s="804"/>
      <c r="T74" s="804"/>
      <c r="U74" s="804"/>
      <c r="Y74" s="464"/>
      <c r="Z74" s="464"/>
      <c r="AA74" s="464"/>
      <c r="AB74" s="464"/>
      <c r="AC74" s="464"/>
      <c r="AD74" s="464"/>
      <c r="AE74" s="464"/>
      <c r="AF74" s="464"/>
      <c r="AG74" s="464"/>
      <c r="AH74" s="464"/>
      <c r="AI74" s="464"/>
      <c r="AJ74" s="464"/>
    </row>
    <row r="75" spans="1:42" ht="28.8" x14ac:dyDescent="0.55000000000000004">
      <c r="A75" s="643" t="s">
        <v>679</v>
      </c>
      <c r="B75" s="643"/>
      <c r="C75" s="790">
        <f>C73/C71</f>
        <v>0.51219512195121952</v>
      </c>
      <c r="D75" s="790"/>
      <c r="G75" s="805">
        <f>SUM(G73:H74)/SUM(G71:H72)</f>
        <v>0.46699122843832624</v>
      </c>
      <c r="H75" s="805"/>
      <c r="J75" s="805">
        <f>SUM(J73:K74)/SUM(J71:K72)</f>
        <v>0.47434959079113709</v>
      </c>
      <c r="K75" s="805"/>
      <c r="N75" s="805">
        <f>N73/N71</f>
        <v>0.50248756218905466</v>
      </c>
      <c r="Q75" s="805">
        <f>SUM(Q73:U74)/SUM(Q71:U72)</f>
        <v>0.49358813626105957</v>
      </c>
      <c r="R75" s="805"/>
      <c r="S75" s="805"/>
      <c r="T75" s="805"/>
      <c r="U75" s="805"/>
      <c r="Y75" s="464"/>
      <c r="Z75" s="464"/>
      <c r="AA75" s="464"/>
      <c r="AB75" s="464"/>
      <c r="AC75" s="464"/>
      <c r="AD75" s="464"/>
      <c r="AE75" s="464"/>
      <c r="AF75" s="464"/>
      <c r="AG75" s="464"/>
      <c r="AH75" s="464"/>
      <c r="AI75" s="464"/>
      <c r="AJ75" s="464"/>
    </row>
    <row r="76" spans="1:42" ht="28.8" x14ac:dyDescent="0.55000000000000004">
      <c r="A76" s="643"/>
      <c r="B76" s="643"/>
      <c r="C76" s="790"/>
      <c r="D76" s="790"/>
      <c r="G76" s="805"/>
      <c r="H76" s="805"/>
      <c r="J76" s="805"/>
      <c r="K76" s="805"/>
      <c r="N76" s="805"/>
      <c r="Q76" s="805"/>
      <c r="R76" s="805"/>
      <c r="S76" s="805"/>
      <c r="T76" s="805"/>
      <c r="U76" s="805"/>
      <c r="Y76" s="464"/>
      <c r="Z76" s="464"/>
      <c r="AA76" s="464"/>
      <c r="AB76" s="464"/>
      <c r="AC76" s="464"/>
      <c r="AD76" s="464"/>
      <c r="AE76" s="464"/>
      <c r="AF76" s="464"/>
      <c r="AG76" s="464"/>
      <c r="AH76" s="464"/>
      <c r="AI76" s="464"/>
      <c r="AJ76" s="464"/>
    </row>
    <row r="77" spans="1:42" ht="28.8" x14ac:dyDescent="0.55000000000000004">
      <c r="A77" s="217"/>
      <c r="B77" s="217"/>
      <c r="C77" s="481"/>
      <c r="D77" s="481"/>
      <c r="Y77" s="464"/>
      <c r="Z77" s="464"/>
      <c r="AA77" s="464"/>
      <c r="AB77" s="464"/>
      <c r="AC77" s="464"/>
      <c r="AD77" s="464"/>
      <c r="AE77" s="464"/>
      <c r="AF77" s="464"/>
      <c r="AG77" s="464"/>
      <c r="AH77" s="464"/>
      <c r="AI77" s="464"/>
      <c r="AJ77" s="464"/>
    </row>
    <row r="78" spans="1:42" ht="29.4" thickBot="1" x14ac:dyDescent="0.6">
      <c r="A78" s="217"/>
      <c r="B78" s="217"/>
      <c r="C78" s="481"/>
      <c r="D78" s="481"/>
      <c r="Y78" s="464"/>
      <c r="Z78" s="464"/>
      <c r="AA78" s="464"/>
      <c r="AB78" s="464"/>
      <c r="AC78" s="464"/>
      <c r="AD78" s="464"/>
      <c r="AE78" s="464"/>
      <c r="AF78" s="464"/>
      <c r="AG78" s="464"/>
      <c r="AH78" s="464"/>
      <c r="AI78" s="464"/>
      <c r="AJ78" s="464"/>
    </row>
    <row r="79" spans="1:42" ht="29.4" thickBot="1" x14ac:dyDescent="0.6">
      <c r="A79" s="217"/>
      <c r="B79" s="217"/>
      <c r="C79" s="481"/>
      <c r="D79" s="481"/>
      <c r="G79" s="801" t="s">
        <v>681</v>
      </c>
      <c r="H79" s="802"/>
      <c r="I79" s="802"/>
      <c r="J79" s="802"/>
      <c r="K79" s="802"/>
      <c r="L79" s="802"/>
      <c r="M79" s="803"/>
      <c r="Y79" s="464"/>
      <c r="Z79" s="464"/>
      <c r="AA79" s="464"/>
      <c r="AB79" s="464"/>
      <c r="AC79" s="464"/>
      <c r="AD79" s="464"/>
      <c r="AE79" s="464"/>
      <c r="AF79" s="464"/>
      <c r="AG79" s="464"/>
      <c r="AH79" s="464"/>
      <c r="AI79" s="464"/>
      <c r="AJ79" s="464"/>
    </row>
    <row r="80" spans="1:42" ht="28.8" x14ac:dyDescent="0.55000000000000004">
      <c r="A80" s="217"/>
      <c r="B80" s="217"/>
      <c r="C80" s="481"/>
      <c r="D80" s="481"/>
      <c r="Y80" s="464"/>
      <c r="Z80" s="464"/>
      <c r="AA80" s="464"/>
      <c r="AB80" s="464"/>
      <c r="AC80" s="464"/>
      <c r="AD80" s="464"/>
      <c r="AE80" s="464"/>
      <c r="AF80" s="464"/>
      <c r="AG80" s="464"/>
      <c r="AH80" s="464"/>
      <c r="AI80" s="464"/>
      <c r="AJ80" s="464"/>
    </row>
    <row r="81" spans="1:36" ht="28.8" x14ac:dyDescent="0.55000000000000004">
      <c r="A81" s="600" t="s">
        <v>684</v>
      </c>
      <c r="B81" s="600"/>
      <c r="C81" s="789">
        <f>C63*$X$6</f>
        <v>17082.239999999998</v>
      </c>
      <c r="D81" s="789"/>
      <c r="G81" s="789">
        <f>G63*$X$6</f>
        <v>1046.808</v>
      </c>
      <c r="H81" s="789">
        <f>H63*$X$6</f>
        <v>287.50399999999996</v>
      </c>
      <c r="I81" s="65"/>
      <c r="J81" s="789">
        <f>J63*$X$6</f>
        <v>1046.808</v>
      </c>
      <c r="K81" s="789">
        <f>K63*$X$6</f>
        <v>215.62799999999999</v>
      </c>
      <c r="L81" s="65"/>
      <c r="M81" s="65"/>
      <c r="N81" s="789">
        <f>N63*$X$6</f>
        <v>7676.5919999999996</v>
      </c>
      <c r="Q81" s="789">
        <f>Q63*$X$6</f>
        <v>12212.759999999998</v>
      </c>
      <c r="R81" s="789">
        <f>R63*$X$6</f>
        <v>718.76</v>
      </c>
      <c r="S81" s="789">
        <f>S63*$X$6</f>
        <v>7564.0320000000002</v>
      </c>
      <c r="T81" s="789">
        <f>T63*$X$6</f>
        <v>2261.9520000000002</v>
      </c>
      <c r="U81" s="789">
        <f>U63*$X$6</f>
        <v>8509.5359999999982</v>
      </c>
      <c r="Y81" s="464"/>
      <c r="Z81" s="464"/>
      <c r="AA81" s="464"/>
      <c r="AB81" s="464"/>
      <c r="AC81" s="464"/>
      <c r="AD81" s="464"/>
      <c r="AE81" s="464"/>
      <c r="AF81" s="464"/>
      <c r="AG81" s="464"/>
      <c r="AH81" s="464"/>
      <c r="AI81" s="464"/>
      <c r="AJ81" s="464"/>
    </row>
    <row r="82" spans="1:36" ht="28.8" x14ac:dyDescent="0.55000000000000004">
      <c r="A82" s="600"/>
      <c r="B82" s="600"/>
      <c r="C82" s="789"/>
      <c r="D82" s="789"/>
      <c r="G82" s="789"/>
      <c r="H82" s="789"/>
      <c r="I82" s="65"/>
      <c r="J82" s="789"/>
      <c r="K82" s="789"/>
      <c r="L82" s="65"/>
      <c r="M82" s="65"/>
      <c r="N82" s="789"/>
      <c r="O82" s="1"/>
      <c r="Q82" s="789"/>
      <c r="R82" s="789"/>
      <c r="S82" s="789"/>
      <c r="T82" s="789"/>
      <c r="U82" s="789"/>
      <c r="Y82" s="464"/>
      <c r="Z82" s="464"/>
      <c r="AA82" s="464"/>
      <c r="AB82" s="464"/>
      <c r="AC82" s="464"/>
      <c r="AD82" s="464"/>
      <c r="AE82" s="464"/>
      <c r="AF82" s="464"/>
      <c r="AG82" s="464"/>
      <c r="AH82" s="464"/>
      <c r="AI82" s="464"/>
      <c r="AJ82" s="464"/>
    </row>
    <row r="83" spans="1:36" ht="28.8" x14ac:dyDescent="0.55000000000000004">
      <c r="A83" s="600" t="s">
        <v>685</v>
      </c>
      <c r="B83" s="600"/>
      <c r="C83" s="789">
        <f>(C73*$X$6)-((C73*$X$6)*C40)</f>
        <v>6749.5679999999993</v>
      </c>
      <c r="D83" s="789"/>
      <c r="E83" s="528"/>
      <c r="F83" s="528"/>
      <c r="G83" s="789">
        <f>(G73*$X$6)-((G73*$X$6)*G40)</f>
        <v>450.86399999999992</v>
      </c>
      <c r="H83" s="789">
        <f>(H73*$X$6)-((H73*$X$6)*H40)</f>
        <v>76.295999999999978</v>
      </c>
      <c r="I83" s="65"/>
      <c r="J83" s="789">
        <f>(J73*$X$6)-((J73*$X$6)*J40)</f>
        <v>450.86399999999992</v>
      </c>
      <c r="K83" s="789">
        <f>(K73*$X$6)-((K73*$X$6)*K40)</f>
        <v>57.22199999999998</v>
      </c>
      <c r="L83" s="65"/>
      <c r="M83" s="65"/>
      <c r="N83" s="789">
        <f>(N73*$X$6)-((N73*$X$6)*N40)</f>
        <v>3030.808</v>
      </c>
      <c r="Q83" s="789">
        <f>(Q73*$X$6)-((Q73*$X$6)*Q40)</f>
        <v>4734.0719999999992</v>
      </c>
      <c r="R83" s="789">
        <f>(R73*$X$6)-((R73*$X$6)*R40)</f>
        <v>190.73999999999995</v>
      </c>
      <c r="S83" s="789">
        <f>(S73*$X$6)-((S73*$X$6)*S40)</f>
        <v>2932.0703999999996</v>
      </c>
      <c r="T83" s="789">
        <f>(T73*$X$6)-((T73*$X$6)*T40)</f>
        <v>767.44800000000009</v>
      </c>
      <c r="U83" s="789">
        <f>(U73*$X$6)-((U73*$X$6)*U40)</f>
        <v>3298.5791999999988</v>
      </c>
      <c r="Y83" s="464"/>
      <c r="Z83" s="464"/>
      <c r="AA83" s="464"/>
      <c r="AB83" s="464"/>
      <c r="AC83" s="464"/>
      <c r="AD83" s="464"/>
      <c r="AE83" s="464"/>
      <c r="AF83" s="464"/>
      <c r="AG83" s="464"/>
      <c r="AH83" s="464"/>
      <c r="AI83" s="464"/>
      <c r="AJ83" s="464"/>
    </row>
    <row r="84" spans="1:36" ht="49.2" customHeight="1" x14ac:dyDescent="0.55000000000000004">
      <c r="A84" s="600"/>
      <c r="B84" s="600"/>
      <c r="C84" s="789"/>
      <c r="D84" s="789"/>
      <c r="G84" s="789"/>
      <c r="H84" s="789"/>
      <c r="I84" s="65"/>
      <c r="J84" s="789"/>
      <c r="K84" s="789"/>
      <c r="L84" s="65"/>
      <c r="M84" s="65"/>
      <c r="N84" s="789"/>
      <c r="Q84" s="789"/>
      <c r="R84" s="789"/>
      <c r="S84" s="789"/>
      <c r="T84" s="789"/>
      <c r="U84" s="789"/>
      <c r="Y84" s="464"/>
      <c r="Z84" s="464"/>
      <c r="AA84" s="464"/>
      <c r="AB84" s="464"/>
      <c r="AC84" s="464"/>
      <c r="AD84" s="464"/>
      <c r="AE84" s="464"/>
      <c r="AF84" s="464"/>
      <c r="AG84" s="464"/>
      <c r="AH84" s="464"/>
      <c r="AI84" s="464"/>
      <c r="AJ84" s="464"/>
    </row>
    <row r="85" spans="1:36" ht="25.95" customHeight="1" x14ac:dyDescent="0.55000000000000004">
      <c r="A85" s="643" t="s">
        <v>683</v>
      </c>
      <c r="B85" s="643"/>
      <c r="C85" s="790">
        <f>C83/C81</f>
        <v>0.39512195121951221</v>
      </c>
      <c r="D85" s="790"/>
      <c r="E85" s="470"/>
      <c r="F85" s="470"/>
      <c r="G85" s="790">
        <f>SUM(G83:H84)/SUM(G81:H82)</f>
        <v>0.39508001127172648</v>
      </c>
      <c r="H85" s="790"/>
      <c r="J85" s="790">
        <f>SUM(J83:K84)/SUM(J81:K82)</f>
        <v>0.40246475860954528</v>
      </c>
      <c r="K85" s="790"/>
      <c r="N85" s="790">
        <f>N83/N81</f>
        <v>0.39481165600568585</v>
      </c>
      <c r="Q85" s="790">
        <f>SUM(Q83:U84)/SUM(Q81:U82)</f>
        <v>0.38132517820682726</v>
      </c>
      <c r="R85" s="790"/>
      <c r="S85" s="790"/>
      <c r="T85" s="790"/>
      <c r="U85" s="790"/>
      <c r="Y85" s="464"/>
      <c r="Z85" s="464"/>
      <c r="AA85" s="464"/>
      <c r="AB85" s="464"/>
      <c r="AC85" s="464"/>
      <c r="AD85" s="464"/>
      <c r="AE85" s="464"/>
      <c r="AF85" s="464"/>
      <c r="AG85" s="464"/>
      <c r="AH85" s="464"/>
      <c r="AI85" s="464"/>
      <c r="AJ85" s="464"/>
    </row>
    <row r="86" spans="1:36" ht="43.2" customHeight="1" x14ac:dyDescent="0.55000000000000004">
      <c r="A86" s="643"/>
      <c r="B86" s="643"/>
      <c r="C86" s="790"/>
      <c r="D86" s="790"/>
      <c r="E86" s="465"/>
      <c r="F86" s="465"/>
      <c r="G86" s="790"/>
      <c r="H86" s="790"/>
      <c r="J86" s="790"/>
      <c r="K86" s="790"/>
      <c r="N86" s="790"/>
      <c r="Q86" s="790"/>
      <c r="R86" s="790"/>
      <c r="S86" s="790"/>
      <c r="T86" s="790"/>
      <c r="U86" s="790"/>
      <c r="Y86" s="464"/>
      <c r="Z86" s="464"/>
      <c r="AA86" s="464"/>
      <c r="AB86" s="464"/>
      <c r="AC86" s="464"/>
      <c r="AD86" s="464"/>
      <c r="AE86" s="464"/>
      <c r="AF86" s="464"/>
      <c r="AG86" s="464"/>
      <c r="AH86" s="464"/>
      <c r="AI86" s="464"/>
      <c r="AJ86" s="464"/>
    </row>
    <row r="87" spans="1:36" ht="34.950000000000003" customHeight="1" x14ac:dyDescent="0.55000000000000004">
      <c r="A87" s="470"/>
      <c r="B87" s="470"/>
      <c r="C87" s="465"/>
      <c r="D87" s="465"/>
      <c r="E87" s="465"/>
      <c r="F87" s="465"/>
      <c r="G87" s="465"/>
      <c r="H87" s="465"/>
      <c r="J87" s="465"/>
      <c r="K87" s="465"/>
      <c r="N87" s="465"/>
      <c r="Q87" s="465"/>
      <c r="R87" s="465"/>
      <c r="S87" s="465"/>
      <c r="T87" s="465"/>
      <c r="U87" s="465"/>
      <c r="Y87" s="464"/>
      <c r="Z87" s="464"/>
      <c r="AA87" s="464"/>
      <c r="AB87" s="464"/>
      <c r="AC87" s="464"/>
      <c r="AD87" s="464"/>
      <c r="AE87" s="464"/>
      <c r="AF87" s="464"/>
      <c r="AG87" s="464"/>
      <c r="AH87" s="464"/>
      <c r="AI87" s="464"/>
      <c r="AJ87" s="464"/>
    </row>
    <row r="88" spans="1:36" ht="26.4" customHeight="1" x14ac:dyDescent="0.55000000000000004">
      <c r="A88" s="470"/>
      <c r="B88" s="470"/>
      <c r="C88" s="465"/>
      <c r="D88" s="465"/>
      <c r="E88" s="465"/>
      <c r="F88" s="465"/>
      <c r="G88" s="465"/>
      <c r="H88" s="465"/>
      <c r="J88" s="465"/>
      <c r="K88" s="465"/>
      <c r="N88" s="465"/>
      <c r="Q88" s="465"/>
      <c r="R88" s="465"/>
      <c r="S88" s="465"/>
      <c r="T88" s="465"/>
      <c r="U88" s="465"/>
      <c r="Y88" s="464"/>
      <c r="Z88" s="464"/>
      <c r="AA88" s="464"/>
      <c r="AB88" s="464"/>
      <c r="AC88" s="464"/>
      <c r="AD88" s="464"/>
      <c r="AE88" s="464"/>
      <c r="AF88" s="464"/>
      <c r="AG88" s="464"/>
      <c r="AH88" s="464"/>
      <c r="AI88" s="464"/>
      <c r="AJ88" s="464"/>
    </row>
    <row r="89" spans="1:36" ht="24.6" customHeight="1" x14ac:dyDescent="0.55000000000000004">
      <c r="A89" s="470"/>
      <c r="B89" s="470"/>
      <c r="C89" s="465"/>
      <c r="D89" s="465"/>
      <c r="E89" s="465"/>
      <c r="F89" s="465"/>
      <c r="G89" s="465"/>
      <c r="H89" s="465"/>
      <c r="J89" s="465"/>
      <c r="K89" s="465"/>
      <c r="N89" s="465"/>
      <c r="Q89" s="465"/>
      <c r="R89" s="465"/>
      <c r="S89" s="465"/>
      <c r="T89" s="465"/>
      <c r="U89" s="465"/>
      <c r="Y89" s="464"/>
      <c r="Z89" s="464"/>
      <c r="AA89" s="464"/>
      <c r="AB89" s="464"/>
      <c r="AC89" s="464"/>
      <c r="AD89" s="464"/>
      <c r="AE89" s="464"/>
      <c r="AF89" s="464"/>
      <c r="AG89" s="464"/>
      <c r="AH89" s="464"/>
      <c r="AI89" s="464"/>
      <c r="AJ89" s="464"/>
    </row>
    <row r="90" spans="1:36" ht="14.4" customHeight="1" x14ac:dyDescent="0.3">
      <c r="A90" s="470"/>
      <c r="B90" s="470"/>
      <c r="C90" s="465"/>
      <c r="D90" s="465"/>
      <c r="E90" s="465"/>
      <c r="G90" s="465"/>
      <c r="H90" s="465"/>
      <c r="J90" s="465"/>
      <c r="K90" s="465"/>
      <c r="N90" s="465"/>
      <c r="Q90" s="465"/>
      <c r="R90" s="465"/>
      <c r="S90" s="465"/>
      <c r="T90" s="465"/>
      <c r="U90" s="465"/>
    </row>
    <row r="91" spans="1:36" ht="14.4" customHeight="1" x14ac:dyDescent="0.4">
      <c r="A91" s="470"/>
      <c r="B91" s="470"/>
      <c r="C91" s="524"/>
      <c r="D91" s="524"/>
      <c r="E91" s="524"/>
      <c r="F91" s="524"/>
      <c r="G91" s="465"/>
      <c r="H91" s="465"/>
      <c r="J91" s="465"/>
      <c r="K91" s="465"/>
      <c r="N91" s="465"/>
      <c r="Q91" s="465"/>
      <c r="R91" s="465"/>
      <c r="S91" s="465"/>
      <c r="T91" s="465"/>
      <c r="U91" s="465"/>
    </row>
    <row r="92" spans="1:36" ht="14.4" customHeight="1" x14ac:dyDescent="0.4">
      <c r="A92" s="470"/>
      <c r="B92" s="470"/>
      <c r="C92" s="524"/>
      <c r="D92" s="524"/>
      <c r="E92" s="524"/>
      <c r="F92" s="524"/>
      <c r="G92" s="465"/>
      <c r="H92" s="465"/>
      <c r="J92" s="465"/>
      <c r="K92" s="465"/>
      <c r="N92" s="465"/>
      <c r="Q92" s="465"/>
      <c r="R92" s="465"/>
      <c r="S92" s="465"/>
      <c r="T92" s="465"/>
      <c r="U92" s="465"/>
    </row>
    <row r="93" spans="1:36" ht="14.4" customHeight="1" x14ac:dyDescent="0.4">
      <c r="A93" s="470"/>
      <c r="B93" s="470"/>
      <c r="C93" s="524"/>
      <c r="D93" s="524"/>
      <c r="E93" s="524"/>
      <c r="F93" s="524"/>
      <c r="G93" s="465"/>
      <c r="H93" s="465"/>
      <c r="J93" s="465"/>
      <c r="K93" s="465"/>
      <c r="N93" s="465"/>
      <c r="Q93" s="465"/>
      <c r="R93" s="465"/>
      <c r="S93" s="465"/>
      <c r="T93" s="465"/>
      <c r="U93" s="465"/>
    </row>
    <row r="94" spans="1:36" ht="14.4" customHeight="1" x14ac:dyDescent="0.4">
      <c r="A94" s="470"/>
      <c r="B94" s="470"/>
      <c r="C94" s="524"/>
      <c r="D94" s="524"/>
      <c r="E94" s="524"/>
      <c r="F94" s="524"/>
      <c r="G94" s="465"/>
      <c r="H94" s="465"/>
      <c r="J94" s="465"/>
      <c r="K94" s="465"/>
      <c r="N94" s="465"/>
      <c r="Q94" s="465"/>
      <c r="R94" s="465"/>
      <c r="S94" s="465"/>
      <c r="T94" s="465"/>
      <c r="U94" s="465"/>
    </row>
    <row r="95" spans="1:36" ht="14.4" customHeight="1" x14ac:dyDescent="0.4">
      <c r="A95" s="470"/>
      <c r="B95" s="470"/>
      <c r="C95" s="524"/>
      <c r="D95" s="524"/>
      <c r="E95" s="524"/>
      <c r="F95" s="524"/>
      <c r="G95" s="465"/>
      <c r="H95" s="465"/>
      <c r="J95" s="465"/>
      <c r="K95" s="465"/>
      <c r="N95" s="465"/>
      <c r="Q95" s="465"/>
      <c r="R95" s="465"/>
      <c r="S95" s="465"/>
      <c r="T95" s="465"/>
      <c r="U95" s="465"/>
    </row>
    <row r="96" spans="1:36" ht="14.4" customHeight="1" x14ac:dyDescent="0.4">
      <c r="A96" s="470"/>
      <c r="B96" s="470"/>
      <c r="C96" s="524"/>
      <c r="D96" s="524"/>
      <c r="E96" s="524"/>
      <c r="F96" s="524"/>
      <c r="G96" s="465"/>
      <c r="H96" s="465"/>
      <c r="J96" s="465"/>
      <c r="K96" s="465"/>
      <c r="N96" s="465"/>
      <c r="Q96" s="465"/>
      <c r="R96" s="465"/>
      <c r="S96" s="465"/>
      <c r="T96" s="465"/>
      <c r="U96" s="465"/>
    </row>
    <row r="99" spans="1:21" ht="33.6" customHeight="1" x14ac:dyDescent="0.3">
      <c r="A99" s="470"/>
      <c r="B99" s="470"/>
      <c r="C99" s="531"/>
      <c r="D99" s="531"/>
      <c r="E99" s="82"/>
      <c r="F99" s="82"/>
      <c r="G99" s="531"/>
      <c r="H99" s="531"/>
      <c r="I99" s="82"/>
      <c r="J99" s="531"/>
      <c r="K99" s="531"/>
      <c r="L99" s="470"/>
      <c r="M99" s="470"/>
      <c r="N99" s="531"/>
      <c r="O99" s="470"/>
      <c r="P99" s="470"/>
      <c r="Q99" s="531"/>
      <c r="R99" s="531"/>
      <c r="S99" s="531"/>
      <c r="T99" s="531"/>
      <c r="U99" s="531"/>
    </row>
    <row r="100" spans="1:21" ht="18" customHeight="1" x14ac:dyDescent="0.3">
      <c r="A100" s="470"/>
      <c r="B100" s="470"/>
      <c r="C100" s="531"/>
      <c r="D100" s="531"/>
      <c r="E100" s="82"/>
      <c r="F100" s="82"/>
      <c r="G100" s="531"/>
      <c r="H100" s="531"/>
      <c r="I100" s="82"/>
      <c r="J100" s="531"/>
      <c r="K100" s="531"/>
      <c r="L100" s="470"/>
      <c r="M100" s="470"/>
      <c r="N100" s="531"/>
      <c r="O100" s="470"/>
      <c r="P100" s="470"/>
      <c r="Q100" s="531"/>
      <c r="R100" s="531"/>
      <c r="S100" s="531"/>
      <c r="T100" s="531"/>
      <c r="U100" s="531"/>
    </row>
    <row r="101" spans="1:21" ht="14.4" customHeight="1" x14ac:dyDescent="0.3">
      <c r="A101" s="470"/>
      <c r="B101" s="470"/>
      <c r="C101" s="574"/>
      <c r="D101" s="574"/>
      <c r="E101" s="470"/>
      <c r="F101" s="470"/>
      <c r="G101" s="574"/>
      <c r="H101" s="574"/>
      <c r="I101" s="470"/>
      <c r="J101" s="574"/>
      <c r="K101" s="574"/>
      <c r="L101" s="470"/>
      <c r="M101" s="470"/>
      <c r="N101" s="574"/>
      <c r="O101" s="470"/>
      <c r="P101" s="470"/>
      <c r="Q101" s="574"/>
      <c r="R101" s="574"/>
      <c r="S101" s="574"/>
      <c r="T101" s="574"/>
      <c r="U101" s="574"/>
    </row>
    <row r="102" spans="1:21" x14ac:dyDescent="0.3">
      <c r="A102" s="470"/>
      <c r="B102" s="470"/>
      <c r="C102" s="574"/>
      <c r="D102" s="574"/>
      <c r="E102" s="470"/>
      <c r="F102" s="470"/>
      <c r="G102" s="574"/>
      <c r="H102" s="574"/>
      <c r="I102" s="470"/>
      <c r="J102" s="574"/>
      <c r="K102" s="574"/>
      <c r="L102" s="470"/>
      <c r="M102" s="470"/>
      <c r="N102" s="574"/>
      <c r="O102" s="470"/>
      <c r="P102" s="470"/>
      <c r="Q102" s="574"/>
      <c r="R102" s="574"/>
      <c r="S102" s="574"/>
      <c r="T102" s="574"/>
      <c r="U102" s="574"/>
    </row>
    <row r="103" spans="1:21" ht="28.2" customHeight="1" x14ac:dyDescent="0.3">
      <c r="A103" s="470"/>
      <c r="B103" s="470"/>
      <c r="C103" s="574"/>
      <c r="D103" s="574"/>
      <c r="E103" s="470"/>
      <c r="F103" s="470"/>
      <c r="G103" s="574"/>
      <c r="H103" s="574"/>
      <c r="I103" s="470"/>
      <c r="J103" s="574"/>
      <c r="K103" s="574"/>
      <c r="L103" s="470"/>
      <c r="M103" s="470"/>
      <c r="N103" s="574"/>
      <c r="O103" s="470"/>
      <c r="P103" s="470"/>
      <c r="Q103" s="574"/>
      <c r="R103" s="574"/>
      <c r="S103" s="574"/>
      <c r="T103" s="574"/>
      <c r="U103" s="574"/>
    </row>
    <row r="104" spans="1:21" ht="14.4" customHeight="1" x14ac:dyDescent="0.3">
      <c r="A104" s="470"/>
      <c r="B104" s="470"/>
      <c r="C104" s="574"/>
      <c r="D104" s="574"/>
      <c r="E104" s="470"/>
      <c r="F104" s="470"/>
      <c r="G104" s="574"/>
      <c r="H104" s="574"/>
      <c r="I104" s="470"/>
      <c r="J104" s="574"/>
      <c r="K104" s="574"/>
      <c r="L104" s="470"/>
      <c r="M104" s="470"/>
      <c r="N104" s="574"/>
      <c r="O104" s="470"/>
      <c r="P104" s="470"/>
      <c r="Q104" s="574"/>
      <c r="R104" s="574"/>
      <c r="S104" s="574"/>
      <c r="T104" s="574"/>
      <c r="U104" s="574"/>
    </row>
    <row r="105" spans="1:21" x14ac:dyDescent="0.3">
      <c r="A105" s="470"/>
      <c r="B105" s="470"/>
      <c r="C105" s="574"/>
      <c r="D105" s="574"/>
      <c r="E105" s="470"/>
      <c r="F105" s="470"/>
      <c r="G105" s="574"/>
      <c r="H105" s="574"/>
      <c r="I105" s="470"/>
      <c r="J105" s="574"/>
      <c r="K105" s="574"/>
      <c r="L105" s="470"/>
      <c r="M105" s="470"/>
      <c r="N105" s="574"/>
      <c r="O105" s="470"/>
      <c r="P105" s="470"/>
      <c r="Q105" s="574"/>
      <c r="R105" s="574"/>
      <c r="S105" s="574"/>
      <c r="T105" s="574"/>
      <c r="U105" s="574"/>
    </row>
    <row r="106" spans="1:21" ht="46.95" customHeight="1" x14ac:dyDescent="0.3">
      <c r="A106" s="470"/>
      <c r="B106" s="470"/>
      <c r="C106" s="574"/>
      <c r="D106" s="574"/>
      <c r="E106" s="470"/>
      <c r="F106" s="470"/>
      <c r="G106" s="574"/>
      <c r="H106" s="574"/>
      <c r="I106" s="470"/>
      <c r="J106" s="574"/>
      <c r="K106" s="574"/>
      <c r="L106" s="470"/>
      <c r="M106" s="470"/>
      <c r="N106" s="574"/>
      <c r="O106" s="470"/>
      <c r="P106" s="470"/>
      <c r="Q106" s="574"/>
      <c r="R106" s="574"/>
      <c r="S106" s="574"/>
      <c r="T106" s="574"/>
      <c r="U106" s="574"/>
    </row>
    <row r="107" spans="1:21" ht="15" customHeight="1" x14ac:dyDescent="0.3">
      <c r="A107" s="470"/>
      <c r="B107" s="470"/>
      <c r="C107" s="574"/>
      <c r="D107" s="574"/>
      <c r="E107" s="470"/>
      <c r="F107" s="470"/>
      <c r="G107" s="574"/>
      <c r="H107" s="574"/>
      <c r="I107" s="470"/>
      <c r="J107" s="574"/>
      <c r="K107" s="574"/>
      <c r="L107" s="470"/>
      <c r="M107" s="470"/>
      <c r="N107" s="574"/>
      <c r="O107" s="470"/>
      <c r="P107" s="470"/>
      <c r="Q107" s="574"/>
      <c r="R107" s="574"/>
      <c r="S107" s="574"/>
      <c r="T107" s="574"/>
      <c r="U107" s="574"/>
    </row>
    <row r="108" spans="1:21" x14ac:dyDescent="0.3">
      <c r="A108" s="470"/>
      <c r="B108" s="470"/>
      <c r="C108" s="574"/>
      <c r="D108" s="574"/>
      <c r="E108" s="470"/>
      <c r="F108" s="470"/>
      <c r="G108" s="574"/>
      <c r="H108" s="574"/>
      <c r="I108" s="470"/>
      <c r="J108" s="574"/>
      <c r="K108" s="574"/>
      <c r="L108" s="470"/>
      <c r="M108" s="470"/>
      <c r="N108" s="574"/>
      <c r="O108" s="470"/>
      <c r="P108" s="470"/>
      <c r="Q108" s="574"/>
      <c r="R108" s="574"/>
      <c r="S108" s="574"/>
      <c r="T108" s="574"/>
      <c r="U108" s="574"/>
    </row>
    <row r="109" spans="1:21" x14ac:dyDescent="0.3">
      <c r="A109" s="470"/>
      <c r="B109" s="470"/>
      <c r="C109" s="574"/>
      <c r="D109" s="574"/>
      <c r="E109" s="470"/>
      <c r="F109" s="470"/>
      <c r="G109" s="574"/>
      <c r="H109" s="574"/>
      <c r="I109" s="470"/>
      <c r="J109" s="574"/>
      <c r="K109" s="574"/>
      <c r="L109" s="470"/>
      <c r="M109" s="470"/>
      <c r="N109" s="574"/>
      <c r="O109" s="470"/>
      <c r="P109" s="470"/>
      <c r="Q109" s="574"/>
      <c r="R109" s="574"/>
      <c r="S109" s="574"/>
      <c r="T109" s="574"/>
      <c r="U109" s="574"/>
    </row>
    <row r="110" spans="1:21" ht="19.95" customHeight="1" x14ac:dyDescent="0.3">
      <c r="A110" s="470"/>
      <c r="B110" s="470"/>
      <c r="C110" s="574"/>
      <c r="D110" s="574"/>
      <c r="E110" s="470"/>
      <c r="F110" s="470"/>
      <c r="G110" s="574"/>
      <c r="H110" s="574"/>
      <c r="I110" s="470"/>
      <c r="J110" s="574"/>
      <c r="K110" s="574"/>
      <c r="L110" s="470"/>
      <c r="M110" s="470"/>
      <c r="N110" s="574"/>
      <c r="O110" s="470"/>
      <c r="P110" s="470"/>
      <c r="Q110" s="574"/>
      <c r="R110" s="574"/>
      <c r="S110" s="574"/>
      <c r="T110" s="574"/>
      <c r="U110" s="574"/>
    </row>
    <row r="111" spans="1:21" x14ac:dyDescent="0.3">
      <c r="A111" s="470"/>
      <c r="B111" s="470"/>
      <c r="C111" s="574"/>
      <c r="D111" s="574"/>
      <c r="E111" s="470"/>
      <c r="F111" s="470"/>
      <c r="G111" s="574"/>
      <c r="H111" s="574"/>
      <c r="I111" s="470"/>
      <c r="J111" s="574"/>
      <c r="K111" s="574"/>
      <c r="L111" s="470"/>
      <c r="M111" s="470"/>
      <c r="N111" s="574"/>
      <c r="O111" s="470"/>
      <c r="P111" s="470"/>
      <c r="Q111" s="574"/>
      <c r="R111" s="574"/>
      <c r="S111" s="574"/>
      <c r="T111" s="574"/>
      <c r="U111" s="574"/>
    </row>
    <row r="112" spans="1:21" x14ac:dyDescent="0.3">
      <c r="A112" s="470"/>
      <c r="B112" s="470"/>
      <c r="C112" s="574"/>
      <c r="D112" s="574"/>
      <c r="E112" s="470"/>
      <c r="F112" s="470"/>
      <c r="G112" s="574"/>
      <c r="H112" s="574"/>
      <c r="I112" s="470"/>
      <c r="J112" s="574"/>
      <c r="K112" s="574"/>
      <c r="L112" s="470"/>
      <c r="M112" s="470"/>
      <c r="N112" s="574"/>
      <c r="O112" s="470"/>
      <c r="P112" s="470"/>
      <c r="Q112" s="574"/>
      <c r="R112" s="574"/>
      <c r="S112" s="574"/>
      <c r="T112" s="574"/>
      <c r="U112" s="574"/>
    </row>
    <row r="113" spans="1:21" ht="14.4" customHeight="1" x14ac:dyDescent="0.3">
      <c r="A113" s="470"/>
      <c r="B113" s="470"/>
      <c r="C113" s="574"/>
      <c r="D113" s="574"/>
      <c r="E113" s="470"/>
      <c r="F113" s="470"/>
      <c r="G113" s="574"/>
      <c r="H113" s="574"/>
      <c r="I113" s="470"/>
      <c r="J113" s="574"/>
      <c r="K113" s="574"/>
      <c r="L113" s="470"/>
      <c r="M113" s="470"/>
      <c r="N113" s="574"/>
      <c r="O113" s="470"/>
      <c r="P113" s="470"/>
      <c r="Q113" s="574"/>
      <c r="R113" s="574"/>
      <c r="S113" s="574"/>
      <c r="T113" s="574"/>
      <c r="U113" s="574"/>
    </row>
    <row r="114" spans="1:21" x14ac:dyDescent="0.3">
      <c r="A114" s="470"/>
      <c r="B114" s="470"/>
      <c r="C114" s="574"/>
      <c r="D114" s="574"/>
      <c r="E114" s="470"/>
      <c r="F114" s="470"/>
      <c r="G114" s="574"/>
      <c r="H114" s="574"/>
      <c r="I114" s="470"/>
      <c r="J114" s="574"/>
      <c r="K114" s="574"/>
      <c r="L114" s="470"/>
      <c r="M114" s="470"/>
      <c r="N114" s="574"/>
      <c r="O114" s="470"/>
      <c r="P114" s="470"/>
      <c r="Q114" s="574"/>
      <c r="R114" s="574"/>
      <c r="S114" s="574"/>
      <c r="T114" s="574"/>
      <c r="U114" s="574"/>
    </row>
    <row r="115" spans="1:21" x14ac:dyDescent="0.3">
      <c r="A115" s="470"/>
      <c r="B115" s="470"/>
      <c r="C115" s="574"/>
      <c r="D115" s="574"/>
      <c r="E115" s="470"/>
      <c r="F115" s="470"/>
      <c r="G115" s="574"/>
      <c r="H115" s="574"/>
      <c r="I115" s="470"/>
      <c r="J115" s="574"/>
      <c r="K115" s="574"/>
      <c r="L115" s="470"/>
      <c r="M115" s="470"/>
      <c r="N115" s="574"/>
      <c r="O115" s="470"/>
      <c r="P115" s="470"/>
      <c r="Q115" s="574"/>
      <c r="R115" s="574"/>
      <c r="S115" s="574"/>
      <c r="T115" s="574"/>
      <c r="U115" s="574"/>
    </row>
    <row r="116" spans="1:21" x14ac:dyDescent="0.3">
      <c r="A116" s="470"/>
      <c r="B116" s="470"/>
      <c r="C116" s="574"/>
      <c r="D116" s="574"/>
      <c r="E116" s="470"/>
      <c r="F116" s="470"/>
      <c r="G116" s="574"/>
      <c r="H116" s="574"/>
      <c r="I116" s="470"/>
      <c r="J116" s="574"/>
      <c r="K116" s="574"/>
      <c r="L116" s="470"/>
      <c r="M116" s="470"/>
      <c r="N116" s="574"/>
      <c r="O116" s="470"/>
      <c r="P116" s="470"/>
      <c r="Q116" s="574"/>
      <c r="R116" s="574"/>
      <c r="S116" s="574"/>
      <c r="T116" s="574"/>
      <c r="U116" s="574"/>
    </row>
    <row r="117" spans="1:21" ht="17.399999999999999" customHeight="1" x14ac:dyDescent="0.3">
      <c r="A117" s="470"/>
      <c r="B117" s="470"/>
      <c r="C117" s="574"/>
      <c r="D117" s="574"/>
      <c r="E117" s="470"/>
      <c r="F117" s="470"/>
      <c r="G117" s="574"/>
      <c r="H117" s="574"/>
      <c r="I117" s="470"/>
      <c r="J117" s="574"/>
      <c r="K117" s="574"/>
      <c r="L117" s="470"/>
      <c r="M117" s="470"/>
      <c r="N117" s="574"/>
      <c r="O117" s="470"/>
      <c r="P117" s="470"/>
      <c r="Q117" s="574"/>
      <c r="R117" s="574"/>
      <c r="S117" s="574"/>
      <c r="T117" s="574"/>
      <c r="U117" s="574"/>
    </row>
    <row r="118" spans="1:21" x14ac:dyDescent="0.3">
      <c r="A118" s="470"/>
      <c r="B118" s="470"/>
      <c r="C118" s="574"/>
      <c r="D118" s="574"/>
      <c r="E118" s="470"/>
      <c r="F118" s="470"/>
      <c r="G118" s="574"/>
      <c r="H118" s="574"/>
      <c r="I118" s="470"/>
      <c r="J118" s="574"/>
      <c r="K118" s="574"/>
      <c r="L118" s="470"/>
      <c r="M118" s="470"/>
      <c r="N118" s="574"/>
      <c r="O118" s="470"/>
      <c r="P118" s="470"/>
      <c r="Q118" s="574"/>
      <c r="R118" s="574"/>
      <c r="S118" s="574"/>
      <c r="T118" s="574"/>
      <c r="U118" s="574"/>
    </row>
    <row r="119" spans="1:21" ht="14.4" customHeight="1" x14ac:dyDescent="0.3">
      <c r="A119" s="470"/>
      <c r="B119" s="470"/>
      <c r="C119" s="574"/>
      <c r="D119" s="574"/>
      <c r="E119" s="470"/>
      <c r="F119" s="470"/>
      <c r="G119" s="574"/>
      <c r="H119" s="574"/>
      <c r="I119" s="470"/>
      <c r="J119" s="576"/>
      <c r="K119" s="576"/>
      <c r="L119" s="470"/>
      <c r="M119" s="470"/>
      <c r="N119" s="574"/>
      <c r="O119" s="470"/>
      <c r="P119" s="470"/>
      <c r="Q119" s="574"/>
      <c r="R119" s="574"/>
      <c r="S119" s="574"/>
      <c r="T119" s="574"/>
      <c r="U119" s="574"/>
    </row>
    <row r="120" spans="1:21" x14ac:dyDescent="0.3">
      <c r="A120" s="470"/>
      <c r="B120" s="470"/>
      <c r="C120" s="574"/>
      <c r="D120" s="574"/>
      <c r="E120" s="470"/>
      <c r="F120" s="470"/>
      <c r="G120" s="574"/>
      <c r="H120" s="574"/>
      <c r="I120" s="470"/>
      <c r="J120" s="576"/>
      <c r="K120" s="576"/>
      <c r="L120" s="470"/>
      <c r="M120" s="470"/>
      <c r="N120" s="574"/>
      <c r="O120" s="470"/>
      <c r="P120" s="470"/>
      <c r="Q120" s="574"/>
      <c r="R120" s="574"/>
      <c r="S120" s="574"/>
      <c r="T120" s="574"/>
      <c r="U120" s="574"/>
    </row>
    <row r="121" spans="1:21" ht="31.95" customHeight="1" x14ac:dyDescent="0.3">
      <c r="A121" s="470"/>
      <c r="B121" s="470"/>
      <c r="C121" s="574"/>
      <c r="D121" s="574"/>
      <c r="E121" s="470"/>
      <c r="F121" s="470"/>
      <c r="G121" s="574"/>
      <c r="H121" s="574"/>
      <c r="I121" s="470"/>
      <c r="J121" s="576"/>
      <c r="K121" s="576"/>
      <c r="L121" s="470"/>
      <c r="M121" s="470"/>
      <c r="N121" s="574"/>
      <c r="O121" s="470"/>
      <c r="P121" s="470"/>
      <c r="Q121" s="574"/>
      <c r="R121" s="574"/>
      <c r="S121" s="574"/>
      <c r="T121" s="574"/>
      <c r="U121" s="574"/>
    </row>
    <row r="122" spans="1:21" ht="14.4" customHeight="1" x14ac:dyDescent="0.3">
      <c r="A122" s="470"/>
      <c r="B122" s="470"/>
      <c r="C122" s="574"/>
      <c r="D122" s="574"/>
      <c r="E122" s="470"/>
      <c r="F122" s="470"/>
      <c r="G122" s="574"/>
      <c r="H122" s="574"/>
      <c r="I122" s="470"/>
      <c r="J122" s="574"/>
      <c r="K122" s="574"/>
      <c r="L122" s="470"/>
      <c r="M122" s="470"/>
      <c r="N122" s="574"/>
      <c r="O122" s="470"/>
      <c r="P122" s="470"/>
      <c r="Q122" s="574"/>
      <c r="R122" s="574"/>
      <c r="S122" s="574"/>
      <c r="T122" s="574"/>
      <c r="U122" s="574"/>
    </row>
    <row r="123" spans="1:21" x14ac:dyDescent="0.3">
      <c r="A123" s="470"/>
      <c r="B123" s="470"/>
      <c r="C123" s="574"/>
      <c r="D123" s="574"/>
      <c r="E123" s="470"/>
      <c r="F123" s="470"/>
      <c r="G123" s="574"/>
      <c r="H123" s="574"/>
      <c r="I123" s="470"/>
      <c r="J123" s="574"/>
      <c r="K123" s="574"/>
      <c r="L123" s="470"/>
      <c r="M123" s="470"/>
      <c r="N123" s="574"/>
      <c r="O123" s="470"/>
      <c r="P123" s="470"/>
      <c r="Q123" s="574"/>
      <c r="R123" s="574"/>
      <c r="S123" s="574"/>
      <c r="T123" s="574"/>
      <c r="U123" s="574"/>
    </row>
    <row r="124" spans="1:21" ht="40.950000000000003" customHeight="1" x14ac:dyDescent="0.3">
      <c r="A124" s="470"/>
      <c r="B124" s="470"/>
      <c r="C124" s="574"/>
      <c r="D124" s="574"/>
      <c r="E124" s="470"/>
      <c r="F124" s="470"/>
      <c r="G124" s="574"/>
      <c r="H124" s="574"/>
      <c r="I124" s="470"/>
      <c r="J124" s="574"/>
      <c r="K124" s="574"/>
      <c r="L124" s="470"/>
      <c r="M124" s="470"/>
      <c r="N124" s="574"/>
      <c r="O124" s="470"/>
      <c r="P124" s="470"/>
      <c r="Q124" s="574"/>
      <c r="R124" s="574"/>
      <c r="S124" s="574"/>
      <c r="T124" s="574"/>
      <c r="U124" s="574"/>
    </row>
    <row r="125" spans="1:21" ht="14.4" customHeight="1" x14ac:dyDescent="0.3">
      <c r="A125" s="470"/>
      <c r="B125" s="470"/>
      <c r="C125" s="574"/>
      <c r="D125" s="574"/>
      <c r="E125" s="470"/>
      <c r="F125" s="470"/>
      <c r="G125" s="574"/>
      <c r="H125" s="574"/>
      <c r="I125" s="470"/>
      <c r="J125" s="574"/>
      <c r="K125" s="574"/>
      <c r="L125" s="470"/>
      <c r="M125" s="470"/>
      <c r="N125" s="574"/>
      <c r="O125" s="470"/>
      <c r="P125" s="470"/>
      <c r="Q125" s="574"/>
      <c r="R125" s="574"/>
      <c r="S125" s="574"/>
      <c r="T125" s="574"/>
      <c r="U125" s="574"/>
    </row>
    <row r="126" spans="1:21" x14ac:dyDescent="0.3">
      <c r="A126" s="470"/>
      <c r="B126" s="470"/>
      <c r="C126" s="574"/>
      <c r="D126" s="574"/>
      <c r="E126" s="470"/>
      <c r="F126" s="470"/>
      <c r="G126" s="574"/>
      <c r="H126" s="574"/>
      <c r="I126" s="470"/>
      <c r="J126" s="574"/>
      <c r="K126" s="574"/>
      <c r="L126" s="470"/>
      <c r="M126" s="470"/>
      <c r="N126" s="574"/>
      <c r="O126" s="470"/>
      <c r="P126" s="470"/>
      <c r="Q126" s="574"/>
      <c r="R126" s="574"/>
      <c r="S126" s="574"/>
      <c r="T126" s="574"/>
      <c r="U126" s="574"/>
    </row>
    <row r="127" spans="1:21" x14ac:dyDescent="0.3">
      <c r="A127" s="470"/>
      <c r="B127" s="470"/>
      <c r="C127" s="574"/>
      <c r="D127" s="574"/>
      <c r="E127" s="470"/>
      <c r="F127" s="470"/>
      <c r="G127" s="574"/>
      <c r="H127" s="574"/>
      <c r="I127" s="470"/>
      <c r="J127" s="574"/>
      <c r="K127" s="574"/>
      <c r="L127" s="470"/>
      <c r="M127" s="470"/>
      <c r="N127" s="574"/>
      <c r="O127" s="470"/>
      <c r="P127" s="470"/>
      <c r="Q127" s="574"/>
      <c r="R127" s="574"/>
      <c r="S127" s="574"/>
      <c r="T127" s="574"/>
      <c r="U127" s="574"/>
    </row>
    <row r="128" spans="1:21" ht="14.4" customHeight="1" x14ac:dyDescent="0.3">
      <c r="A128" s="470"/>
      <c r="B128" s="470"/>
      <c r="C128" s="574"/>
      <c r="D128" s="574"/>
      <c r="E128" s="470"/>
      <c r="F128" s="470"/>
      <c r="G128" s="574"/>
      <c r="H128" s="574"/>
      <c r="I128" s="470"/>
      <c r="J128" s="574"/>
      <c r="K128" s="574"/>
      <c r="L128" s="470"/>
      <c r="M128" s="470"/>
      <c r="N128" s="574"/>
      <c r="O128" s="470"/>
      <c r="P128" s="470"/>
      <c r="Q128" s="574"/>
      <c r="R128" s="574"/>
      <c r="S128" s="574"/>
      <c r="T128" s="574"/>
      <c r="U128" s="574"/>
    </row>
    <row r="129" spans="1:21" x14ac:dyDescent="0.3">
      <c r="A129" s="470"/>
      <c r="B129" s="470"/>
      <c r="C129" s="574"/>
      <c r="D129" s="574"/>
      <c r="E129" s="470"/>
      <c r="F129" s="470"/>
      <c r="G129" s="574"/>
      <c r="H129" s="574"/>
      <c r="I129" s="470"/>
      <c r="J129" s="574"/>
      <c r="K129" s="574"/>
      <c r="L129" s="470"/>
      <c r="M129" s="470"/>
      <c r="N129" s="574"/>
      <c r="O129" s="470"/>
      <c r="P129" s="470"/>
      <c r="Q129" s="574"/>
      <c r="R129" s="574"/>
      <c r="S129" s="574"/>
      <c r="T129" s="574"/>
      <c r="U129" s="574"/>
    </row>
    <row r="130" spans="1:21" x14ac:dyDescent="0.3">
      <c r="A130" s="470"/>
      <c r="B130" s="470"/>
      <c r="C130" s="574"/>
      <c r="D130" s="574"/>
      <c r="E130" s="470"/>
      <c r="F130" s="470"/>
      <c r="G130" s="574"/>
      <c r="H130" s="574"/>
      <c r="I130" s="470"/>
      <c r="J130" s="574"/>
      <c r="K130" s="574"/>
      <c r="L130" s="470"/>
      <c r="M130" s="470"/>
      <c r="N130" s="574"/>
      <c r="O130" s="470"/>
      <c r="P130" s="470"/>
      <c r="Q130" s="574"/>
      <c r="R130" s="574"/>
      <c r="S130" s="574"/>
      <c r="T130" s="574"/>
      <c r="U130" s="574"/>
    </row>
    <row r="131" spans="1:21" ht="14.4" customHeight="1" x14ac:dyDescent="0.3">
      <c r="A131" s="470"/>
      <c r="B131" s="470"/>
      <c r="C131" s="574"/>
      <c r="D131" s="574"/>
      <c r="E131" s="470"/>
      <c r="F131" s="470"/>
      <c r="G131" s="574"/>
      <c r="H131" s="574"/>
      <c r="I131" s="470"/>
      <c r="J131" s="574"/>
      <c r="K131" s="574"/>
      <c r="L131" s="470"/>
      <c r="M131" s="470"/>
      <c r="N131" s="574"/>
      <c r="O131" s="470"/>
      <c r="P131" s="470"/>
      <c r="Q131" s="574"/>
      <c r="R131" s="574"/>
      <c r="S131" s="574"/>
      <c r="T131" s="574"/>
      <c r="U131" s="574"/>
    </row>
    <row r="132" spans="1:21" x14ac:dyDescent="0.3">
      <c r="A132" s="470"/>
      <c r="B132" s="470"/>
      <c r="C132" s="574"/>
      <c r="D132" s="574"/>
      <c r="E132" s="470"/>
      <c r="F132" s="470"/>
      <c r="G132" s="574"/>
      <c r="H132" s="574"/>
      <c r="I132" s="470"/>
      <c r="J132" s="574"/>
      <c r="K132" s="574"/>
      <c r="L132" s="470"/>
      <c r="M132" s="470"/>
      <c r="N132" s="574"/>
      <c r="O132" s="470"/>
      <c r="P132" s="470"/>
      <c r="Q132" s="574"/>
      <c r="R132" s="574"/>
      <c r="S132" s="574"/>
      <c r="T132" s="574"/>
      <c r="U132" s="574"/>
    </row>
    <row r="133" spans="1:21" x14ac:dyDescent="0.3">
      <c r="A133" s="470"/>
      <c r="B133" s="470"/>
      <c r="C133" s="574"/>
      <c r="D133" s="574"/>
      <c r="E133" s="470"/>
      <c r="F133" s="470"/>
      <c r="G133" s="574"/>
      <c r="H133" s="574"/>
      <c r="I133" s="470"/>
      <c r="J133" s="574"/>
      <c r="K133" s="574"/>
      <c r="L133" s="470"/>
      <c r="M133" s="470"/>
      <c r="N133" s="574"/>
      <c r="O133" s="470"/>
      <c r="P133" s="470"/>
      <c r="Q133" s="574"/>
      <c r="R133" s="574"/>
      <c r="S133" s="574"/>
      <c r="T133" s="574"/>
      <c r="U133" s="574"/>
    </row>
    <row r="134" spans="1:21" ht="14.4" customHeight="1" x14ac:dyDescent="0.3">
      <c r="A134" s="470"/>
      <c r="B134" s="470"/>
      <c r="C134" s="574"/>
      <c r="D134" s="574"/>
      <c r="E134" s="470"/>
      <c r="F134" s="470"/>
      <c r="G134" s="574"/>
      <c r="H134" s="574"/>
      <c r="I134" s="470"/>
      <c r="J134" s="574"/>
      <c r="K134" s="574"/>
      <c r="L134" s="470"/>
      <c r="M134" s="470"/>
      <c r="N134" s="574"/>
      <c r="O134" s="470"/>
      <c r="P134" s="470"/>
      <c r="Q134" s="574"/>
      <c r="R134" s="574"/>
      <c r="S134" s="574"/>
      <c r="T134" s="574"/>
      <c r="U134" s="574"/>
    </row>
    <row r="135" spans="1:21" x14ac:dyDescent="0.3">
      <c r="A135" s="470"/>
      <c r="B135" s="470"/>
      <c r="C135" s="574"/>
      <c r="D135" s="574"/>
      <c r="E135" s="470"/>
      <c r="F135" s="470"/>
      <c r="G135" s="574"/>
      <c r="H135" s="574"/>
      <c r="I135" s="470"/>
      <c r="J135" s="574"/>
      <c r="K135" s="574"/>
      <c r="L135" s="470"/>
      <c r="M135" s="470"/>
      <c r="N135" s="574"/>
      <c r="O135" s="470"/>
      <c r="P135" s="470"/>
      <c r="Q135" s="574"/>
      <c r="R135" s="574"/>
      <c r="S135" s="574"/>
      <c r="T135" s="574"/>
      <c r="U135" s="574"/>
    </row>
    <row r="136" spans="1:21" x14ac:dyDescent="0.3">
      <c r="A136" s="470"/>
      <c r="B136" s="470"/>
      <c r="C136" s="574"/>
      <c r="D136" s="574"/>
      <c r="E136" s="470"/>
      <c r="F136" s="470"/>
      <c r="G136" s="574"/>
      <c r="H136" s="574"/>
      <c r="I136" s="470"/>
      <c r="J136" s="574"/>
      <c r="K136" s="574"/>
      <c r="L136" s="470"/>
      <c r="M136" s="470"/>
      <c r="N136" s="574"/>
      <c r="O136" s="470"/>
      <c r="P136" s="470"/>
      <c r="Q136" s="574"/>
      <c r="R136" s="574"/>
      <c r="S136" s="574"/>
      <c r="T136" s="574"/>
      <c r="U136" s="574"/>
    </row>
    <row r="137" spans="1:21" ht="14.4" customHeight="1" x14ac:dyDescent="0.3">
      <c r="A137" s="470"/>
      <c r="B137" s="470"/>
      <c r="C137" s="574"/>
      <c r="D137" s="574"/>
      <c r="E137" s="470"/>
      <c r="F137" s="470"/>
      <c r="G137" s="574"/>
      <c r="H137" s="574"/>
      <c r="I137" s="470"/>
      <c r="J137" s="470"/>
      <c r="K137" s="470"/>
      <c r="L137" s="470"/>
      <c r="M137" s="470"/>
      <c r="N137" s="470"/>
      <c r="O137" s="470"/>
      <c r="P137" s="470"/>
      <c r="Q137" s="574"/>
      <c r="R137" s="574"/>
      <c r="S137" s="574"/>
      <c r="T137" s="574"/>
      <c r="U137" s="574"/>
    </row>
    <row r="138" spans="1:21" x14ac:dyDescent="0.3">
      <c r="A138" s="470"/>
      <c r="B138" s="470"/>
      <c r="C138" s="574"/>
      <c r="D138" s="574"/>
      <c r="E138" s="470"/>
      <c r="F138" s="470"/>
      <c r="G138" s="574"/>
      <c r="H138" s="574"/>
      <c r="I138" s="470"/>
      <c r="J138" s="470"/>
      <c r="K138" s="470"/>
      <c r="L138" s="470"/>
      <c r="M138" s="470"/>
      <c r="N138" s="470"/>
      <c r="O138" s="470"/>
      <c r="P138" s="470"/>
      <c r="Q138" s="574"/>
      <c r="R138" s="574"/>
      <c r="S138" s="574"/>
      <c r="T138" s="574"/>
      <c r="U138" s="574"/>
    </row>
    <row r="139" spans="1:21" x14ac:dyDescent="0.3">
      <c r="A139" s="470"/>
      <c r="B139" s="470"/>
      <c r="C139" s="574"/>
      <c r="D139" s="574"/>
      <c r="E139" s="470"/>
      <c r="F139" s="470"/>
      <c r="G139" s="574"/>
      <c r="H139" s="574"/>
      <c r="I139" s="470"/>
      <c r="J139" s="470"/>
      <c r="K139" s="470"/>
      <c r="L139" s="470"/>
      <c r="M139" s="470"/>
      <c r="N139" s="470"/>
      <c r="O139" s="470"/>
      <c r="P139" s="470"/>
      <c r="Q139" s="574"/>
      <c r="R139" s="574"/>
      <c r="S139" s="574"/>
      <c r="T139" s="574"/>
      <c r="U139" s="574"/>
    </row>
    <row r="140" spans="1:21" ht="14.4" customHeight="1" x14ac:dyDescent="0.3">
      <c r="A140" s="470"/>
      <c r="B140" s="470"/>
      <c r="C140" s="574"/>
      <c r="D140" s="574"/>
      <c r="E140" s="470"/>
      <c r="F140" s="470"/>
      <c r="G140" s="574"/>
      <c r="H140" s="574"/>
      <c r="I140" s="470"/>
      <c r="J140" s="470"/>
      <c r="K140" s="470"/>
      <c r="L140" s="470"/>
      <c r="M140" s="470"/>
      <c r="N140" s="470"/>
      <c r="O140" s="470"/>
      <c r="P140" s="470"/>
      <c r="Q140" s="574"/>
      <c r="R140" s="574"/>
      <c r="S140" s="574"/>
      <c r="T140" s="574"/>
      <c r="U140" s="574"/>
    </row>
    <row r="141" spans="1:21" x14ac:dyDescent="0.3">
      <c r="A141" s="470"/>
      <c r="B141" s="470"/>
      <c r="C141" s="574"/>
      <c r="D141" s="574"/>
      <c r="E141" s="470"/>
      <c r="F141" s="470"/>
      <c r="G141" s="574"/>
      <c r="H141" s="574"/>
      <c r="I141" s="470"/>
      <c r="J141" s="470"/>
      <c r="K141" s="470"/>
      <c r="L141" s="470"/>
      <c r="M141" s="470"/>
      <c r="N141" s="470"/>
      <c r="O141" s="470"/>
      <c r="P141" s="470"/>
      <c r="Q141" s="574"/>
      <c r="R141" s="574"/>
      <c r="S141" s="574"/>
      <c r="T141" s="574"/>
      <c r="U141" s="574"/>
    </row>
    <row r="142" spans="1:21" ht="28.2" customHeight="1" x14ac:dyDescent="0.3">
      <c r="A142" s="470"/>
      <c r="B142" s="470"/>
      <c r="C142" s="574"/>
      <c r="D142" s="574"/>
      <c r="E142" s="470"/>
      <c r="F142" s="470"/>
      <c r="G142" s="574"/>
      <c r="H142" s="574"/>
      <c r="I142" s="470"/>
      <c r="J142" s="470"/>
      <c r="K142" s="470"/>
      <c r="L142" s="470"/>
      <c r="M142" s="470"/>
      <c r="N142" s="470"/>
      <c r="O142" s="470"/>
      <c r="P142" s="470"/>
      <c r="Q142" s="574"/>
      <c r="R142" s="574"/>
      <c r="S142" s="574"/>
      <c r="T142" s="574"/>
      <c r="U142" s="574"/>
    </row>
    <row r="143" spans="1:21" x14ac:dyDescent="0.3">
      <c r="A143" s="470"/>
      <c r="B143" s="470"/>
      <c r="C143" s="574"/>
      <c r="D143" s="574"/>
      <c r="E143" s="470"/>
      <c r="F143" s="470"/>
      <c r="G143" s="574"/>
      <c r="H143" s="574"/>
      <c r="I143" s="470"/>
      <c r="J143" s="470"/>
      <c r="K143" s="470"/>
      <c r="L143" s="470"/>
      <c r="M143" s="470"/>
      <c r="N143" s="470"/>
      <c r="O143" s="470"/>
      <c r="P143" s="470"/>
      <c r="Q143" s="574"/>
      <c r="R143" s="574"/>
      <c r="S143" s="574"/>
      <c r="T143" s="574"/>
      <c r="U143" s="574"/>
    </row>
    <row r="144" spans="1:21" x14ac:dyDescent="0.3">
      <c r="A144" s="470"/>
      <c r="B144" s="470"/>
      <c r="C144" s="574"/>
      <c r="D144" s="574"/>
      <c r="E144" s="470"/>
      <c r="F144" s="470"/>
      <c r="G144" s="574"/>
      <c r="H144" s="574"/>
      <c r="I144" s="470"/>
      <c r="J144" s="470"/>
      <c r="K144" s="470"/>
      <c r="L144" s="470"/>
      <c r="M144" s="470"/>
      <c r="N144" s="470"/>
      <c r="O144" s="470"/>
      <c r="P144" s="470"/>
      <c r="Q144" s="574"/>
      <c r="R144" s="574"/>
      <c r="S144" s="574"/>
      <c r="T144" s="574"/>
      <c r="U144" s="574"/>
    </row>
    <row r="145" spans="1:21" ht="19.2" customHeight="1" x14ac:dyDescent="0.3">
      <c r="A145" s="470"/>
      <c r="B145" s="470"/>
      <c r="C145" s="574"/>
      <c r="D145" s="574"/>
      <c r="E145" s="470"/>
      <c r="F145" s="470"/>
      <c r="G145" s="574"/>
      <c r="H145" s="574"/>
      <c r="I145" s="470"/>
      <c r="J145" s="470"/>
      <c r="K145" s="470"/>
      <c r="L145" s="470"/>
      <c r="M145" s="470"/>
      <c r="N145" s="470"/>
      <c r="O145" s="470"/>
      <c r="P145" s="470"/>
      <c r="Q145" s="574"/>
      <c r="R145" s="574"/>
      <c r="S145" s="574"/>
      <c r="T145" s="574"/>
      <c r="U145" s="574"/>
    </row>
    <row r="146" spans="1:21" ht="14.4" customHeight="1" x14ac:dyDescent="0.3">
      <c r="A146" s="470"/>
      <c r="B146" s="470"/>
      <c r="C146" s="574"/>
      <c r="D146" s="574"/>
      <c r="E146" s="470"/>
      <c r="F146" s="470"/>
      <c r="G146" s="574"/>
      <c r="H146" s="574"/>
      <c r="I146" s="470"/>
      <c r="J146" s="470"/>
      <c r="K146" s="470"/>
      <c r="L146" s="470"/>
      <c r="M146" s="470"/>
      <c r="N146" s="470"/>
      <c r="O146" s="470"/>
      <c r="P146" s="470"/>
      <c r="Q146" s="574"/>
      <c r="R146" s="574"/>
      <c r="S146" s="574"/>
      <c r="T146" s="574"/>
      <c r="U146" s="574"/>
    </row>
    <row r="147" spans="1:21" x14ac:dyDescent="0.3">
      <c r="A147" s="470"/>
      <c r="B147" s="470"/>
      <c r="C147" s="574"/>
      <c r="D147" s="574"/>
      <c r="E147" s="470"/>
      <c r="F147" s="470"/>
      <c r="G147" s="574"/>
      <c r="H147" s="574"/>
      <c r="I147" s="470"/>
      <c r="J147" s="470"/>
      <c r="K147" s="470"/>
      <c r="L147" s="470"/>
      <c r="M147" s="470"/>
      <c r="N147" s="470"/>
      <c r="O147" s="470"/>
      <c r="P147" s="470"/>
      <c r="Q147" s="574"/>
      <c r="R147" s="574"/>
      <c r="S147" s="574"/>
      <c r="T147" s="574"/>
      <c r="U147" s="574"/>
    </row>
    <row r="148" spans="1:21" x14ac:dyDescent="0.3">
      <c r="A148" s="470"/>
      <c r="B148" s="470"/>
      <c r="C148" s="574"/>
      <c r="D148" s="574"/>
      <c r="E148" s="470"/>
      <c r="F148" s="470"/>
      <c r="G148" s="574"/>
      <c r="H148" s="574"/>
      <c r="I148" s="470"/>
      <c r="J148" s="470"/>
      <c r="K148" s="470"/>
      <c r="L148" s="470"/>
      <c r="M148" s="470"/>
      <c r="N148" s="470"/>
      <c r="O148" s="470"/>
      <c r="P148" s="470"/>
      <c r="Q148" s="574"/>
      <c r="R148" s="574"/>
      <c r="S148" s="574"/>
      <c r="T148" s="574"/>
      <c r="U148" s="574"/>
    </row>
    <row r="149" spans="1:21" x14ac:dyDescent="0.3">
      <c r="A149" s="470"/>
      <c r="B149" s="470"/>
      <c r="C149" s="574"/>
      <c r="D149" s="574"/>
      <c r="E149" s="470"/>
      <c r="F149" s="470"/>
      <c r="G149" s="574"/>
      <c r="H149" s="574"/>
      <c r="I149" s="470"/>
      <c r="J149" s="470"/>
      <c r="K149" s="470"/>
      <c r="L149" s="470"/>
      <c r="M149" s="470"/>
      <c r="N149" s="470"/>
      <c r="O149" s="470"/>
      <c r="P149" s="470"/>
      <c r="Q149" s="574"/>
      <c r="R149" s="574"/>
      <c r="S149" s="574"/>
      <c r="T149" s="574"/>
      <c r="U149" s="574"/>
    </row>
    <row r="150" spans="1:21" x14ac:dyDescent="0.3">
      <c r="A150" s="470"/>
      <c r="B150" s="470"/>
      <c r="C150" s="574"/>
      <c r="D150" s="574"/>
      <c r="E150" s="470"/>
      <c r="F150" s="470"/>
      <c r="G150" s="574"/>
      <c r="H150" s="574"/>
      <c r="I150" s="470"/>
      <c r="J150" s="470"/>
      <c r="K150" s="470"/>
      <c r="L150" s="470"/>
      <c r="M150" s="470"/>
      <c r="N150" s="470"/>
      <c r="O150" s="470"/>
      <c r="P150" s="470"/>
      <c r="Q150" s="574"/>
      <c r="R150" s="574"/>
      <c r="S150" s="574"/>
      <c r="T150" s="574"/>
      <c r="U150" s="574"/>
    </row>
    <row r="151" spans="1:21" x14ac:dyDescent="0.3">
      <c r="A151" s="470"/>
      <c r="B151" s="470"/>
      <c r="C151" s="574"/>
      <c r="D151" s="574"/>
      <c r="E151" s="470"/>
      <c r="F151" s="470"/>
      <c r="G151" s="574"/>
      <c r="H151" s="574"/>
      <c r="I151" s="470"/>
      <c r="J151" s="470"/>
      <c r="K151" s="470"/>
      <c r="L151" s="470"/>
      <c r="M151" s="470"/>
      <c r="N151" s="470"/>
      <c r="O151" s="470"/>
      <c r="P151" s="470"/>
      <c r="Q151" s="574"/>
      <c r="R151" s="574"/>
      <c r="S151" s="574"/>
      <c r="T151" s="574"/>
      <c r="U151" s="574"/>
    </row>
    <row r="152" spans="1:21" x14ac:dyDescent="0.3">
      <c r="A152" s="470"/>
      <c r="B152" s="470"/>
      <c r="C152" s="574"/>
      <c r="D152" s="574"/>
      <c r="E152" s="470"/>
      <c r="F152" s="470"/>
      <c r="G152" s="574"/>
      <c r="H152" s="574"/>
      <c r="I152" s="470"/>
      <c r="J152" s="470"/>
      <c r="K152" s="470"/>
      <c r="L152" s="470"/>
      <c r="M152" s="470"/>
      <c r="N152" s="470"/>
      <c r="O152" s="470"/>
      <c r="P152" s="470"/>
      <c r="Q152" s="574"/>
      <c r="R152" s="574"/>
      <c r="S152" s="574"/>
      <c r="T152" s="574"/>
      <c r="U152" s="574"/>
    </row>
    <row r="153" spans="1:21" x14ac:dyDescent="0.3">
      <c r="A153" s="470"/>
      <c r="B153" s="470"/>
      <c r="C153" s="574"/>
      <c r="D153" s="574"/>
      <c r="E153" s="470"/>
      <c r="F153" s="470"/>
      <c r="G153" s="574"/>
      <c r="H153" s="574"/>
      <c r="I153" s="470"/>
      <c r="J153" s="470"/>
      <c r="K153" s="470"/>
      <c r="L153" s="470"/>
      <c r="M153" s="470"/>
      <c r="N153" s="470"/>
      <c r="O153" s="470"/>
      <c r="P153" s="470"/>
      <c r="Q153" s="574"/>
      <c r="R153" s="574"/>
      <c r="S153" s="574"/>
      <c r="T153" s="574"/>
      <c r="U153" s="574"/>
    </row>
    <row r="154" spans="1:21" x14ac:dyDescent="0.3">
      <c r="A154" s="470"/>
      <c r="B154" s="470"/>
      <c r="C154" s="574"/>
      <c r="D154" s="574"/>
      <c r="E154" s="470"/>
      <c r="F154" s="470"/>
      <c r="G154" s="574"/>
      <c r="H154" s="574"/>
      <c r="I154" s="470"/>
      <c r="J154" s="470"/>
      <c r="K154" s="470"/>
      <c r="L154" s="470"/>
      <c r="M154" s="470"/>
      <c r="N154" s="470"/>
      <c r="O154" s="470"/>
      <c r="P154" s="470"/>
      <c r="Q154" s="574"/>
      <c r="R154" s="574"/>
      <c r="S154" s="574"/>
      <c r="T154" s="574"/>
      <c r="U154" s="574"/>
    </row>
    <row r="155" spans="1:21" x14ac:dyDescent="0.3">
      <c r="C155" s="65"/>
      <c r="D155" s="65"/>
    </row>
    <row r="156" spans="1:21" ht="14.4" customHeight="1" x14ac:dyDescent="0.3">
      <c r="A156" s="82"/>
      <c r="B156" s="82"/>
      <c r="C156" s="465"/>
      <c r="D156" s="465"/>
      <c r="E156" s="82"/>
      <c r="F156" s="82"/>
      <c r="G156" s="575"/>
      <c r="H156" s="575"/>
      <c r="I156" s="82"/>
      <c r="J156" s="575"/>
      <c r="K156" s="575"/>
      <c r="L156" s="82"/>
      <c r="M156" s="82"/>
      <c r="N156" s="575"/>
      <c r="O156" s="82"/>
      <c r="P156" s="82"/>
      <c r="Q156" s="65"/>
    </row>
    <row r="157" spans="1:21" ht="14.4" customHeight="1" x14ac:dyDescent="0.3">
      <c r="A157" s="82"/>
      <c r="B157" s="82"/>
      <c r="C157" s="465"/>
      <c r="D157" s="465"/>
      <c r="E157" s="82"/>
      <c r="F157" s="82"/>
      <c r="G157" s="575"/>
      <c r="H157" s="575"/>
      <c r="I157" s="82"/>
      <c r="J157" s="575"/>
      <c r="K157" s="575"/>
      <c r="L157" s="82"/>
      <c r="M157" s="82"/>
      <c r="N157" s="575"/>
      <c r="O157" s="82"/>
      <c r="P157" s="82"/>
    </row>
    <row r="158" spans="1:21" ht="14.4" customHeight="1" x14ac:dyDescent="0.3">
      <c r="A158" s="573"/>
      <c r="B158" s="570"/>
      <c r="C158" s="570"/>
      <c r="D158" s="570"/>
      <c r="E158" s="570"/>
      <c r="F158" s="570"/>
      <c r="G158" s="570"/>
      <c r="H158" s="570"/>
      <c r="I158" s="570"/>
      <c r="J158" s="570"/>
      <c r="K158" s="570"/>
      <c r="L158" s="570"/>
      <c r="M158" s="570"/>
      <c r="N158" s="570"/>
      <c r="O158" s="570"/>
      <c r="P158" s="570"/>
      <c r="Q158" s="570"/>
      <c r="R158" s="570"/>
      <c r="S158" s="570"/>
      <c r="T158" s="570"/>
      <c r="U158" s="570"/>
    </row>
    <row r="159" spans="1:21" ht="14.4" customHeight="1" x14ac:dyDescent="0.3">
      <c r="A159" s="570"/>
      <c r="B159" s="570"/>
      <c r="C159" s="570"/>
      <c r="D159" s="570"/>
      <c r="E159" s="570"/>
      <c r="F159" s="570"/>
      <c r="G159" s="570"/>
      <c r="H159" s="570"/>
      <c r="I159" s="570"/>
      <c r="J159" s="570"/>
      <c r="K159" s="570"/>
      <c r="L159" s="570"/>
      <c r="M159" s="570"/>
      <c r="N159" s="570"/>
      <c r="O159" s="570"/>
      <c r="P159" s="570"/>
      <c r="Q159" s="570"/>
      <c r="R159" s="570"/>
      <c r="S159" s="570"/>
      <c r="T159" s="570"/>
      <c r="U159" s="570"/>
    </row>
    <row r="160" spans="1:21" ht="14.4" customHeight="1" x14ac:dyDescent="0.3">
      <c r="A160" s="570"/>
      <c r="B160" s="570"/>
      <c r="C160" s="570"/>
      <c r="D160" s="570"/>
      <c r="E160" s="570"/>
      <c r="F160" s="570"/>
      <c r="G160" s="570"/>
      <c r="H160" s="570"/>
      <c r="I160" s="570"/>
      <c r="J160" s="570"/>
      <c r="K160" s="570"/>
      <c r="L160" s="570"/>
      <c r="M160" s="570"/>
      <c r="N160" s="570"/>
      <c r="O160" s="570"/>
      <c r="P160" s="570"/>
      <c r="Q160" s="570"/>
      <c r="R160" s="570"/>
      <c r="S160" s="570"/>
      <c r="T160" s="570"/>
      <c r="U160" s="570"/>
    </row>
  </sheetData>
  <mergeCells count="388">
    <mergeCell ref="S42:S43"/>
    <mergeCell ref="T42:T43"/>
    <mergeCell ref="U42:U43"/>
    <mergeCell ref="C46:D46"/>
    <mergeCell ref="A42:B43"/>
    <mergeCell ref="C42:D43"/>
    <mergeCell ref="G42:G43"/>
    <mergeCell ref="H42:H43"/>
    <mergeCell ref="J42:J43"/>
    <mergeCell ref="K42:K43"/>
    <mergeCell ref="N42:N43"/>
    <mergeCell ref="Q42:Q43"/>
    <mergeCell ref="R42:R43"/>
    <mergeCell ref="U44:U45"/>
    <mergeCell ref="S44:S45"/>
    <mergeCell ref="T49:T50"/>
    <mergeCell ref="U49:U50"/>
    <mergeCell ref="T51:T52"/>
    <mergeCell ref="U51:U52"/>
    <mergeCell ref="T34:T35"/>
    <mergeCell ref="U34:U35"/>
    <mergeCell ref="T36:T37"/>
    <mergeCell ref="U65:U66"/>
    <mergeCell ref="T59:T60"/>
    <mergeCell ref="U59:U60"/>
    <mergeCell ref="T61:T62"/>
    <mergeCell ref="U61:U62"/>
    <mergeCell ref="T63:T64"/>
    <mergeCell ref="U63:U64"/>
    <mergeCell ref="T53:T54"/>
    <mergeCell ref="U53:U54"/>
    <mergeCell ref="T55:T56"/>
    <mergeCell ref="U55:U56"/>
    <mergeCell ref="T57:T58"/>
    <mergeCell ref="U57:U58"/>
    <mergeCell ref="U10:U11"/>
    <mergeCell ref="U12:U13"/>
    <mergeCell ref="U14:U15"/>
    <mergeCell ref="U16:U17"/>
    <mergeCell ref="U36:U37"/>
    <mergeCell ref="T38:T39"/>
    <mergeCell ref="U38:U39"/>
    <mergeCell ref="U18:U19"/>
    <mergeCell ref="U20:U21"/>
    <mergeCell ref="U22:U23"/>
    <mergeCell ref="U24:U25"/>
    <mergeCell ref="T32:T33"/>
    <mergeCell ref="U32:U33"/>
    <mergeCell ref="T18:T19"/>
    <mergeCell ref="T20:T21"/>
    <mergeCell ref="T22:T23"/>
    <mergeCell ref="T24:T25"/>
    <mergeCell ref="Q32:Q33"/>
    <mergeCell ref="R32:R33"/>
    <mergeCell ref="S32:S33"/>
    <mergeCell ref="S34:S35"/>
    <mergeCell ref="K65:K66"/>
    <mergeCell ref="N65:N66"/>
    <mergeCell ref="Q65:Q66"/>
    <mergeCell ref="R65:R66"/>
    <mergeCell ref="T6:T7"/>
    <mergeCell ref="T8:T9"/>
    <mergeCell ref="T10:T11"/>
    <mergeCell ref="T12:T13"/>
    <mergeCell ref="T14:T15"/>
    <mergeCell ref="T16:T17"/>
    <mergeCell ref="S18:S19"/>
    <mergeCell ref="S20:S21"/>
    <mergeCell ref="Q18:Q19"/>
    <mergeCell ref="R18:R19"/>
    <mergeCell ref="S36:S37"/>
    <mergeCell ref="S38:S39"/>
    <mergeCell ref="T65:T66"/>
    <mergeCell ref="T44:T45"/>
    <mergeCell ref="S61:S62"/>
    <mergeCell ref="S55:S56"/>
    <mergeCell ref="S57:S58"/>
    <mergeCell ref="S59:S60"/>
    <mergeCell ref="S51:S52"/>
    <mergeCell ref="S53:S54"/>
    <mergeCell ref="A59:B60"/>
    <mergeCell ref="C59:D60"/>
    <mergeCell ref="G59:G60"/>
    <mergeCell ref="H59:H60"/>
    <mergeCell ref="J59:J60"/>
    <mergeCell ref="K59:K60"/>
    <mergeCell ref="N59:N60"/>
    <mergeCell ref="Q59:Q60"/>
    <mergeCell ref="R59:R60"/>
    <mergeCell ref="A57:B58"/>
    <mergeCell ref="C57:D58"/>
    <mergeCell ref="G57:G58"/>
    <mergeCell ref="H57:H58"/>
    <mergeCell ref="J57:J58"/>
    <mergeCell ref="K57:K58"/>
    <mergeCell ref="N57:N58"/>
    <mergeCell ref="Q57:Q58"/>
    <mergeCell ref="R57:R58"/>
    <mergeCell ref="A55:B56"/>
    <mergeCell ref="C55:D56"/>
    <mergeCell ref="S65:S66"/>
    <mergeCell ref="K63:K64"/>
    <mergeCell ref="N63:N64"/>
    <mergeCell ref="Q63:Q64"/>
    <mergeCell ref="R63:R64"/>
    <mergeCell ref="S63:S64"/>
    <mergeCell ref="A65:B66"/>
    <mergeCell ref="C65:D66"/>
    <mergeCell ref="G65:G66"/>
    <mergeCell ref="H65:H66"/>
    <mergeCell ref="J65:J66"/>
    <mergeCell ref="A63:B64"/>
    <mergeCell ref="C63:D64"/>
    <mergeCell ref="G63:G64"/>
    <mergeCell ref="H63:H64"/>
    <mergeCell ref="J63:J64"/>
    <mergeCell ref="A61:B62"/>
    <mergeCell ref="C61:D62"/>
    <mergeCell ref="G61:G62"/>
    <mergeCell ref="H61:H62"/>
    <mergeCell ref="J61:J62"/>
    <mergeCell ref="K61:K62"/>
    <mergeCell ref="N61:N62"/>
    <mergeCell ref="Q61:Q62"/>
    <mergeCell ref="R61:R62"/>
    <mergeCell ref="G55:G56"/>
    <mergeCell ref="H55:H56"/>
    <mergeCell ref="J55:J56"/>
    <mergeCell ref="K55:K56"/>
    <mergeCell ref="N55:N56"/>
    <mergeCell ref="Q55:Q56"/>
    <mergeCell ref="R55:R56"/>
    <mergeCell ref="A53:B54"/>
    <mergeCell ref="C53:D54"/>
    <mergeCell ref="G53:G54"/>
    <mergeCell ref="H53:H54"/>
    <mergeCell ref="J53:J54"/>
    <mergeCell ref="K53:K54"/>
    <mergeCell ref="N53:N54"/>
    <mergeCell ref="Q53:Q54"/>
    <mergeCell ref="R53:R54"/>
    <mergeCell ref="A51:B52"/>
    <mergeCell ref="C51:D52"/>
    <mergeCell ref="G51:G52"/>
    <mergeCell ref="H51:H52"/>
    <mergeCell ref="J51:J52"/>
    <mergeCell ref="K51:K52"/>
    <mergeCell ref="N51:N52"/>
    <mergeCell ref="Q51:Q52"/>
    <mergeCell ref="R51:R52"/>
    <mergeCell ref="R49:R50"/>
    <mergeCell ref="S49:S50"/>
    <mergeCell ref="A44:B45"/>
    <mergeCell ref="C44:D45"/>
    <mergeCell ref="G44:G45"/>
    <mergeCell ref="H44:H45"/>
    <mergeCell ref="J44:J45"/>
    <mergeCell ref="K44:K45"/>
    <mergeCell ref="N44:N45"/>
    <mergeCell ref="Q44:Q45"/>
    <mergeCell ref="R44:R45"/>
    <mergeCell ref="G47:M47"/>
    <mergeCell ref="A49:B50"/>
    <mergeCell ref="C49:D50"/>
    <mergeCell ref="G49:G50"/>
    <mergeCell ref="H49:H50"/>
    <mergeCell ref="J49:J50"/>
    <mergeCell ref="K49:K50"/>
    <mergeCell ref="N49:N50"/>
    <mergeCell ref="Q49:Q50"/>
    <mergeCell ref="A38:B39"/>
    <mergeCell ref="C38:D39"/>
    <mergeCell ref="G38:G39"/>
    <mergeCell ref="H38:H39"/>
    <mergeCell ref="J38:J39"/>
    <mergeCell ref="K38:K39"/>
    <mergeCell ref="N38:N39"/>
    <mergeCell ref="Q38:Q39"/>
    <mergeCell ref="R38:R39"/>
    <mergeCell ref="A36:B37"/>
    <mergeCell ref="C36:D37"/>
    <mergeCell ref="G36:G37"/>
    <mergeCell ref="H36:H37"/>
    <mergeCell ref="J36:J37"/>
    <mergeCell ref="K36:K37"/>
    <mergeCell ref="N36:N37"/>
    <mergeCell ref="Q36:Q37"/>
    <mergeCell ref="R36:R37"/>
    <mergeCell ref="A34:B35"/>
    <mergeCell ref="C34:D35"/>
    <mergeCell ref="G34:G35"/>
    <mergeCell ref="H34:H35"/>
    <mergeCell ref="J34:J35"/>
    <mergeCell ref="K34:K35"/>
    <mergeCell ref="N34:N35"/>
    <mergeCell ref="Q34:Q35"/>
    <mergeCell ref="R34:R35"/>
    <mergeCell ref="G28:M29"/>
    <mergeCell ref="A32:B33"/>
    <mergeCell ref="C32:D33"/>
    <mergeCell ref="G32:G33"/>
    <mergeCell ref="H32:H33"/>
    <mergeCell ref="J32:J33"/>
    <mergeCell ref="K32:K33"/>
    <mergeCell ref="K24:K25"/>
    <mergeCell ref="N24:N25"/>
    <mergeCell ref="N32:N33"/>
    <mergeCell ref="A22:B23"/>
    <mergeCell ref="C22:D23"/>
    <mergeCell ref="G22:G23"/>
    <mergeCell ref="H22:H23"/>
    <mergeCell ref="J22:J23"/>
    <mergeCell ref="Q24:Q25"/>
    <mergeCell ref="R24:R25"/>
    <mergeCell ref="S24:S25"/>
    <mergeCell ref="A26:B26"/>
    <mergeCell ref="C26:D26"/>
    <mergeCell ref="K22:K23"/>
    <mergeCell ref="N22:N23"/>
    <mergeCell ref="Q22:Q23"/>
    <mergeCell ref="R22:R23"/>
    <mergeCell ref="S22:S23"/>
    <mergeCell ref="A24:B25"/>
    <mergeCell ref="C24:D25"/>
    <mergeCell ref="G24:G25"/>
    <mergeCell ref="H24:H25"/>
    <mergeCell ref="J24:J25"/>
    <mergeCell ref="S10:S11"/>
    <mergeCell ref="A18:B19"/>
    <mergeCell ref="C18:D19"/>
    <mergeCell ref="G18:G19"/>
    <mergeCell ref="H18:H19"/>
    <mergeCell ref="J18:J19"/>
    <mergeCell ref="K18:K19"/>
    <mergeCell ref="N18:N19"/>
    <mergeCell ref="A20:B21"/>
    <mergeCell ref="C20:D21"/>
    <mergeCell ref="G20:G21"/>
    <mergeCell ref="H20:H21"/>
    <mergeCell ref="J20:J21"/>
    <mergeCell ref="K20:K21"/>
    <mergeCell ref="N20:N21"/>
    <mergeCell ref="Q20:Q21"/>
    <mergeCell ref="R20:R21"/>
    <mergeCell ref="S14:S15"/>
    <mergeCell ref="A16:B17"/>
    <mergeCell ref="C16:D17"/>
    <mergeCell ref="G16:G17"/>
    <mergeCell ref="H16:H17"/>
    <mergeCell ref="J16:J17"/>
    <mergeCell ref="K16:K17"/>
    <mergeCell ref="N12:N13"/>
    <mergeCell ref="Q12:Q13"/>
    <mergeCell ref="R12:R13"/>
    <mergeCell ref="N16:N17"/>
    <mergeCell ref="Q16:Q17"/>
    <mergeCell ref="R16:R17"/>
    <mergeCell ref="S16:S17"/>
    <mergeCell ref="A14:B15"/>
    <mergeCell ref="C14:D15"/>
    <mergeCell ref="G14:G15"/>
    <mergeCell ref="H14:H15"/>
    <mergeCell ref="J14:J15"/>
    <mergeCell ref="K14:K15"/>
    <mergeCell ref="N14:N15"/>
    <mergeCell ref="Q14:Q15"/>
    <mergeCell ref="R14:R15"/>
    <mergeCell ref="A4:D4"/>
    <mergeCell ref="H8:H9"/>
    <mergeCell ref="J8:J9"/>
    <mergeCell ref="K8:K9"/>
    <mergeCell ref="N8:N9"/>
    <mergeCell ref="Q8:Q9"/>
    <mergeCell ref="R8:R9"/>
    <mergeCell ref="Q4:U4"/>
    <mergeCell ref="G1:M2"/>
    <mergeCell ref="G4:H4"/>
    <mergeCell ref="J4:K4"/>
    <mergeCell ref="N6:N7"/>
    <mergeCell ref="Q6:Q7"/>
    <mergeCell ref="R6:R7"/>
    <mergeCell ref="S6:S7"/>
    <mergeCell ref="U6:U7"/>
    <mergeCell ref="S8:S9"/>
    <mergeCell ref="U8:U9"/>
    <mergeCell ref="A8:B9"/>
    <mergeCell ref="C8:D9"/>
    <mergeCell ref="G8:G9"/>
    <mergeCell ref="A5:B5"/>
    <mergeCell ref="C5:D5"/>
    <mergeCell ref="A6:B7"/>
    <mergeCell ref="C6:D7"/>
    <mergeCell ref="G6:G7"/>
    <mergeCell ref="H6:H7"/>
    <mergeCell ref="J6:J7"/>
    <mergeCell ref="K6:K7"/>
    <mergeCell ref="S12:S13"/>
    <mergeCell ref="A10:B11"/>
    <mergeCell ref="C10:D11"/>
    <mergeCell ref="G10:G11"/>
    <mergeCell ref="H10:H11"/>
    <mergeCell ref="J10:J11"/>
    <mergeCell ref="K10:K11"/>
    <mergeCell ref="N10:N11"/>
    <mergeCell ref="Q10:Q11"/>
    <mergeCell ref="R10:R11"/>
    <mergeCell ref="A12:B13"/>
    <mergeCell ref="C12:D13"/>
    <mergeCell ref="G12:G13"/>
    <mergeCell ref="H12:H13"/>
    <mergeCell ref="J12:J13"/>
    <mergeCell ref="K12:K13"/>
    <mergeCell ref="G69:M69"/>
    <mergeCell ref="A71:B72"/>
    <mergeCell ref="C71:D72"/>
    <mergeCell ref="A73:B74"/>
    <mergeCell ref="C73:D74"/>
    <mergeCell ref="J71:J72"/>
    <mergeCell ref="K71:K72"/>
    <mergeCell ref="J73:J74"/>
    <mergeCell ref="K73:K74"/>
    <mergeCell ref="N71:N72"/>
    <mergeCell ref="N73:N74"/>
    <mergeCell ref="N75:N76"/>
    <mergeCell ref="Q71:Q72"/>
    <mergeCell ref="Q73:Q74"/>
    <mergeCell ref="R71:R72"/>
    <mergeCell ref="R73:R74"/>
    <mergeCell ref="A75:B76"/>
    <mergeCell ref="C75:D76"/>
    <mergeCell ref="G75:H76"/>
    <mergeCell ref="G71:G72"/>
    <mergeCell ref="G73:G74"/>
    <mergeCell ref="H71:H72"/>
    <mergeCell ref="H73:H74"/>
    <mergeCell ref="Q75:U76"/>
    <mergeCell ref="J75:K76"/>
    <mergeCell ref="S71:S72"/>
    <mergeCell ref="T71:T72"/>
    <mergeCell ref="U71:U72"/>
    <mergeCell ref="S73:S74"/>
    <mergeCell ref="T73:T74"/>
    <mergeCell ref="U73:U74"/>
    <mergeCell ref="G79:M79"/>
    <mergeCell ref="A81:B82"/>
    <mergeCell ref="C81:D82"/>
    <mergeCell ref="A83:B84"/>
    <mergeCell ref="C83:D84"/>
    <mergeCell ref="N81:N82"/>
    <mergeCell ref="N83:N84"/>
    <mergeCell ref="K81:K82"/>
    <mergeCell ref="R83:R84"/>
    <mergeCell ref="S83:S84"/>
    <mergeCell ref="T83:T84"/>
    <mergeCell ref="U83:U84"/>
    <mergeCell ref="A85:B86"/>
    <mergeCell ref="C85:D86"/>
    <mergeCell ref="G81:G82"/>
    <mergeCell ref="G83:G84"/>
    <mergeCell ref="H81:H82"/>
    <mergeCell ref="H83:H84"/>
    <mergeCell ref="J81:J82"/>
    <mergeCell ref="J83:J84"/>
    <mergeCell ref="G85:H86"/>
    <mergeCell ref="X5:AB5"/>
    <mergeCell ref="X6:AB8"/>
    <mergeCell ref="K83:K84"/>
    <mergeCell ref="J85:K86"/>
    <mergeCell ref="Q85:U86"/>
    <mergeCell ref="A40:B41"/>
    <mergeCell ref="C40:D41"/>
    <mergeCell ref="G40:G41"/>
    <mergeCell ref="H40:H41"/>
    <mergeCell ref="J40:J41"/>
    <mergeCell ref="K40:K41"/>
    <mergeCell ref="N40:N41"/>
    <mergeCell ref="Q40:Q41"/>
    <mergeCell ref="R40:R41"/>
    <mergeCell ref="S40:S41"/>
    <mergeCell ref="T40:T41"/>
    <mergeCell ref="U40:U41"/>
    <mergeCell ref="N85:N86"/>
    <mergeCell ref="Q81:Q82"/>
    <mergeCell ref="Q83:Q84"/>
    <mergeCell ref="R81:R82"/>
    <mergeCell ref="S81:S82"/>
    <mergeCell ref="T81:T82"/>
    <mergeCell ref="U81:U82"/>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0EC69-C190-460F-BB45-3280EF3A5372}">
  <dimension ref="A1:AO156"/>
  <sheetViews>
    <sheetView topLeftCell="A25" zoomScale="40" zoomScaleNormal="70" zoomScaleSheetLayoutView="50" workbookViewId="0">
      <selection activeCell="Q69" sqref="Q69"/>
    </sheetView>
  </sheetViews>
  <sheetFormatPr defaultRowHeight="14.4" x14ac:dyDescent="0.3"/>
  <cols>
    <col min="1" max="1" width="20" customWidth="1"/>
    <col min="2" max="2" width="28.33203125" customWidth="1"/>
    <col min="3" max="3" width="14.5546875" customWidth="1"/>
    <col min="4" max="4" width="16.33203125" customWidth="1"/>
    <col min="5" max="5" width="16.5546875" customWidth="1"/>
    <col min="6" max="6" width="14.88671875" customWidth="1"/>
    <col min="7" max="7" width="18.88671875" customWidth="1"/>
    <col min="8" max="8" width="33.88671875" customWidth="1"/>
    <col min="9" max="9" width="31.5546875" customWidth="1"/>
    <col min="10" max="10" width="18.33203125" customWidth="1"/>
    <col min="11" max="11" width="22.88671875" customWidth="1"/>
    <col min="12" max="12" width="18.44140625" customWidth="1"/>
    <col min="13" max="13" width="11.33203125" customWidth="1"/>
    <col min="14" max="14" width="26.33203125" customWidth="1"/>
    <col min="15" max="15" width="16.44140625" customWidth="1"/>
    <col min="16" max="16" width="15.6640625" customWidth="1"/>
    <col min="17" max="18" width="21" customWidth="1"/>
    <col min="19" max="19" width="22.44140625" customWidth="1"/>
    <col min="20" max="20" width="20.33203125" customWidth="1"/>
    <col min="22" max="22" width="11" bestFit="1" customWidth="1"/>
    <col min="27" max="27" width="20" customWidth="1"/>
    <col min="35" max="35" width="71.5546875" customWidth="1"/>
    <col min="36" max="36" width="15.33203125" customWidth="1"/>
  </cols>
  <sheetData>
    <row r="1" spans="1:34" x14ac:dyDescent="0.3">
      <c r="G1" s="820" t="s">
        <v>663</v>
      </c>
      <c r="H1" s="821"/>
      <c r="I1" s="821"/>
      <c r="J1" s="821"/>
      <c r="K1" s="821"/>
      <c r="L1" s="821"/>
      <c r="M1" s="822"/>
    </row>
    <row r="2" spans="1:34" ht="15" thickBot="1" x14ac:dyDescent="0.35">
      <c r="G2" s="823"/>
      <c r="H2" s="824"/>
      <c r="I2" s="824"/>
      <c r="J2" s="824"/>
      <c r="K2" s="824"/>
      <c r="L2" s="824"/>
      <c r="M2" s="825"/>
    </row>
    <row r="4" spans="1:34" ht="31.2" customHeight="1" x14ac:dyDescent="0.3">
      <c r="A4" s="635" t="s">
        <v>378</v>
      </c>
      <c r="B4" s="636"/>
      <c r="C4" s="636"/>
      <c r="D4" s="637"/>
      <c r="G4" s="590" t="s">
        <v>379</v>
      </c>
      <c r="H4" s="590"/>
      <c r="J4" s="590" t="s">
        <v>380</v>
      </c>
      <c r="K4" s="590"/>
      <c r="N4" s="6" t="s">
        <v>381</v>
      </c>
      <c r="O4" s="5"/>
      <c r="P4" s="5"/>
      <c r="Q4" s="590" t="s">
        <v>382</v>
      </c>
      <c r="R4" s="590"/>
      <c r="S4" s="590"/>
      <c r="T4" s="590"/>
    </row>
    <row r="5" spans="1:34" ht="71.400000000000006" customHeight="1" x14ac:dyDescent="0.3">
      <c r="A5" s="690"/>
      <c r="B5" s="690"/>
      <c r="C5" s="807" t="s">
        <v>675</v>
      </c>
      <c r="D5" s="808"/>
      <c r="E5" s="515"/>
      <c r="F5" s="470"/>
      <c r="G5" s="6" t="s">
        <v>384</v>
      </c>
      <c r="H5" s="360" t="s">
        <v>385</v>
      </c>
      <c r="I5" s="69"/>
      <c r="J5" s="6" t="s">
        <v>384</v>
      </c>
      <c r="K5" s="360" t="s">
        <v>386</v>
      </c>
      <c r="N5" s="360" t="s">
        <v>387</v>
      </c>
      <c r="O5" s="82"/>
      <c r="P5" s="5"/>
      <c r="Q5" s="360" t="s">
        <v>388</v>
      </c>
      <c r="R5" s="360" t="s">
        <v>389</v>
      </c>
      <c r="S5" s="360" t="s">
        <v>390</v>
      </c>
      <c r="T5" s="360" t="s">
        <v>391</v>
      </c>
    </row>
    <row r="6" spans="1:34" ht="21.6" thickBot="1" x14ac:dyDescent="0.35">
      <c r="A6" s="600" t="s">
        <v>393</v>
      </c>
      <c r="B6" s="683"/>
      <c r="C6" s="809">
        <f>SUM('$_MAG_BUFFER'!R16:R17)</f>
        <v>858</v>
      </c>
      <c r="D6" s="810"/>
      <c r="E6" s="516"/>
      <c r="F6" s="467"/>
      <c r="G6" s="813">
        <f>'$_MAG_BUFFER'!R22+'$_MAG_BUFFER'!R24</f>
        <v>849.42</v>
      </c>
      <c r="H6" s="813">
        <f>'$_MAG_BUFFER'!R26+'$_MAG_BUFFER'!R28+'$_MAG_BUFFER'!R29</f>
        <v>8292</v>
      </c>
      <c r="I6" s="468"/>
      <c r="J6" s="813">
        <f>'$_MAG_BUFFER'!R21+'$_MAG_BUFFER'!R23</f>
        <v>840.83999999999992</v>
      </c>
      <c r="K6" s="813">
        <f>'$_MAG_BUFFER'!R25+'$_MAG_BUFFER'!R27</f>
        <v>5880</v>
      </c>
      <c r="N6" s="819">
        <f>SUM('$_MAG_BUFFER'!R19:R20)</f>
        <v>832.26</v>
      </c>
      <c r="O6" s="470"/>
      <c r="P6" s="470"/>
      <c r="Q6" s="819">
        <f>SUM('$_MAG_BUFFER'!R6:R8)</f>
        <v>17495.045454545456</v>
      </c>
      <c r="R6" s="819">
        <f>SUM('$_MAG_BUFFER'!R13:R14)</f>
        <v>18485.454545454544</v>
      </c>
      <c r="S6" s="819">
        <f>SUM('$_MAG_BUFFER'!R9:R10)</f>
        <v>6469.909090909091</v>
      </c>
      <c r="T6" s="900">
        <f>SUM('$_MAG_BUFFER'!R11:R12)</f>
        <v>12015.545454545454</v>
      </c>
    </row>
    <row r="7" spans="1:34" ht="21.6" thickTop="1" x14ac:dyDescent="0.3">
      <c r="A7" s="600"/>
      <c r="B7" s="683"/>
      <c r="C7" s="811"/>
      <c r="D7" s="812"/>
      <c r="E7" s="517"/>
      <c r="F7" s="467"/>
      <c r="G7" s="813"/>
      <c r="H7" s="814"/>
      <c r="I7" s="467"/>
      <c r="J7" s="814"/>
      <c r="K7" s="814"/>
      <c r="N7" s="815"/>
      <c r="O7" s="470"/>
      <c r="P7" s="470"/>
      <c r="Q7" s="815"/>
      <c r="R7" s="815"/>
      <c r="S7" s="815"/>
      <c r="T7" s="901"/>
      <c r="AB7" s="5"/>
      <c r="AC7" s="5"/>
      <c r="AD7" s="5"/>
      <c r="AE7" s="5"/>
      <c r="AF7" s="5"/>
      <c r="AG7" s="5"/>
      <c r="AH7" s="5"/>
    </row>
    <row r="8" spans="1:34" ht="21.6" thickBot="1" x14ac:dyDescent="0.35">
      <c r="A8" s="600" t="s">
        <v>394</v>
      </c>
      <c r="B8" s="683"/>
      <c r="C8" s="809">
        <f>SUM('$_MAG_BUFFER'!S16:S17)</f>
        <v>858</v>
      </c>
      <c r="D8" s="810"/>
      <c r="E8" s="516"/>
      <c r="F8" s="467"/>
      <c r="G8" s="813">
        <f>'$_MAG_BUFFER'!S22+'$_MAG_BUFFER'!S24</f>
        <v>33.976799999999997</v>
      </c>
      <c r="H8" s="813">
        <f>'$_MAG_BUFFER'!S26+'$_MAG_BUFFER'!S28+'$_MAG_BUFFER'!S29</f>
        <v>41.46</v>
      </c>
      <c r="I8" s="468"/>
      <c r="J8" s="898">
        <f>'$_MAG_BUFFER'!S21+'$_MAG_BUFFER'!S23</f>
        <v>33.633600000000001</v>
      </c>
      <c r="K8" s="898">
        <f>'$_MAG_BUFFER'!S25+'$_MAG_BUFFER'!S27</f>
        <v>29.4</v>
      </c>
      <c r="N8" s="819">
        <f>SUM('$_MAG_BUFFER'!S19:S20)</f>
        <v>208.065</v>
      </c>
      <c r="O8" s="470"/>
      <c r="P8" s="470"/>
      <c r="Q8" s="819">
        <f>SUM('$_MAG_BUFFER'!S6:S8)</f>
        <v>701</v>
      </c>
      <c r="R8" s="819">
        <f>SUM('$_MAG_BUFFER'!S13:S14)</f>
        <v>93</v>
      </c>
      <c r="S8" s="819">
        <f>SUM('$_MAG_BUFFER'!S9:S10)</f>
        <v>540</v>
      </c>
      <c r="T8" s="900">
        <f>SUM('$_MAG_BUFFER'!S11:S12)</f>
        <v>242</v>
      </c>
      <c r="W8" s="5"/>
      <c r="X8" s="5"/>
      <c r="AB8" s="5"/>
      <c r="AC8" s="5"/>
      <c r="AD8" s="5"/>
      <c r="AE8" s="5"/>
      <c r="AF8" s="5"/>
      <c r="AG8" s="5"/>
      <c r="AH8" s="5"/>
    </row>
    <row r="9" spans="1:34" ht="21.6" thickTop="1" x14ac:dyDescent="0.3">
      <c r="A9" s="816"/>
      <c r="B9" s="770"/>
      <c r="C9" s="817"/>
      <c r="D9" s="818"/>
      <c r="E9" s="517"/>
      <c r="F9" s="467"/>
      <c r="G9" s="813"/>
      <c r="H9" s="814"/>
      <c r="I9" s="467"/>
      <c r="J9" s="899"/>
      <c r="K9" s="899"/>
      <c r="N9" s="815"/>
      <c r="O9" s="470"/>
      <c r="P9" s="470"/>
      <c r="Q9" s="815"/>
      <c r="R9" s="815"/>
      <c r="S9" s="815"/>
      <c r="T9" s="901"/>
      <c r="AB9" s="5"/>
      <c r="AC9" s="5"/>
      <c r="AD9" s="5"/>
      <c r="AE9" s="5"/>
      <c r="AF9" s="5"/>
      <c r="AG9" s="5"/>
      <c r="AH9" s="5"/>
    </row>
    <row r="10" spans="1:34" ht="21.6" thickBot="1" x14ac:dyDescent="0.35">
      <c r="A10" s="600" t="s">
        <v>395</v>
      </c>
      <c r="B10" s="683"/>
      <c r="C10" s="809" t="s">
        <v>87</v>
      </c>
      <c r="D10" s="810"/>
      <c r="E10" s="516"/>
      <c r="F10" s="467"/>
      <c r="G10" s="813" t="s">
        <v>130</v>
      </c>
      <c r="H10" s="813" t="s">
        <v>72</v>
      </c>
      <c r="I10" s="467"/>
      <c r="J10" s="813" t="str">
        <f>G10</f>
        <v>1500x2000</v>
      </c>
      <c r="K10" s="813" t="s">
        <v>396</v>
      </c>
      <c r="N10" s="819" t="s">
        <v>397</v>
      </c>
      <c r="O10" s="470"/>
      <c r="P10" s="470"/>
      <c r="Q10" s="819" t="s">
        <v>60</v>
      </c>
      <c r="R10" s="819" t="s">
        <v>72</v>
      </c>
      <c r="S10" s="819" t="s">
        <v>108</v>
      </c>
      <c r="T10" s="900" t="s">
        <v>122</v>
      </c>
      <c r="AB10" s="5"/>
      <c r="AC10" s="5"/>
      <c r="AD10" s="5"/>
      <c r="AE10" s="5"/>
      <c r="AF10" s="5"/>
      <c r="AG10" s="5"/>
      <c r="AH10" s="5"/>
    </row>
    <row r="11" spans="1:34" ht="21.6" thickTop="1" x14ac:dyDescent="0.3">
      <c r="A11" s="816"/>
      <c r="B11" s="770"/>
      <c r="C11" s="817"/>
      <c r="D11" s="818"/>
      <c r="E11" s="517"/>
      <c r="F11" s="467"/>
      <c r="G11" s="813"/>
      <c r="H11" s="814"/>
      <c r="I11" s="467"/>
      <c r="J11" s="814"/>
      <c r="K11" s="814"/>
      <c r="N11" s="815"/>
      <c r="O11" s="470"/>
      <c r="P11" s="470"/>
      <c r="Q11" s="815"/>
      <c r="R11" s="815"/>
      <c r="S11" s="815"/>
      <c r="T11" s="901"/>
      <c r="W11" s="468"/>
      <c r="X11" s="467"/>
      <c r="AB11" s="5"/>
      <c r="AC11" s="5"/>
      <c r="AD11" s="5"/>
      <c r="AE11" s="5"/>
      <c r="AF11" s="5"/>
      <c r="AG11" s="5"/>
      <c r="AH11" s="5"/>
    </row>
    <row r="12" spans="1:34" ht="21.6" thickBot="1" x14ac:dyDescent="0.35">
      <c r="A12" s="829" t="s">
        <v>398</v>
      </c>
      <c r="B12" s="830"/>
      <c r="C12" s="831">
        <v>1550</v>
      </c>
      <c r="D12" s="832"/>
      <c r="E12" s="519"/>
      <c r="F12" s="469"/>
      <c r="G12" s="813">
        <v>1550</v>
      </c>
      <c r="H12" s="814">
        <v>850</v>
      </c>
      <c r="I12" s="467"/>
      <c r="J12" s="813">
        <f>G12</f>
        <v>1550</v>
      </c>
      <c r="K12" s="813">
        <f>H12</f>
        <v>850</v>
      </c>
      <c r="N12" s="815">
        <v>1550</v>
      </c>
      <c r="O12" s="470"/>
      <c r="P12" s="470"/>
      <c r="Q12" s="815">
        <v>1550</v>
      </c>
      <c r="R12" s="815">
        <v>850</v>
      </c>
      <c r="S12" s="815">
        <v>1050</v>
      </c>
      <c r="T12" s="896">
        <v>850</v>
      </c>
      <c r="W12" s="467"/>
      <c r="X12" s="467"/>
      <c r="AB12" s="5"/>
      <c r="AC12" s="5"/>
      <c r="AD12" s="5"/>
      <c r="AE12" s="5"/>
      <c r="AF12" s="5"/>
      <c r="AG12" s="5"/>
      <c r="AH12" s="5"/>
    </row>
    <row r="13" spans="1:34" ht="21.6" thickTop="1" x14ac:dyDescent="0.3">
      <c r="A13" s="829"/>
      <c r="B13" s="830"/>
      <c r="C13" s="833"/>
      <c r="D13" s="834"/>
      <c r="E13" s="519"/>
      <c r="F13" s="469"/>
      <c r="G13" s="813"/>
      <c r="H13" s="814"/>
      <c r="I13" s="467"/>
      <c r="J13" s="814"/>
      <c r="K13" s="814"/>
      <c r="N13" s="815"/>
      <c r="O13" s="470"/>
      <c r="P13" s="470"/>
      <c r="Q13" s="815"/>
      <c r="R13" s="815"/>
      <c r="S13" s="815"/>
      <c r="T13" s="897"/>
      <c r="AB13" s="5"/>
      <c r="AC13" s="5"/>
      <c r="AD13" s="5"/>
      <c r="AE13" s="5"/>
      <c r="AF13" s="5"/>
      <c r="AG13" s="5"/>
      <c r="AH13" s="5"/>
    </row>
    <row r="14" spans="1:34" ht="21.6" thickBot="1" x14ac:dyDescent="0.35">
      <c r="A14" s="835" t="s">
        <v>399</v>
      </c>
      <c r="B14" s="836"/>
      <c r="C14" s="831">
        <v>2100</v>
      </c>
      <c r="D14" s="832"/>
      <c r="E14" s="519"/>
      <c r="F14" s="469"/>
      <c r="G14" s="813">
        <v>2020</v>
      </c>
      <c r="H14" s="814">
        <v>1020</v>
      </c>
      <c r="I14" s="467"/>
      <c r="J14" s="813">
        <f t="shared" ref="J14:K14" si="0">G14</f>
        <v>2020</v>
      </c>
      <c r="K14" s="813">
        <f t="shared" si="0"/>
        <v>1020</v>
      </c>
      <c r="N14" s="815">
        <v>2020</v>
      </c>
      <c r="O14" s="470"/>
      <c r="P14" s="470"/>
      <c r="Q14" s="815">
        <v>2020</v>
      </c>
      <c r="R14" s="815">
        <v>1020</v>
      </c>
      <c r="S14" s="815">
        <v>2020</v>
      </c>
      <c r="T14" s="896">
        <v>1520</v>
      </c>
      <c r="AB14" s="5"/>
      <c r="AC14" s="5"/>
      <c r="AD14" s="5"/>
      <c r="AE14" s="5"/>
      <c r="AF14" s="5"/>
      <c r="AG14" s="5"/>
      <c r="AH14" s="5"/>
    </row>
    <row r="15" spans="1:34" ht="21.6" thickTop="1" x14ac:dyDescent="0.3">
      <c r="A15" s="837"/>
      <c r="B15" s="838"/>
      <c r="C15" s="839"/>
      <c r="D15" s="840"/>
      <c r="E15" s="519"/>
      <c r="F15" s="469"/>
      <c r="G15" s="813"/>
      <c r="H15" s="814"/>
      <c r="I15" s="467"/>
      <c r="J15" s="814"/>
      <c r="K15" s="814"/>
      <c r="N15" s="815"/>
      <c r="O15" s="470"/>
      <c r="P15" s="470"/>
      <c r="Q15" s="815"/>
      <c r="R15" s="815"/>
      <c r="S15" s="815"/>
      <c r="T15" s="897"/>
      <c r="AB15" s="5"/>
      <c r="AC15" s="5"/>
      <c r="AD15" s="5"/>
      <c r="AE15" s="5"/>
      <c r="AF15" s="5"/>
      <c r="AG15" s="5"/>
      <c r="AH15" s="5"/>
    </row>
    <row r="16" spans="1:34" ht="21.6" thickBot="1" x14ac:dyDescent="0.35">
      <c r="A16" s="835" t="s">
        <v>400</v>
      </c>
      <c r="B16" s="836"/>
      <c r="C16" s="831">
        <v>1200</v>
      </c>
      <c r="D16" s="832"/>
      <c r="E16" s="519"/>
      <c r="F16" s="469"/>
      <c r="G16" s="813">
        <v>2000</v>
      </c>
      <c r="H16" s="814">
        <v>1000</v>
      </c>
      <c r="I16" s="467"/>
      <c r="J16" s="813">
        <f t="shared" ref="J16:K16" si="1">G16</f>
        <v>2000</v>
      </c>
      <c r="K16" s="813">
        <f t="shared" si="1"/>
        <v>1000</v>
      </c>
      <c r="N16" s="815">
        <v>2200</v>
      </c>
      <c r="O16" s="470"/>
      <c r="P16" s="470"/>
      <c r="Q16" s="815">
        <v>1200</v>
      </c>
      <c r="R16" s="815">
        <v>1000</v>
      </c>
      <c r="S16" s="815">
        <v>1200</v>
      </c>
      <c r="T16" s="896">
        <v>1000</v>
      </c>
      <c r="AB16" s="5"/>
      <c r="AC16" s="5"/>
      <c r="AD16" s="5"/>
      <c r="AE16" s="5"/>
      <c r="AF16" s="5"/>
      <c r="AG16" s="5"/>
      <c r="AH16" s="5"/>
    </row>
    <row r="17" spans="1:34" ht="21.6" thickTop="1" x14ac:dyDescent="0.3">
      <c r="A17" s="837"/>
      <c r="B17" s="838"/>
      <c r="C17" s="833"/>
      <c r="D17" s="834"/>
      <c r="E17" s="519"/>
      <c r="F17" s="469"/>
      <c r="G17" s="813"/>
      <c r="H17" s="814"/>
      <c r="I17" s="467"/>
      <c r="J17" s="814"/>
      <c r="K17" s="814"/>
      <c r="N17" s="815"/>
      <c r="O17" s="470"/>
      <c r="P17" s="470"/>
      <c r="Q17" s="815"/>
      <c r="R17" s="815"/>
      <c r="S17" s="815"/>
      <c r="T17" s="897"/>
      <c r="W17" s="5"/>
      <c r="X17" s="5"/>
      <c r="AB17" s="5"/>
      <c r="AC17" s="5"/>
      <c r="AD17" s="5"/>
      <c r="AE17" s="5"/>
      <c r="AF17" s="5"/>
      <c r="AG17" s="5"/>
      <c r="AH17" s="5"/>
    </row>
    <row r="18" spans="1:34" ht="21.6" thickBot="1" x14ac:dyDescent="0.35">
      <c r="A18" s="835" t="s">
        <v>401</v>
      </c>
      <c r="B18" s="836"/>
      <c r="C18" s="831">
        <v>2</v>
      </c>
      <c r="D18" s="832"/>
      <c r="E18" s="519"/>
      <c r="F18" s="469"/>
      <c r="G18" s="813" t="s">
        <v>402</v>
      </c>
      <c r="H18" s="814" t="s">
        <v>402</v>
      </c>
      <c r="I18" s="467"/>
      <c r="J18" s="813" t="str">
        <f t="shared" ref="J18:K24" si="2">G18</f>
        <v>\</v>
      </c>
      <c r="K18" s="813" t="str">
        <f t="shared" si="2"/>
        <v>\</v>
      </c>
      <c r="N18" s="815" t="s">
        <v>402</v>
      </c>
      <c r="O18" s="470"/>
      <c r="P18" s="470"/>
      <c r="Q18" s="815" t="s">
        <v>402</v>
      </c>
      <c r="R18" s="815" t="s">
        <v>402</v>
      </c>
      <c r="S18" s="815" t="s">
        <v>402</v>
      </c>
      <c r="T18" s="896" t="s">
        <v>402</v>
      </c>
      <c r="AB18" s="5"/>
      <c r="AC18" s="5"/>
      <c r="AD18" s="5"/>
      <c r="AE18" s="5"/>
      <c r="AF18" s="5"/>
      <c r="AG18" s="5"/>
      <c r="AH18" s="5"/>
    </row>
    <row r="19" spans="1:34" ht="21.6" thickTop="1" x14ac:dyDescent="0.3">
      <c r="A19" s="841"/>
      <c r="B19" s="784"/>
      <c r="C19" s="833"/>
      <c r="D19" s="834"/>
      <c r="E19" s="519"/>
      <c r="F19" s="469"/>
      <c r="G19" s="813"/>
      <c r="H19" s="814"/>
      <c r="I19" s="467"/>
      <c r="J19" s="814"/>
      <c r="K19" s="814"/>
      <c r="N19" s="815"/>
      <c r="O19" s="470"/>
      <c r="P19" s="470"/>
      <c r="Q19" s="815"/>
      <c r="R19" s="815"/>
      <c r="S19" s="815"/>
      <c r="T19" s="897"/>
      <c r="AB19" s="1"/>
      <c r="AC19" s="1"/>
      <c r="AD19" s="1"/>
      <c r="AE19" s="1"/>
      <c r="AF19" s="1"/>
      <c r="AG19" s="1"/>
      <c r="AH19" s="1"/>
    </row>
    <row r="20" spans="1:34" ht="21.6" thickBot="1" x14ac:dyDescent="0.35">
      <c r="A20" s="590" t="s">
        <v>403</v>
      </c>
      <c r="B20" s="635"/>
      <c r="C20" s="842">
        <f>INT(C24/C16)+1</f>
        <v>9</v>
      </c>
      <c r="D20" s="810"/>
      <c r="E20" s="517"/>
      <c r="F20" s="467"/>
      <c r="G20" s="815">
        <f>INT(G24/G16)+1</f>
        <v>6</v>
      </c>
      <c r="H20" s="815">
        <f>INT(H24/H16)+1</f>
        <v>11</v>
      </c>
      <c r="I20" s="467"/>
      <c r="J20" s="815">
        <f>INT(J24/J16)+1</f>
        <v>6</v>
      </c>
      <c r="K20" s="815">
        <f>INT(K24/K16)+1</f>
        <v>11</v>
      </c>
      <c r="N20" s="815">
        <f>INT(N24/N16)+1</f>
        <v>5</v>
      </c>
      <c r="O20" s="82"/>
      <c r="P20" s="82"/>
      <c r="Q20" s="815">
        <f>INT(Q24/Q16)+1</f>
        <v>9</v>
      </c>
      <c r="R20" s="815">
        <f>INT(R24/R16)+1</f>
        <v>11</v>
      </c>
      <c r="S20" s="815">
        <f>INT(S24/S16)+1</f>
        <v>9</v>
      </c>
      <c r="T20" s="896">
        <f>INT(T24/T16)+1</f>
        <v>11</v>
      </c>
      <c r="AB20" s="5"/>
      <c r="AC20" s="5"/>
      <c r="AD20" s="5"/>
      <c r="AE20" s="5"/>
      <c r="AF20" s="5"/>
      <c r="AG20" s="5"/>
      <c r="AH20" s="5"/>
    </row>
    <row r="21" spans="1:34" ht="21.6" thickTop="1" x14ac:dyDescent="0.3">
      <c r="A21" s="590"/>
      <c r="B21" s="635"/>
      <c r="C21" s="817"/>
      <c r="D21" s="818"/>
      <c r="E21" s="517"/>
      <c r="F21" s="467"/>
      <c r="G21" s="815"/>
      <c r="H21" s="815"/>
      <c r="I21" s="467"/>
      <c r="J21" s="815"/>
      <c r="K21" s="815"/>
      <c r="N21" s="815"/>
      <c r="O21" s="82"/>
      <c r="P21" s="82"/>
      <c r="Q21" s="815"/>
      <c r="R21" s="815"/>
      <c r="S21" s="815"/>
      <c r="T21" s="897"/>
      <c r="AB21" s="5"/>
      <c r="AC21" s="5"/>
      <c r="AD21" s="5"/>
      <c r="AE21" s="5"/>
      <c r="AF21" s="5"/>
      <c r="AG21" s="5"/>
      <c r="AH21" s="5"/>
    </row>
    <row r="22" spans="1:34" ht="21.6" thickBot="1" x14ac:dyDescent="0.35">
      <c r="A22" s="590" t="s">
        <v>51</v>
      </c>
      <c r="B22" s="635"/>
      <c r="C22" s="843" t="s">
        <v>58</v>
      </c>
      <c r="D22" s="844"/>
      <c r="E22" s="520"/>
      <c r="F22" s="5"/>
      <c r="G22" s="813" t="s">
        <v>58</v>
      </c>
      <c r="H22" s="814" t="s">
        <v>404</v>
      </c>
      <c r="I22" s="467"/>
      <c r="J22" s="813" t="str">
        <f t="shared" si="2"/>
        <v>PEDANA</v>
      </c>
      <c r="K22" s="813" t="str">
        <f t="shared" si="2"/>
        <v>NORM</v>
      </c>
      <c r="N22" s="815" t="s">
        <v>405</v>
      </c>
      <c r="O22" s="82"/>
      <c r="P22" s="82"/>
      <c r="Q22" s="813" t="s">
        <v>58</v>
      </c>
      <c r="R22" s="815" t="s">
        <v>404</v>
      </c>
      <c r="S22" s="815" t="s">
        <v>405</v>
      </c>
      <c r="T22" s="896" t="s">
        <v>404</v>
      </c>
    </row>
    <row r="23" spans="1:34" ht="21.6" thickTop="1" x14ac:dyDescent="0.3">
      <c r="A23" s="590"/>
      <c r="B23" s="635"/>
      <c r="C23" s="845"/>
      <c r="D23" s="846"/>
      <c r="E23" s="520"/>
      <c r="F23" s="5"/>
      <c r="G23" s="813"/>
      <c r="H23" s="814"/>
      <c r="I23" s="467"/>
      <c r="J23" s="814"/>
      <c r="K23" s="814"/>
      <c r="N23" s="815"/>
      <c r="O23" s="82"/>
      <c r="P23" s="82"/>
      <c r="Q23" s="814"/>
      <c r="R23" s="815"/>
      <c r="S23" s="815"/>
      <c r="T23" s="897"/>
    </row>
    <row r="24" spans="1:34" ht="15" customHeight="1" thickBot="1" x14ac:dyDescent="0.35">
      <c r="A24" s="590" t="s">
        <v>406</v>
      </c>
      <c r="B24" s="590"/>
      <c r="C24" s="831">
        <v>10000</v>
      </c>
      <c r="D24" s="832"/>
      <c r="E24" s="520"/>
      <c r="F24" s="5"/>
      <c r="G24" s="898">
        <f>C24</f>
        <v>10000</v>
      </c>
      <c r="H24" s="895">
        <f>G24</f>
        <v>10000</v>
      </c>
      <c r="J24" s="813">
        <f t="shared" si="2"/>
        <v>10000</v>
      </c>
      <c r="K24" s="813">
        <f t="shared" si="2"/>
        <v>10000</v>
      </c>
      <c r="N24" s="815">
        <v>10000</v>
      </c>
      <c r="O24" s="82"/>
      <c r="P24" s="82"/>
      <c r="Q24" s="815">
        <v>10000</v>
      </c>
      <c r="R24" s="815">
        <v>10000</v>
      </c>
      <c r="S24" s="815">
        <v>10000</v>
      </c>
      <c r="T24" s="896">
        <v>10000</v>
      </c>
    </row>
    <row r="25" spans="1:34" ht="21" customHeight="1" thickTop="1" x14ac:dyDescent="0.3">
      <c r="A25" s="590"/>
      <c r="B25" s="590"/>
      <c r="C25" s="839"/>
      <c r="D25" s="840"/>
      <c r="E25" s="520"/>
      <c r="F25" s="5"/>
      <c r="G25" s="899"/>
      <c r="H25" s="895"/>
      <c r="J25" s="814"/>
      <c r="K25" s="814"/>
      <c r="N25" s="815"/>
      <c r="O25" s="82"/>
      <c r="P25" s="82"/>
      <c r="Q25" s="815"/>
      <c r="R25" s="815"/>
      <c r="S25" s="815"/>
      <c r="T25" s="897"/>
    </row>
    <row r="26" spans="1:34" ht="30" customHeight="1" x14ac:dyDescent="0.3">
      <c r="A26" s="590" t="s">
        <v>407</v>
      </c>
      <c r="B26" s="635"/>
      <c r="C26" s="895">
        <v>4000</v>
      </c>
      <c r="D26" s="895"/>
      <c r="E26" s="5"/>
      <c r="F26" s="5"/>
      <c r="G26" s="504">
        <f>C26</f>
        <v>4000</v>
      </c>
      <c r="H26" s="504">
        <f>G26</f>
        <v>4000</v>
      </c>
      <c r="J26" s="7">
        <v>4000</v>
      </c>
      <c r="K26" s="7">
        <v>4000</v>
      </c>
      <c r="L26" s="1"/>
      <c r="N26" s="518">
        <v>4000</v>
      </c>
      <c r="O26" s="82"/>
      <c r="P26" s="82"/>
      <c r="Q26" s="518">
        <v>4000</v>
      </c>
      <c r="R26" s="518">
        <v>4000</v>
      </c>
      <c r="S26" s="518">
        <v>4000</v>
      </c>
      <c r="T26" s="518">
        <v>4000</v>
      </c>
    </row>
    <row r="27" spans="1:34" ht="15" thickBot="1" x14ac:dyDescent="0.35"/>
    <row r="28" spans="1:34" ht="25.8" x14ac:dyDescent="0.3">
      <c r="E28" s="463"/>
      <c r="F28" s="463"/>
      <c r="G28" s="820" t="s">
        <v>408</v>
      </c>
      <c r="H28" s="821"/>
      <c r="I28" s="821"/>
      <c r="J28" s="821"/>
      <c r="K28" s="821"/>
      <c r="L28" s="821"/>
      <c r="M28" s="822"/>
    </row>
    <row r="29" spans="1:34" ht="26.4" thickBot="1" x14ac:dyDescent="0.35">
      <c r="E29" s="463"/>
      <c r="F29" s="463"/>
      <c r="G29" s="823"/>
      <c r="H29" s="824"/>
      <c r="I29" s="824"/>
      <c r="J29" s="824"/>
      <c r="K29" s="824"/>
      <c r="L29" s="824"/>
      <c r="M29" s="825"/>
    </row>
    <row r="30" spans="1:34" ht="25.95" customHeight="1" x14ac:dyDescent="0.3">
      <c r="A30" s="633" t="s">
        <v>378</v>
      </c>
      <c r="B30" s="634"/>
      <c r="C30" s="634"/>
      <c r="D30" s="638"/>
      <c r="G30" s="590" t="s">
        <v>379</v>
      </c>
      <c r="H30" s="590"/>
      <c r="J30" s="590" t="s">
        <v>380</v>
      </c>
      <c r="K30" s="590"/>
      <c r="N30" s="6" t="s">
        <v>381</v>
      </c>
      <c r="Q30" s="590" t="s">
        <v>382</v>
      </c>
      <c r="R30" s="590"/>
      <c r="S30" s="590"/>
      <c r="T30" s="590"/>
    </row>
    <row r="31" spans="1:34" ht="45.6" customHeight="1" x14ac:dyDescent="0.3">
      <c r="A31" s="690"/>
      <c r="B31" s="690"/>
      <c r="C31" s="807" t="s">
        <v>383</v>
      </c>
      <c r="D31" s="808"/>
      <c r="E31" s="515"/>
      <c r="F31" s="470"/>
      <c r="G31" s="6" t="s">
        <v>384</v>
      </c>
      <c r="H31" s="360" t="s">
        <v>385</v>
      </c>
      <c r="I31" s="69"/>
      <c r="J31" s="6" t="s">
        <v>384</v>
      </c>
      <c r="K31" s="360" t="s">
        <v>386</v>
      </c>
      <c r="N31" s="360" t="s">
        <v>387</v>
      </c>
      <c r="Q31" s="360" t="s">
        <v>388</v>
      </c>
      <c r="R31" s="360" t="s">
        <v>389</v>
      </c>
      <c r="S31" s="360" t="s">
        <v>390</v>
      </c>
      <c r="T31" s="360" t="s">
        <v>391</v>
      </c>
    </row>
    <row r="32" spans="1:34" ht="21" x14ac:dyDescent="0.3">
      <c r="A32" s="791" t="s">
        <v>409</v>
      </c>
      <c r="B32" s="792"/>
      <c r="C32" s="847">
        <f>((C14*2)+C26)*C12/1000000</f>
        <v>12.71</v>
      </c>
      <c r="D32" s="848"/>
      <c r="E32" s="521"/>
      <c r="F32" s="465"/>
      <c r="G32" s="789">
        <f>((2*G14)+G26)*G12/1000000</f>
        <v>12.462</v>
      </c>
      <c r="H32" s="789">
        <f>((2*H14)+H26)*H12/1000000</f>
        <v>5.1340000000000003</v>
      </c>
      <c r="J32" s="789">
        <f>((2*J14)+J26)*J12/1000000</f>
        <v>12.462</v>
      </c>
      <c r="K32" s="789">
        <f>((2*K14)+K26)*K12/1000000</f>
        <v>5.1340000000000003</v>
      </c>
      <c r="N32" s="789">
        <f>((2*N14)+N26)*N12/1000000</f>
        <v>12.462</v>
      </c>
      <c r="O32" s="82"/>
      <c r="P32" s="82"/>
      <c r="Q32" s="789">
        <f>((2*Q14)+Q26)*Q12/1000000</f>
        <v>12.462</v>
      </c>
      <c r="R32" s="789">
        <f>((2*R14)+R26)*R12/1000000</f>
        <v>5.1340000000000003</v>
      </c>
      <c r="S32" s="789">
        <f>((2*S14)+S26)*S12/1000000</f>
        <v>8.4420000000000002</v>
      </c>
      <c r="T32" s="789">
        <f t="shared" ref="T32" si="3">((2*T14)+T26)*T12/1000000</f>
        <v>5.984</v>
      </c>
    </row>
    <row r="33" spans="1:20" ht="21" x14ac:dyDescent="0.3">
      <c r="A33" s="793"/>
      <c r="B33" s="794"/>
      <c r="C33" s="849"/>
      <c r="D33" s="850"/>
      <c r="E33" s="521"/>
      <c r="F33" s="465"/>
      <c r="G33" s="789"/>
      <c r="H33" s="789"/>
      <c r="J33" s="789"/>
      <c r="K33" s="789"/>
      <c r="N33" s="789"/>
      <c r="O33" s="82"/>
      <c r="P33" s="82"/>
      <c r="Q33" s="789"/>
      <c r="R33" s="789"/>
      <c r="S33" s="789"/>
      <c r="T33" s="789"/>
    </row>
    <row r="34" spans="1:20" ht="21" x14ac:dyDescent="0.3">
      <c r="A34" s="590" t="s">
        <v>410</v>
      </c>
      <c r="B34" s="590"/>
      <c r="C34" s="814">
        <f>C20*2</f>
        <v>18</v>
      </c>
      <c r="D34" s="851"/>
      <c r="E34" s="517"/>
      <c r="F34" s="467"/>
      <c r="G34" s="852">
        <f>G20*2</f>
        <v>12</v>
      </c>
      <c r="H34" s="852">
        <f>H20*2</f>
        <v>22</v>
      </c>
      <c r="J34" s="852">
        <f>J20*2</f>
        <v>12</v>
      </c>
      <c r="K34" s="852">
        <f>K20*2</f>
        <v>22</v>
      </c>
      <c r="N34" s="852">
        <f>N20*2</f>
        <v>10</v>
      </c>
      <c r="O34" s="82"/>
      <c r="P34" s="82"/>
      <c r="Q34" s="852">
        <f>Q20*2</f>
        <v>18</v>
      </c>
      <c r="R34" s="852">
        <f>R20*2</f>
        <v>22</v>
      </c>
      <c r="S34" s="852">
        <f>S20*2</f>
        <v>18</v>
      </c>
      <c r="T34" s="852">
        <f t="shared" ref="T34" si="4">T20*2</f>
        <v>22</v>
      </c>
    </row>
    <row r="35" spans="1:20" ht="21" x14ac:dyDescent="0.3">
      <c r="A35" s="590"/>
      <c r="B35" s="590"/>
      <c r="C35" s="814"/>
      <c r="D35" s="851"/>
      <c r="E35" s="517"/>
      <c r="F35" s="467"/>
      <c r="G35" s="852"/>
      <c r="H35" s="852"/>
      <c r="J35" s="852"/>
      <c r="K35" s="852"/>
      <c r="N35" s="852"/>
      <c r="O35" s="82"/>
      <c r="P35" s="82"/>
      <c r="Q35" s="852"/>
      <c r="R35" s="852"/>
      <c r="S35" s="852"/>
      <c r="T35" s="852"/>
    </row>
    <row r="36" spans="1:20" ht="21" x14ac:dyDescent="0.3">
      <c r="A36" s="590" t="s">
        <v>411</v>
      </c>
      <c r="B36" s="590"/>
      <c r="C36" s="789">
        <f>C32/C34</f>
        <v>0.70611111111111113</v>
      </c>
      <c r="D36" s="863"/>
      <c r="E36" s="521"/>
      <c r="F36" s="465"/>
      <c r="G36" s="789">
        <f>G32/G34</f>
        <v>1.0385</v>
      </c>
      <c r="H36" s="789">
        <f>H32/H34</f>
        <v>0.23336363636363638</v>
      </c>
      <c r="J36" s="789">
        <f>J32/J34</f>
        <v>1.0385</v>
      </c>
      <c r="K36" s="789">
        <f>K32/K34</f>
        <v>0.23336363636363638</v>
      </c>
      <c r="N36" s="789">
        <f>N32/N34</f>
        <v>1.2462</v>
      </c>
      <c r="O36" s="82"/>
      <c r="P36" s="82"/>
      <c r="Q36" s="789">
        <f>Q32/Q34</f>
        <v>0.69233333333333336</v>
      </c>
      <c r="R36" s="789">
        <f>R32/R34</f>
        <v>0.23336363636363638</v>
      </c>
      <c r="S36" s="789">
        <f>S32/S34</f>
        <v>0.46900000000000003</v>
      </c>
      <c r="T36" s="789">
        <f t="shared" ref="T36" si="5">T32/T34</f>
        <v>0.27200000000000002</v>
      </c>
    </row>
    <row r="37" spans="1:20" ht="21" x14ac:dyDescent="0.3">
      <c r="A37" s="590"/>
      <c r="B37" s="590"/>
      <c r="C37" s="789"/>
      <c r="D37" s="863"/>
      <c r="E37" s="521"/>
      <c r="F37" s="465"/>
      <c r="G37" s="789"/>
      <c r="H37" s="789"/>
      <c r="J37" s="789"/>
      <c r="K37" s="789"/>
      <c r="N37" s="789"/>
      <c r="O37" s="82"/>
      <c r="P37" s="82"/>
      <c r="Q37" s="789"/>
      <c r="R37" s="789"/>
      <c r="S37" s="789"/>
      <c r="T37" s="789"/>
    </row>
    <row r="38" spans="1:20" ht="21" x14ac:dyDescent="0.3">
      <c r="A38" s="590" t="s">
        <v>412</v>
      </c>
      <c r="B38" s="590"/>
      <c r="C38" s="856">
        <f>(C32-((C14*2)*C12)/1000000)/C32</f>
        <v>0.48780487804878053</v>
      </c>
      <c r="D38" s="857"/>
      <c r="E38" s="522"/>
      <c r="F38" s="466"/>
      <c r="G38" s="856">
        <f>(G32-((G14*2)*G12)/1000000)/G32</f>
        <v>0.49751243781094528</v>
      </c>
      <c r="H38" s="856">
        <f>(H32-((H14*2)*H12)/1000000)/H32</f>
        <v>0.66225165562913912</v>
      </c>
      <c r="J38" s="856">
        <f>(J32-((J14*2)*J12)/1000000)/J32</f>
        <v>0.49751243781094528</v>
      </c>
      <c r="K38" s="856">
        <f>(K32-((K14*2)*K12)/1000000)/K32</f>
        <v>0.66225165562913912</v>
      </c>
      <c r="N38" s="856">
        <f>(N32-((N14*2)*N12)/1000000)/N32</f>
        <v>0.49751243781094528</v>
      </c>
      <c r="O38" s="82"/>
      <c r="P38" s="82"/>
      <c r="Q38" s="856">
        <f>(Q32-((Q14*2)*Q12)/1000000)/Q32</f>
        <v>0.49751243781094528</v>
      </c>
      <c r="R38" s="856">
        <f>(R32-((R14*2)*R12)/1000000)/R32</f>
        <v>0.66225165562913912</v>
      </c>
      <c r="S38" s="856">
        <f>(S32-((S14*2)*S12)/1000000)/S32</f>
        <v>0.49751243781094528</v>
      </c>
      <c r="T38" s="856">
        <f t="shared" ref="T38" si="6">(T32-((T14*2)*T12)/1000000)/T32</f>
        <v>0.56818181818181812</v>
      </c>
    </row>
    <row r="39" spans="1:20" ht="21" x14ac:dyDescent="0.3">
      <c r="A39" s="590"/>
      <c r="B39" s="590"/>
      <c r="C39" s="856"/>
      <c r="D39" s="857"/>
      <c r="E39" s="522"/>
      <c r="F39" s="466"/>
      <c r="G39" s="856"/>
      <c r="H39" s="856"/>
      <c r="J39" s="856"/>
      <c r="K39" s="856"/>
      <c r="N39" s="856"/>
      <c r="O39" s="82"/>
      <c r="P39" s="82"/>
      <c r="Q39" s="856"/>
      <c r="R39" s="856"/>
      <c r="S39" s="856"/>
      <c r="T39" s="856"/>
    </row>
    <row r="40" spans="1:20" ht="21" x14ac:dyDescent="0.3">
      <c r="A40" s="590" t="s">
        <v>413</v>
      </c>
      <c r="B40" s="590"/>
      <c r="C40" s="789">
        <f>C8*C36</f>
        <v>605.84333333333336</v>
      </c>
      <c r="D40" s="863"/>
      <c r="E40" s="521"/>
      <c r="F40" s="465"/>
      <c r="G40" s="789">
        <f>G36*G8</f>
        <v>35.284906799999995</v>
      </c>
      <c r="H40" s="789">
        <f>H36*H8</f>
        <v>9.6752563636363647</v>
      </c>
      <c r="J40" s="789">
        <f>J36*J8</f>
        <v>34.928493600000003</v>
      </c>
      <c r="K40" s="789">
        <f>K36*K8</f>
        <v>6.8608909090909096</v>
      </c>
      <c r="N40" s="789">
        <f>N36*N8</f>
        <v>259.29060299999998</v>
      </c>
      <c r="O40" s="82"/>
      <c r="P40" s="82"/>
      <c r="Q40" s="789">
        <f>Q36*Q8</f>
        <v>485.32566666666668</v>
      </c>
      <c r="R40" s="789">
        <f>R36*R8</f>
        <v>21.702818181818184</v>
      </c>
      <c r="S40" s="789">
        <f>S36*S8</f>
        <v>253.26000000000002</v>
      </c>
      <c r="T40" s="789">
        <f t="shared" ref="T40" si="7">T36*T8</f>
        <v>65.823999999999998</v>
      </c>
    </row>
    <row r="41" spans="1:20" ht="21" x14ac:dyDescent="0.3">
      <c r="A41" s="590"/>
      <c r="B41" s="590"/>
      <c r="C41" s="789"/>
      <c r="D41" s="863"/>
      <c r="E41" s="521"/>
      <c r="F41" s="465"/>
      <c r="G41" s="789"/>
      <c r="H41" s="789"/>
      <c r="J41" s="789"/>
      <c r="K41" s="789"/>
      <c r="N41" s="789"/>
      <c r="O41" s="82"/>
      <c r="P41" s="82"/>
      <c r="Q41" s="789"/>
      <c r="R41" s="789"/>
      <c r="S41" s="789"/>
      <c r="T41" s="789"/>
    </row>
    <row r="42" spans="1:20" ht="15" thickBot="1" x14ac:dyDescent="0.35"/>
    <row r="43" spans="1:20" ht="37.200000000000003" customHeight="1" thickBot="1" x14ac:dyDescent="0.35">
      <c r="G43" s="801" t="s">
        <v>414</v>
      </c>
      <c r="H43" s="802"/>
      <c r="I43" s="802"/>
      <c r="J43" s="802"/>
      <c r="K43" s="802"/>
      <c r="L43" s="802"/>
      <c r="M43" s="803"/>
    </row>
    <row r="44" spans="1:20" x14ac:dyDescent="0.3">
      <c r="C44" s="82"/>
      <c r="D44" s="82"/>
      <c r="E44" s="82"/>
      <c r="F44" s="82"/>
    </row>
    <row r="45" spans="1:20" ht="21" x14ac:dyDescent="0.3">
      <c r="A45" s="600" t="s">
        <v>415</v>
      </c>
      <c r="B45" s="600"/>
      <c r="C45" s="789">
        <f>SQRT((3/2)*C40)</f>
        <v>30.145729382451506</v>
      </c>
      <c r="D45" s="789"/>
      <c r="E45" s="521"/>
      <c r="F45" s="465"/>
      <c r="G45" s="789">
        <f>SQRT((3/2)*G40)</f>
        <v>7.2751192567544898</v>
      </c>
      <c r="H45" s="789">
        <f>SQRT((3/2)*H40)</f>
        <v>3.8095780009673703</v>
      </c>
      <c r="J45" s="789">
        <f>SQRT((3/2)*J40)</f>
        <v>7.2382829731919163</v>
      </c>
      <c r="K45" s="789">
        <f>SQRT((3/2)*K40)</f>
        <v>3.2080112786018016</v>
      </c>
      <c r="N45" s="789">
        <f>SQRT((3/2)*N40)</f>
        <v>19.721457970951334</v>
      </c>
      <c r="O45" s="470"/>
      <c r="P45" s="470"/>
      <c r="Q45" s="789">
        <f>SQRT((3/2)*Q40)</f>
        <v>26.981262016443932</v>
      </c>
      <c r="R45" s="789">
        <f>SQRT((3/2)*R40)</f>
        <v>5.7056311896868408</v>
      </c>
      <c r="S45" s="789">
        <f>SQRT((3/2)*S40)</f>
        <v>19.490767044936945</v>
      </c>
      <c r="T45" s="789">
        <f t="shared" ref="T45" si="8">SQRT((3/2)*T40)</f>
        <v>9.9365990157598691</v>
      </c>
    </row>
    <row r="46" spans="1:20" ht="21" x14ac:dyDescent="0.3">
      <c r="A46" s="600"/>
      <c r="B46" s="600"/>
      <c r="C46" s="789"/>
      <c r="D46" s="789"/>
      <c r="E46" s="521"/>
      <c r="F46" s="465"/>
      <c r="G46" s="789"/>
      <c r="H46" s="789"/>
      <c r="J46" s="789"/>
      <c r="K46" s="789"/>
      <c r="N46" s="789"/>
      <c r="O46" s="470"/>
      <c r="P46" s="470"/>
      <c r="Q46" s="789"/>
      <c r="R46" s="789"/>
      <c r="S46" s="789"/>
      <c r="T46" s="789"/>
    </row>
    <row r="47" spans="1:20" ht="21" x14ac:dyDescent="0.3">
      <c r="A47" s="600" t="s">
        <v>416</v>
      </c>
      <c r="B47" s="600"/>
      <c r="C47" s="789">
        <f>2*C45/3</f>
        <v>20.097152921634336</v>
      </c>
      <c r="D47" s="863"/>
      <c r="E47" s="521"/>
      <c r="F47" s="465"/>
      <c r="G47" s="789">
        <f>2*G45/3</f>
        <v>4.8500795045029932</v>
      </c>
      <c r="H47" s="789">
        <f>2*H45/3</f>
        <v>2.5397186673115804</v>
      </c>
      <c r="J47" s="789">
        <f>2*J45/3</f>
        <v>4.8255219821279445</v>
      </c>
      <c r="K47" s="789">
        <f>2*K45/3</f>
        <v>2.1386741857345344</v>
      </c>
      <c r="N47" s="789">
        <f>2*N45/3</f>
        <v>13.147638647300889</v>
      </c>
      <c r="O47" s="470"/>
      <c r="P47" s="470"/>
      <c r="Q47" s="789">
        <f>2*Q45/3</f>
        <v>17.987508010962621</v>
      </c>
      <c r="R47" s="789">
        <f>2*R45/3</f>
        <v>3.803754126457894</v>
      </c>
      <c r="S47" s="789">
        <f>2*S45/3</f>
        <v>12.993844696624629</v>
      </c>
      <c r="T47" s="789">
        <f t="shared" ref="T47" si="9">2*T45/3</f>
        <v>6.6243993438399125</v>
      </c>
    </row>
    <row r="48" spans="1:20" ht="21" x14ac:dyDescent="0.3">
      <c r="A48" s="600"/>
      <c r="B48" s="600"/>
      <c r="C48" s="789"/>
      <c r="D48" s="863"/>
      <c r="E48" s="521"/>
      <c r="F48" s="465"/>
      <c r="G48" s="789"/>
      <c r="H48" s="789"/>
      <c r="J48" s="789"/>
      <c r="K48" s="789"/>
      <c r="N48" s="789"/>
      <c r="O48" s="470"/>
      <c r="P48" s="470"/>
      <c r="Q48" s="789"/>
      <c r="R48" s="789"/>
      <c r="S48" s="789"/>
      <c r="T48" s="789"/>
    </row>
    <row r="49" spans="1:22" ht="21" customHeight="1" x14ac:dyDescent="0.4">
      <c r="A49" s="600" t="s">
        <v>417</v>
      </c>
      <c r="B49" s="600"/>
      <c r="C49" s="865">
        <f>_xlfn.CEILING.MATH(C45/((C26+(2*C14))/1000))</f>
        <v>4</v>
      </c>
      <c r="D49" s="866"/>
      <c r="E49" s="523"/>
      <c r="F49" s="524"/>
      <c r="G49" s="814">
        <f>_xlfn.CEILING.MATH(G45/((G26+(2*G14))/1000))</f>
        <v>1</v>
      </c>
      <c r="H49" s="814">
        <f>_xlfn.CEILING.MATH(H45/((H26+(2*H14))/1000))</f>
        <v>1</v>
      </c>
      <c r="J49" s="814">
        <f>_xlfn.CEILING.MATH(J45/((J26+(2*J14))/1000))</f>
        <v>1</v>
      </c>
      <c r="K49" s="814">
        <f>_xlfn.CEILING.MATH(K45/((K26+(2*K14))/1000))</f>
        <v>1</v>
      </c>
      <c r="N49" s="814">
        <f>_xlfn.CEILING.MATH(N45/((N26+(2*N14))/1000))</f>
        <v>3</v>
      </c>
      <c r="O49" s="470"/>
      <c r="P49" s="470"/>
      <c r="Q49" s="814">
        <f>_xlfn.CEILING.MATH(Q45/((Q26+(2*Q14))/1000))</f>
        <v>4</v>
      </c>
      <c r="R49" s="814">
        <f>_xlfn.CEILING.MATH(R45/((R26+(2*R14))/1000))</f>
        <v>1</v>
      </c>
      <c r="S49" s="814">
        <f>_xlfn.CEILING.MATH(S45/((S26+(2*S14))/1000))</f>
        <v>3</v>
      </c>
      <c r="T49" s="814">
        <f t="shared" ref="T49" si="10">_xlfn.CEILING.MATH(T45/((T26+(2*T14))/1000))</f>
        <v>2</v>
      </c>
    </row>
    <row r="50" spans="1:22" ht="21" x14ac:dyDescent="0.4">
      <c r="A50" s="600"/>
      <c r="B50" s="600"/>
      <c r="C50" s="867"/>
      <c r="D50" s="868"/>
      <c r="E50" s="523"/>
      <c r="F50" s="524"/>
      <c r="G50" s="814"/>
      <c r="H50" s="814"/>
      <c r="J50" s="814"/>
      <c r="K50" s="814"/>
      <c r="N50" s="814"/>
      <c r="O50" s="470"/>
      <c r="P50" s="470"/>
      <c r="Q50" s="814"/>
      <c r="R50" s="814"/>
      <c r="S50" s="814"/>
      <c r="T50" s="814"/>
    </row>
    <row r="51" spans="1:22" ht="21" x14ac:dyDescent="0.4">
      <c r="A51" s="889" t="s">
        <v>418</v>
      </c>
      <c r="B51" s="889"/>
      <c r="C51" s="885">
        <f>C49*((C26/1000)+(2*(C14/1000)))</f>
        <v>32.799999999999997</v>
      </c>
      <c r="D51" s="886"/>
      <c r="E51" s="523"/>
      <c r="F51" s="524"/>
      <c r="G51" s="864">
        <f>G49*((G26/1000)+(2*(G14/1000)))</f>
        <v>8.0399999999999991</v>
      </c>
      <c r="H51" s="864">
        <f>H49*((H26/1000)+(2*(H14/1000)))</f>
        <v>6.04</v>
      </c>
      <c r="J51" s="864">
        <f>J49*((J26/1000)+(2*(J14/1000)))</f>
        <v>8.0399999999999991</v>
      </c>
      <c r="K51" s="864">
        <f>K49*((K26/1000)+(2*(K14/1000)))</f>
        <v>6.04</v>
      </c>
      <c r="N51" s="864">
        <f>N49*((N26/1000)+(2*(N14/1000)))</f>
        <v>24.119999999999997</v>
      </c>
      <c r="O51" s="470"/>
      <c r="P51" s="470"/>
      <c r="Q51" s="864">
        <f>Q49*((Q26/1000)+(2*(Q14/1000)))</f>
        <v>32.159999999999997</v>
      </c>
      <c r="R51" s="864">
        <f>R49*((R26/1000)+(2*(R14/1000)))</f>
        <v>6.04</v>
      </c>
      <c r="S51" s="864">
        <f>S49*((S26/1000)+(2*(S14/1000)))</f>
        <v>24.119999999999997</v>
      </c>
      <c r="T51" s="864">
        <f t="shared" ref="T51" si="11">T49*((T26/1000)+(2*(T14/1000)))</f>
        <v>14.08</v>
      </c>
    </row>
    <row r="52" spans="1:22" ht="21" x14ac:dyDescent="0.4">
      <c r="A52" s="889"/>
      <c r="B52" s="889"/>
      <c r="C52" s="887"/>
      <c r="D52" s="888"/>
      <c r="E52" s="523"/>
      <c r="F52" s="524"/>
      <c r="G52" s="864"/>
      <c r="H52" s="864"/>
      <c r="J52" s="864"/>
      <c r="K52" s="864"/>
      <c r="N52" s="864"/>
      <c r="O52" s="470"/>
      <c r="P52" s="470"/>
      <c r="Q52" s="864"/>
      <c r="R52" s="864"/>
      <c r="S52" s="864"/>
      <c r="T52" s="864"/>
    </row>
    <row r="53" spans="1:22" ht="21" customHeight="1" x14ac:dyDescent="0.4">
      <c r="A53" s="770" t="s">
        <v>419</v>
      </c>
      <c r="B53" s="771"/>
      <c r="C53" s="865">
        <f>_xlfn.CEILING.MATH(C8/(C49*2*C20))</f>
        <v>12</v>
      </c>
      <c r="D53" s="866"/>
      <c r="E53" s="523"/>
      <c r="F53" s="524"/>
      <c r="G53" s="814">
        <f>_xlfn.CEILING.MATH(G8/(G49*2*G20))</f>
        <v>3</v>
      </c>
      <c r="H53" s="814">
        <f>_xlfn.CEILING.MATH(H8/(H49*2*H20))</f>
        <v>2</v>
      </c>
      <c r="J53" s="814">
        <f>_xlfn.CEILING.MATH(J8/(J49*2*J20))</f>
        <v>3</v>
      </c>
      <c r="K53" s="814">
        <f>_xlfn.CEILING.MATH(K8/(K49*2*K20))</f>
        <v>2</v>
      </c>
      <c r="N53" s="814">
        <f>_xlfn.CEILING.MATH(N8/(N49*2*N20))</f>
        <v>7</v>
      </c>
      <c r="O53" s="470"/>
      <c r="P53" s="470"/>
      <c r="Q53" s="814">
        <f>_xlfn.CEILING.MATH(Q8/(Q49*2*Q20))</f>
        <v>10</v>
      </c>
      <c r="R53" s="814">
        <f>_xlfn.CEILING.MATH(R8/(R49*2*R20))</f>
        <v>5</v>
      </c>
      <c r="S53" s="814">
        <f>_xlfn.CEILING.MATH(S8/(S49*2*S20))</f>
        <v>10</v>
      </c>
      <c r="T53" s="814">
        <f t="shared" ref="T53" si="12">_xlfn.CEILING.MATH(T8/(T49*2*T20))</f>
        <v>6</v>
      </c>
    </row>
    <row r="54" spans="1:22" ht="21" x14ac:dyDescent="0.4">
      <c r="A54" s="774"/>
      <c r="B54" s="778"/>
      <c r="C54" s="867"/>
      <c r="D54" s="868"/>
      <c r="E54" s="523"/>
      <c r="F54" s="524"/>
      <c r="G54" s="814"/>
      <c r="H54" s="814"/>
      <c r="J54" s="814"/>
      <c r="K54" s="814"/>
      <c r="N54" s="814"/>
      <c r="O54" s="470"/>
      <c r="P54" s="470"/>
      <c r="Q54" s="814"/>
      <c r="R54" s="814"/>
      <c r="S54" s="814"/>
      <c r="T54" s="814"/>
    </row>
    <row r="55" spans="1:22" ht="21" x14ac:dyDescent="0.4">
      <c r="A55" s="881" t="s">
        <v>420</v>
      </c>
      <c r="B55" s="882"/>
      <c r="C55" s="885">
        <f>C53*C12/1000</f>
        <v>18.600000000000001</v>
      </c>
      <c r="D55" s="886"/>
      <c r="E55" s="523"/>
      <c r="F55" s="524"/>
      <c r="G55" s="864">
        <f>G53*G12/1000</f>
        <v>4.6500000000000004</v>
      </c>
      <c r="H55" s="864">
        <f>H53*H12/1000</f>
        <v>1.7</v>
      </c>
      <c r="J55" s="864">
        <f>J53*J12/1000</f>
        <v>4.6500000000000004</v>
      </c>
      <c r="K55" s="864">
        <f>K53*K12/1000</f>
        <v>1.7</v>
      </c>
      <c r="N55" s="864">
        <f>N53*N12/1000</f>
        <v>10.85</v>
      </c>
      <c r="O55" s="470"/>
      <c r="P55" s="470"/>
      <c r="Q55" s="864">
        <f>Q53*Q12/1000</f>
        <v>15.5</v>
      </c>
      <c r="R55" s="864">
        <f>R53*R12/1000</f>
        <v>4.25</v>
      </c>
      <c r="S55" s="864">
        <f>S53*S12/1000</f>
        <v>10.5</v>
      </c>
      <c r="T55" s="864">
        <f t="shared" ref="T55" si="13">T53*T12/1000</f>
        <v>5.0999999999999996</v>
      </c>
    </row>
    <row r="56" spans="1:22" ht="21" x14ac:dyDescent="0.4">
      <c r="A56" s="883"/>
      <c r="B56" s="884"/>
      <c r="C56" s="887"/>
      <c r="D56" s="888"/>
      <c r="E56" s="523"/>
      <c r="F56" s="524"/>
      <c r="G56" s="864"/>
      <c r="H56" s="864"/>
      <c r="J56" s="864"/>
      <c r="K56" s="864"/>
      <c r="N56" s="864"/>
      <c r="O56" s="470"/>
      <c r="P56" s="470"/>
      <c r="Q56" s="864"/>
      <c r="R56" s="864"/>
      <c r="S56" s="864"/>
      <c r="T56" s="864"/>
    </row>
    <row r="57" spans="1:22" ht="21" x14ac:dyDescent="0.4">
      <c r="A57" s="770" t="s">
        <v>421</v>
      </c>
      <c r="B57" s="771"/>
      <c r="C57" s="869">
        <f>2*C49*C53*C20</f>
        <v>864</v>
      </c>
      <c r="D57" s="870"/>
      <c r="E57" s="525"/>
      <c r="F57" s="451"/>
      <c r="G57" s="814">
        <f>2*G49*G53*G20</f>
        <v>36</v>
      </c>
      <c r="H57" s="814">
        <f>2*H49*H53*H20</f>
        <v>44</v>
      </c>
      <c r="J57" s="814">
        <f>2*J49*J53*J20</f>
        <v>36</v>
      </c>
      <c r="K57" s="814">
        <f>2*K49*K53*K20</f>
        <v>44</v>
      </c>
      <c r="N57" s="814">
        <f>2*N49*N53*N20</f>
        <v>210</v>
      </c>
      <c r="O57" s="470"/>
      <c r="P57" s="470"/>
      <c r="Q57" s="814">
        <f>2*Q49*Q53*Q20</f>
        <v>720</v>
      </c>
      <c r="R57" s="814">
        <f>2*R49*R53*R20</f>
        <v>110</v>
      </c>
      <c r="S57" s="814">
        <f>2*S49*S53*S20</f>
        <v>540</v>
      </c>
      <c r="T57" s="814">
        <f t="shared" ref="T57" si="14">2*T49*T53*T20</f>
        <v>264</v>
      </c>
    </row>
    <row r="58" spans="1:22" ht="21" x14ac:dyDescent="0.4">
      <c r="A58" s="774"/>
      <c r="B58" s="778"/>
      <c r="C58" s="871"/>
      <c r="D58" s="872"/>
      <c r="E58" s="525"/>
      <c r="F58" s="451"/>
      <c r="G58" s="814"/>
      <c r="H58" s="814"/>
      <c r="J58" s="814"/>
      <c r="K58" s="814"/>
      <c r="N58" s="814"/>
      <c r="O58" s="470"/>
      <c r="P58" s="470"/>
      <c r="Q58" s="814"/>
      <c r="R58" s="814"/>
      <c r="S58" s="814"/>
      <c r="T58" s="814"/>
    </row>
    <row r="59" spans="1:22" ht="21" customHeight="1" x14ac:dyDescent="0.45">
      <c r="A59" s="873" t="s">
        <v>422</v>
      </c>
      <c r="B59" s="874"/>
      <c r="C59" s="877">
        <f>C51*C55</f>
        <v>610.08000000000004</v>
      </c>
      <c r="D59" s="878"/>
      <c r="E59" s="525"/>
      <c r="F59" s="451"/>
      <c r="G59" s="859">
        <f>G51*G55</f>
        <v>37.385999999999996</v>
      </c>
      <c r="H59" s="859">
        <f>H51*H55</f>
        <v>10.267999999999999</v>
      </c>
      <c r="J59" s="859">
        <f>J51*J55</f>
        <v>37.385999999999996</v>
      </c>
      <c r="K59" s="859">
        <f>K51*K55</f>
        <v>10.267999999999999</v>
      </c>
      <c r="N59" s="859">
        <f>N51*N55</f>
        <v>261.70199999999994</v>
      </c>
      <c r="O59" s="470"/>
      <c r="P59" s="470"/>
      <c r="Q59" s="859">
        <f>Q51*Q55</f>
        <v>498.47999999999996</v>
      </c>
      <c r="R59" s="859">
        <f>R51*R55</f>
        <v>25.67</v>
      </c>
      <c r="S59" s="859">
        <f>S51*S55</f>
        <v>253.25999999999996</v>
      </c>
      <c r="T59" s="859">
        <f t="shared" ref="T59" si="15">T51*T55</f>
        <v>71.807999999999993</v>
      </c>
      <c r="V59" s="577"/>
    </row>
    <row r="60" spans="1:22" ht="21" x14ac:dyDescent="0.4">
      <c r="A60" s="875"/>
      <c r="B60" s="876"/>
      <c r="C60" s="879"/>
      <c r="D60" s="880"/>
      <c r="E60" s="525"/>
      <c r="F60" s="451"/>
      <c r="G60" s="859"/>
      <c r="H60" s="859"/>
      <c r="J60" s="859"/>
      <c r="K60" s="859"/>
      <c r="N60" s="859"/>
      <c r="O60" s="470"/>
      <c r="P60" s="470"/>
      <c r="Q60" s="859"/>
      <c r="R60" s="859"/>
      <c r="S60" s="859"/>
      <c r="T60" s="859"/>
    </row>
    <row r="61" spans="1:22" ht="14.4" customHeight="1" x14ac:dyDescent="0.3">
      <c r="A61" s="590" t="s">
        <v>423</v>
      </c>
      <c r="B61" s="590"/>
      <c r="C61" s="804">
        <f>C51/C55</f>
        <v>1.7634408602150535</v>
      </c>
      <c r="D61" s="804"/>
      <c r="G61" s="893">
        <f>G51/G55</f>
        <v>1.7290322580645159</v>
      </c>
      <c r="H61" s="893">
        <f>H51/H55</f>
        <v>3.5529411764705885</v>
      </c>
      <c r="J61" s="893">
        <f>J51/J55</f>
        <v>1.7290322580645159</v>
      </c>
      <c r="K61" s="893">
        <f>K51/K55</f>
        <v>3.5529411764705885</v>
      </c>
      <c r="N61" s="893">
        <f>N51/N55</f>
        <v>2.2230414746543778</v>
      </c>
      <c r="Q61" s="893">
        <f>Q51/Q55</f>
        <v>2.0748387096774192</v>
      </c>
      <c r="R61" s="893">
        <f>R51/R55</f>
        <v>1.4211764705882353</v>
      </c>
      <c r="S61" s="893">
        <f>S51/S55</f>
        <v>2.2971428571428567</v>
      </c>
      <c r="T61" s="893">
        <f t="shared" ref="T61" si="16">T51/T55</f>
        <v>2.7607843137254906</v>
      </c>
    </row>
    <row r="62" spans="1:22" ht="14.4" customHeight="1" x14ac:dyDescent="0.3">
      <c r="A62" s="590"/>
      <c r="B62" s="590"/>
      <c r="C62" s="804"/>
      <c r="D62" s="804"/>
      <c r="G62" s="894"/>
      <c r="H62" s="894"/>
      <c r="J62" s="894"/>
      <c r="K62" s="894"/>
      <c r="N62" s="894"/>
      <c r="Q62" s="894"/>
      <c r="R62" s="894"/>
      <c r="S62" s="894"/>
      <c r="T62" s="894"/>
    </row>
    <row r="66" spans="1:41" ht="46.2" x14ac:dyDescent="0.3">
      <c r="A66" s="471"/>
      <c r="B66" s="471"/>
      <c r="C66" s="471"/>
      <c r="D66" s="471"/>
      <c r="E66" s="471"/>
      <c r="F66" s="471"/>
      <c r="G66" s="471"/>
      <c r="H66" s="471"/>
      <c r="I66" s="471"/>
      <c r="J66" s="471"/>
      <c r="K66" s="471"/>
      <c r="L66" s="471"/>
      <c r="M66" s="471"/>
      <c r="N66" s="471"/>
      <c r="O66" s="471"/>
      <c r="P66" s="471"/>
      <c r="Q66" s="471"/>
      <c r="R66" s="471"/>
      <c r="S66" s="471"/>
      <c r="T66" s="471"/>
      <c r="U66" s="471"/>
      <c r="V66" s="471"/>
      <c r="W66" s="471"/>
      <c r="X66" s="471"/>
      <c r="Y66" s="471"/>
      <c r="Z66" s="471"/>
      <c r="AA66" s="471"/>
      <c r="AB66" s="471"/>
      <c r="AC66" s="471"/>
      <c r="AD66" s="471"/>
      <c r="AE66" s="471"/>
      <c r="AF66" s="471"/>
      <c r="AG66" s="471"/>
      <c r="AH66" s="471"/>
      <c r="AI66" s="471"/>
      <c r="AJ66" s="471"/>
      <c r="AK66" s="471"/>
      <c r="AL66" s="471"/>
      <c r="AM66" s="471"/>
      <c r="AN66" s="471"/>
      <c r="AO66" s="471"/>
    </row>
    <row r="68" spans="1:41" ht="15.6" x14ac:dyDescent="0.3">
      <c r="A68" s="217"/>
      <c r="B68" s="217"/>
      <c r="C68" s="481"/>
      <c r="D68" s="481"/>
    </row>
    <row r="69" spans="1:41" ht="28.8" x14ac:dyDescent="0.55000000000000004">
      <c r="A69" s="217"/>
      <c r="B69" s="217"/>
      <c r="C69" s="481"/>
      <c r="D69" s="481"/>
      <c r="X69" s="464"/>
      <c r="Y69" s="464"/>
      <c r="Z69" s="464"/>
      <c r="AA69" s="464"/>
      <c r="AB69" s="464"/>
      <c r="AC69" s="464"/>
      <c r="AD69" s="464"/>
      <c r="AE69" s="464"/>
      <c r="AF69" s="464"/>
      <c r="AG69" s="464"/>
      <c r="AH69" s="464"/>
      <c r="AI69" s="464"/>
    </row>
    <row r="70" spans="1:41" ht="28.8" x14ac:dyDescent="0.55000000000000004">
      <c r="A70" s="217"/>
      <c r="B70" s="217"/>
      <c r="C70" s="481"/>
      <c r="D70" s="481"/>
      <c r="X70" s="464"/>
      <c r="Y70" s="464"/>
      <c r="Z70" s="464"/>
      <c r="AA70" s="464"/>
      <c r="AB70" s="464"/>
      <c r="AC70" s="464"/>
      <c r="AD70" s="464"/>
      <c r="AE70" s="464"/>
      <c r="AF70" s="464"/>
      <c r="AG70" s="464"/>
      <c r="AH70" s="464"/>
      <c r="AI70" s="464"/>
    </row>
    <row r="71" spans="1:41" ht="28.8" x14ac:dyDescent="0.55000000000000004">
      <c r="A71" s="217"/>
      <c r="B71" s="217"/>
      <c r="X71" s="464"/>
      <c r="Y71" s="464"/>
      <c r="Z71" s="464"/>
      <c r="AA71" s="464"/>
      <c r="AB71" s="464"/>
      <c r="AC71" s="464"/>
      <c r="AD71" s="464"/>
      <c r="AE71" s="464"/>
      <c r="AF71" s="464"/>
      <c r="AG71" s="464"/>
      <c r="AH71" s="464"/>
      <c r="AI71" s="464"/>
    </row>
    <row r="72" spans="1:41" ht="28.8" x14ac:dyDescent="0.55000000000000004">
      <c r="A72" s="217"/>
      <c r="B72" s="217"/>
      <c r="C72" s="571"/>
      <c r="D72" s="571"/>
      <c r="X72" s="464"/>
      <c r="Y72" s="464"/>
      <c r="Z72" s="464"/>
      <c r="AA72" s="464"/>
      <c r="AB72" s="464"/>
      <c r="AC72" s="464"/>
      <c r="AD72" s="464"/>
      <c r="AE72" s="464"/>
      <c r="AF72" s="464"/>
      <c r="AG72" s="464"/>
      <c r="AH72" s="464"/>
      <c r="AI72" s="464"/>
    </row>
    <row r="73" spans="1:41" ht="28.8" x14ac:dyDescent="0.55000000000000004">
      <c r="A73" s="217"/>
      <c r="B73" s="217"/>
      <c r="C73" s="481"/>
      <c r="D73" s="481"/>
      <c r="X73" s="464"/>
      <c r="Y73" s="464"/>
      <c r="Z73" s="464"/>
      <c r="AA73" s="464"/>
      <c r="AB73" s="464"/>
      <c r="AC73" s="464"/>
      <c r="AD73" s="464"/>
      <c r="AE73" s="464"/>
      <c r="AF73" s="464"/>
      <c r="AG73" s="464"/>
      <c r="AH73" s="464"/>
      <c r="AI73" s="464"/>
    </row>
    <row r="74" spans="1:41" ht="28.8" x14ac:dyDescent="0.55000000000000004">
      <c r="A74" s="217"/>
      <c r="B74" s="217"/>
      <c r="C74" s="481"/>
      <c r="D74" s="481"/>
      <c r="X74" s="464"/>
      <c r="Y74" s="464"/>
      <c r="Z74" s="464"/>
      <c r="AA74" s="464"/>
      <c r="AB74" s="464"/>
      <c r="AC74" s="464"/>
      <c r="AD74" s="464"/>
      <c r="AE74" s="464"/>
      <c r="AF74" s="464"/>
      <c r="AG74" s="464"/>
      <c r="AH74" s="464"/>
      <c r="AI74" s="464"/>
    </row>
    <row r="75" spans="1:41" ht="28.8" x14ac:dyDescent="0.55000000000000004">
      <c r="A75" s="217"/>
      <c r="B75" s="217"/>
      <c r="C75" s="481"/>
      <c r="D75" s="481"/>
      <c r="X75" s="464"/>
      <c r="Y75" s="464"/>
      <c r="Z75" s="464"/>
      <c r="AA75" s="464"/>
      <c r="AB75" s="464"/>
      <c r="AC75" s="464"/>
      <c r="AD75" s="464"/>
      <c r="AE75" s="464"/>
      <c r="AF75" s="464"/>
      <c r="AG75" s="464"/>
      <c r="AH75" s="464"/>
      <c r="AI75" s="464"/>
    </row>
    <row r="76" spans="1:41" ht="28.8" x14ac:dyDescent="0.55000000000000004">
      <c r="A76" s="217"/>
      <c r="B76" s="217"/>
      <c r="C76" s="481"/>
      <c r="D76" s="481"/>
      <c r="X76" s="464"/>
      <c r="Y76" s="464"/>
      <c r="Z76" s="464"/>
      <c r="AA76" s="464"/>
      <c r="AB76" s="464"/>
      <c r="AC76" s="464"/>
      <c r="AD76" s="464"/>
      <c r="AE76" s="464"/>
      <c r="AF76" s="464"/>
      <c r="AG76" s="464"/>
      <c r="AH76" s="464"/>
      <c r="AI76" s="464"/>
    </row>
    <row r="77" spans="1:41" ht="28.8" x14ac:dyDescent="0.55000000000000004">
      <c r="X77" s="464"/>
      <c r="Y77" s="464"/>
      <c r="Z77" s="464"/>
      <c r="AA77" s="464"/>
      <c r="AB77" s="464"/>
      <c r="AC77" s="464"/>
      <c r="AD77" s="464"/>
      <c r="AE77" s="464"/>
      <c r="AF77" s="464"/>
      <c r="AG77" s="464"/>
      <c r="AH77" s="464"/>
      <c r="AI77" s="464"/>
    </row>
    <row r="78" spans="1:41" ht="28.8" x14ac:dyDescent="0.55000000000000004">
      <c r="A78" s="528"/>
      <c r="B78" s="528"/>
      <c r="C78" s="528"/>
      <c r="D78" s="528"/>
      <c r="E78" s="528"/>
      <c r="F78" s="528"/>
      <c r="G78" s="82"/>
      <c r="H78" s="82"/>
      <c r="J78" s="82"/>
      <c r="K78" s="82"/>
      <c r="N78" s="13"/>
      <c r="O78" s="1"/>
      <c r="Q78" s="69"/>
      <c r="R78" s="69"/>
      <c r="S78" s="69"/>
      <c r="T78" s="69"/>
      <c r="X78" s="464"/>
      <c r="Y78" s="464"/>
      <c r="Z78" s="464"/>
      <c r="AA78" s="464"/>
      <c r="AB78" s="464"/>
      <c r="AC78" s="464"/>
      <c r="AD78" s="464"/>
      <c r="AE78" s="464"/>
      <c r="AF78" s="464"/>
      <c r="AG78" s="464"/>
      <c r="AH78" s="464"/>
      <c r="AI78" s="464"/>
    </row>
    <row r="79" spans="1:41" ht="28.8" x14ac:dyDescent="0.55000000000000004">
      <c r="X79" s="464"/>
      <c r="Y79" s="464"/>
      <c r="Z79" s="464"/>
      <c r="AA79" s="464"/>
      <c r="AB79" s="464"/>
      <c r="AC79" s="464"/>
      <c r="AD79" s="464"/>
      <c r="AE79" s="464"/>
      <c r="AF79" s="464"/>
      <c r="AG79" s="464"/>
      <c r="AH79" s="464"/>
      <c r="AI79" s="464"/>
    </row>
    <row r="80" spans="1:41" ht="49.2" customHeight="1" x14ac:dyDescent="0.55000000000000004">
      <c r="C80" s="470"/>
      <c r="D80" s="470"/>
      <c r="E80" s="470"/>
      <c r="F80" s="470"/>
      <c r="G80" s="13"/>
      <c r="H80" s="25"/>
      <c r="J80" s="13"/>
      <c r="K80" s="25"/>
      <c r="N80" s="25"/>
      <c r="Q80" s="25"/>
      <c r="R80" s="25"/>
      <c r="S80" s="25"/>
      <c r="T80" s="25"/>
      <c r="X80" s="464"/>
      <c r="Y80" s="464"/>
      <c r="Z80" s="464"/>
      <c r="AA80" s="464"/>
      <c r="AB80" s="464"/>
      <c r="AC80" s="464"/>
      <c r="AD80" s="464"/>
      <c r="AE80" s="464"/>
      <c r="AF80" s="464"/>
      <c r="AG80" s="464"/>
      <c r="AH80" s="464"/>
      <c r="AI80" s="464"/>
    </row>
    <row r="81" spans="1:35" ht="25.95" customHeight="1" x14ac:dyDescent="0.55000000000000004">
      <c r="A81" s="567"/>
      <c r="B81" s="567"/>
      <c r="C81" s="465"/>
      <c r="D81" s="465"/>
      <c r="E81" s="465"/>
      <c r="F81" s="465"/>
      <c r="G81" s="465"/>
      <c r="H81" s="465"/>
      <c r="J81" s="465"/>
      <c r="K81" s="465"/>
      <c r="N81" s="465"/>
      <c r="Q81" s="465"/>
      <c r="R81" s="465"/>
      <c r="S81" s="465"/>
      <c r="T81" s="465"/>
      <c r="X81" s="464"/>
      <c r="Y81" s="464"/>
      <c r="Z81" s="464"/>
      <c r="AA81" s="464"/>
      <c r="AB81" s="464"/>
      <c r="AC81" s="464"/>
      <c r="AD81" s="464"/>
      <c r="AE81" s="464"/>
      <c r="AF81" s="464"/>
      <c r="AG81" s="464"/>
      <c r="AH81" s="464"/>
      <c r="AI81" s="464"/>
    </row>
    <row r="82" spans="1:35" ht="31.2" customHeight="1" x14ac:dyDescent="0.55000000000000004">
      <c r="A82" s="567"/>
      <c r="B82" s="567"/>
      <c r="C82" s="465"/>
      <c r="D82" s="465"/>
      <c r="E82" s="465"/>
      <c r="F82" s="465"/>
      <c r="G82" s="465"/>
      <c r="H82" s="465"/>
      <c r="J82" s="465"/>
      <c r="K82" s="465"/>
      <c r="N82" s="465"/>
      <c r="Q82" s="465"/>
      <c r="R82" s="465"/>
      <c r="S82" s="465"/>
      <c r="T82" s="465"/>
      <c r="X82" s="464"/>
      <c r="Y82" s="464"/>
      <c r="Z82" s="464"/>
      <c r="AA82" s="464"/>
      <c r="AB82" s="464"/>
      <c r="AC82" s="464"/>
      <c r="AD82" s="464"/>
      <c r="AE82" s="464"/>
      <c r="AF82" s="464"/>
      <c r="AG82" s="464"/>
      <c r="AH82" s="464"/>
      <c r="AI82" s="464"/>
    </row>
    <row r="83" spans="1:35" ht="34.950000000000003" customHeight="1" x14ac:dyDescent="0.55000000000000004">
      <c r="A83" s="470"/>
      <c r="B83" s="470"/>
      <c r="C83" s="465"/>
      <c r="D83" s="465"/>
      <c r="E83" s="465"/>
      <c r="F83" s="465"/>
      <c r="G83" s="465"/>
      <c r="H83" s="465"/>
      <c r="J83" s="465"/>
      <c r="K83" s="465"/>
      <c r="N83" s="465"/>
      <c r="Q83" s="465"/>
      <c r="R83" s="465"/>
      <c r="S83" s="465"/>
      <c r="T83" s="465"/>
      <c r="X83" s="464"/>
      <c r="Y83" s="464"/>
      <c r="Z83" s="464"/>
      <c r="AA83" s="464"/>
      <c r="AB83" s="464"/>
      <c r="AC83" s="464"/>
      <c r="AD83" s="464"/>
      <c r="AE83" s="464"/>
      <c r="AF83" s="464"/>
      <c r="AG83" s="464"/>
      <c r="AH83" s="464"/>
      <c r="AI83" s="464"/>
    </row>
    <row r="84" spans="1:35" ht="26.4" customHeight="1" x14ac:dyDescent="0.55000000000000004">
      <c r="A84" s="470"/>
      <c r="B84" s="470"/>
      <c r="C84" s="465"/>
      <c r="D84" s="465"/>
      <c r="E84" s="465"/>
      <c r="F84" s="465"/>
      <c r="G84" s="465"/>
      <c r="H84" s="465"/>
      <c r="J84" s="465"/>
      <c r="K84" s="465"/>
      <c r="N84" s="465"/>
      <c r="Q84" s="465"/>
      <c r="R84" s="465"/>
      <c r="S84" s="465"/>
      <c r="T84" s="465"/>
      <c r="X84" s="464"/>
      <c r="Y84" s="464"/>
      <c r="Z84" s="464"/>
      <c r="AA84" s="464"/>
      <c r="AB84" s="464"/>
      <c r="AC84" s="464"/>
      <c r="AD84" s="464"/>
      <c r="AE84" s="464"/>
      <c r="AF84" s="464"/>
      <c r="AG84" s="464"/>
      <c r="AH84" s="464"/>
      <c r="AI84" s="464"/>
    </row>
    <row r="85" spans="1:35" ht="24.6" customHeight="1" x14ac:dyDescent="0.55000000000000004">
      <c r="A85" s="470"/>
      <c r="B85" s="470"/>
      <c r="C85" s="465"/>
      <c r="D85" s="465"/>
      <c r="E85" s="465"/>
      <c r="F85" s="465"/>
      <c r="G85" s="465"/>
      <c r="H85" s="465"/>
      <c r="J85" s="465"/>
      <c r="K85" s="465"/>
      <c r="N85" s="465"/>
      <c r="Q85" s="465"/>
      <c r="R85" s="465"/>
      <c r="S85" s="465"/>
      <c r="T85" s="465"/>
      <c r="X85" s="464"/>
      <c r="Y85" s="464"/>
      <c r="Z85" s="464"/>
      <c r="AA85" s="464"/>
      <c r="AB85" s="464"/>
      <c r="AC85" s="464"/>
      <c r="AD85" s="464"/>
      <c r="AE85" s="464"/>
      <c r="AF85" s="464"/>
      <c r="AG85" s="464"/>
      <c r="AH85" s="464"/>
      <c r="AI85" s="464"/>
    </row>
    <row r="86" spans="1:35" ht="14.4" customHeight="1" x14ac:dyDescent="0.3">
      <c r="A86" s="470"/>
      <c r="B86" s="470"/>
      <c r="C86" s="465"/>
      <c r="D86" s="465"/>
      <c r="E86" s="465"/>
      <c r="G86" s="465"/>
      <c r="H86" s="465"/>
      <c r="J86" s="465"/>
      <c r="K86" s="465"/>
      <c r="N86" s="465"/>
      <c r="Q86" s="465"/>
      <c r="R86" s="465"/>
      <c r="S86" s="465"/>
      <c r="T86" s="465"/>
    </row>
    <row r="87" spans="1:35" ht="14.4" customHeight="1" x14ac:dyDescent="0.4">
      <c r="A87" s="470"/>
      <c r="B87" s="470"/>
      <c r="C87" s="524"/>
      <c r="D87" s="524"/>
      <c r="E87" s="524"/>
      <c r="F87" s="524"/>
      <c r="G87" s="465"/>
      <c r="H87" s="465"/>
      <c r="J87" s="465"/>
      <c r="K87" s="465"/>
      <c r="N87" s="465"/>
      <c r="Q87" s="465"/>
      <c r="R87" s="465"/>
      <c r="S87" s="465"/>
      <c r="T87" s="465"/>
    </row>
    <row r="88" spans="1:35" ht="14.4" customHeight="1" x14ac:dyDescent="0.4">
      <c r="A88" s="470"/>
      <c r="B88" s="470"/>
      <c r="C88" s="524"/>
      <c r="D88" s="524"/>
      <c r="E88" s="524"/>
      <c r="F88" s="524"/>
      <c r="G88" s="465"/>
      <c r="H88" s="465"/>
      <c r="J88" s="465"/>
      <c r="K88" s="465"/>
      <c r="N88" s="465"/>
      <c r="Q88" s="465"/>
      <c r="R88" s="465"/>
      <c r="S88" s="465"/>
      <c r="T88" s="465"/>
    </row>
    <row r="89" spans="1:35" ht="14.4" customHeight="1" x14ac:dyDescent="0.4">
      <c r="A89" s="470"/>
      <c r="B89" s="470"/>
      <c r="C89" s="524"/>
      <c r="D89" s="524"/>
      <c r="E89" s="524"/>
      <c r="F89" s="524"/>
      <c r="G89" s="465"/>
      <c r="H89" s="465"/>
      <c r="J89" s="465"/>
      <c r="K89" s="465"/>
      <c r="N89" s="465"/>
      <c r="Q89" s="465"/>
      <c r="R89" s="465"/>
      <c r="S89" s="465"/>
      <c r="T89" s="465"/>
    </row>
    <row r="90" spans="1:35" ht="14.4" customHeight="1" x14ac:dyDescent="0.4">
      <c r="A90" s="470"/>
      <c r="B90" s="470"/>
      <c r="C90" s="524"/>
      <c r="D90" s="524"/>
      <c r="E90" s="524"/>
      <c r="F90" s="524"/>
      <c r="G90" s="465"/>
      <c r="H90" s="465"/>
      <c r="J90" s="465"/>
      <c r="K90" s="465"/>
      <c r="N90" s="465"/>
      <c r="Q90" s="465"/>
      <c r="R90" s="465"/>
      <c r="S90" s="465"/>
      <c r="T90" s="465"/>
    </row>
    <row r="91" spans="1:35" ht="14.4" customHeight="1" x14ac:dyDescent="0.4">
      <c r="A91" s="470"/>
      <c r="B91" s="470"/>
      <c r="C91" s="524"/>
      <c r="D91" s="524"/>
      <c r="E91" s="524"/>
      <c r="F91" s="524"/>
      <c r="G91" s="465"/>
      <c r="H91" s="465"/>
      <c r="J91" s="465"/>
      <c r="K91" s="465"/>
      <c r="N91" s="465"/>
      <c r="Q91" s="465"/>
      <c r="R91" s="465"/>
      <c r="S91" s="465"/>
      <c r="T91" s="465"/>
    </row>
    <row r="92" spans="1:35" ht="14.4" customHeight="1" x14ac:dyDescent="0.4">
      <c r="A92" s="470"/>
      <c r="B92" s="470"/>
      <c r="C92" s="524"/>
      <c r="D92" s="524"/>
      <c r="E92" s="524"/>
      <c r="F92" s="524"/>
      <c r="G92" s="465"/>
      <c r="H92" s="465"/>
      <c r="J92" s="465"/>
      <c r="K92" s="465"/>
      <c r="N92" s="465"/>
      <c r="Q92" s="465"/>
      <c r="R92" s="465"/>
      <c r="S92" s="465"/>
      <c r="T92" s="465"/>
    </row>
    <row r="95" spans="1:35" ht="33.6" customHeight="1" x14ac:dyDescent="0.3">
      <c r="A95" s="470"/>
      <c r="B95" s="470"/>
      <c r="C95" s="531"/>
      <c r="D95" s="531"/>
      <c r="E95" s="82"/>
      <c r="F95" s="82"/>
      <c r="G95" s="531"/>
      <c r="H95" s="531"/>
      <c r="I95" s="82"/>
      <c r="J95" s="531"/>
      <c r="K95" s="531"/>
      <c r="L95" s="470"/>
      <c r="M95" s="470"/>
      <c r="N95" s="531"/>
      <c r="O95" s="470"/>
      <c r="P95" s="470"/>
      <c r="Q95" s="531"/>
      <c r="R95" s="531"/>
      <c r="S95" s="531"/>
      <c r="T95" s="531"/>
    </row>
    <row r="96" spans="1:35" ht="18" customHeight="1" x14ac:dyDescent="0.3">
      <c r="A96" s="470"/>
      <c r="B96" s="470"/>
      <c r="C96" s="531"/>
      <c r="D96" s="531"/>
      <c r="E96" s="82"/>
      <c r="F96" s="82"/>
      <c r="G96" s="531"/>
      <c r="H96" s="531"/>
      <c r="I96" s="82"/>
      <c r="J96" s="531"/>
      <c r="K96" s="531"/>
      <c r="L96" s="470"/>
      <c r="M96" s="470"/>
      <c r="N96" s="531"/>
      <c r="O96" s="470"/>
      <c r="P96" s="470"/>
      <c r="Q96" s="531"/>
      <c r="R96" s="531"/>
      <c r="S96" s="531"/>
      <c r="T96" s="531"/>
    </row>
    <row r="97" spans="1:20" ht="14.4" customHeight="1" x14ac:dyDescent="0.3">
      <c r="A97" s="470"/>
      <c r="B97" s="470"/>
      <c r="C97" s="574"/>
      <c r="D97" s="574"/>
      <c r="E97" s="470"/>
      <c r="F97" s="470"/>
      <c r="G97" s="574"/>
      <c r="H97" s="574"/>
      <c r="I97" s="470"/>
      <c r="J97" s="574"/>
      <c r="K97" s="574"/>
      <c r="L97" s="470"/>
      <c r="M97" s="470"/>
      <c r="N97" s="574"/>
      <c r="O97" s="470"/>
      <c r="P97" s="470"/>
      <c r="Q97" s="574"/>
      <c r="R97" s="574"/>
      <c r="S97" s="574"/>
      <c r="T97" s="574"/>
    </row>
    <row r="98" spans="1:20" x14ac:dyDescent="0.3">
      <c r="A98" s="470"/>
      <c r="B98" s="470"/>
      <c r="C98" s="574"/>
      <c r="D98" s="574"/>
      <c r="E98" s="470"/>
      <c r="F98" s="470"/>
      <c r="G98" s="574"/>
      <c r="H98" s="574"/>
      <c r="I98" s="470"/>
      <c r="J98" s="574"/>
      <c r="K98" s="574"/>
      <c r="L98" s="470"/>
      <c r="M98" s="470"/>
      <c r="N98" s="574"/>
      <c r="O98" s="470"/>
      <c r="P98" s="470"/>
      <c r="Q98" s="574"/>
      <c r="R98" s="574"/>
      <c r="S98" s="574"/>
      <c r="T98" s="574"/>
    </row>
    <row r="99" spans="1:20" ht="28.2" customHeight="1" x14ac:dyDescent="0.3">
      <c r="A99" s="470"/>
      <c r="B99" s="470"/>
      <c r="C99" s="574"/>
      <c r="D99" s="574"/>
      <c r="E99" s="470"/>
      <c r="F99" s="470"/>
      <c r="G99" s="574"/>
      <c r="H99" s="574"/>
      <c r="I99" s="470"/>
      <c r="J99" s="574"/>
      <c r="K99" s="574"/>
      <c r="L99" s="470"/>
      <c r="M99" s="470"/>
      <c r="N99" s="574"/>
      <c r="O99" s="470"/>
      <c r="P99" s="470"/>
      <c r="Q99" s="574"/>
      <c r="R99" s="574"/>
      <c r="S99" s="574"/>
      <c r="T99" s="574"/>
    </row>
    <row r="100" spans="1:20" ht="14.4" customHeight="1" x14ac:dyDescent="0.3">
      <c r="A100" s="470"/>
      <c r="B100" s="470"/>
      <c r="C100" s="574"/>
      <c r="D100" s="574"/>
      <c r="E100" s="470"/>
      <c r="F100" s="470"/>
      <c r="G100" s="574"/>
      <c r="H100" s="574"/>
      <c r="I100" s="470"/>
      <c r="J100" s="574"/>
      <c r="K100" s="574"/>
      <c r="L100" s="470"/>
      <c r="M100" s="470"/>
      <c r="N100" s="574"/>
      <c r="O100" s="470"/>
      <c r="P100" s="470"/>
      <c r="Q100" s="574"/>
      <c r="R100" s="574"/>
      <c r="S100" s="574"/>
      <c r="T100" s="574"/>
    </row>
    <row r="101" spans="1:20" x14ac:dyDescent="0.3">
      <c r="A101" s="470"/>
      <c r="B101" s="470"/>
      <c r="C101" s="574"/>
      <c r="D101" s="574"/>
      <c r="E101" s="470"/>
      <c r="F101" s="470"/>
      <c r="G101" s="574"/>
      <c r="H101" s="574"/>
      <c r="I101" s="470"/>
      <c r="J101" s="574"/>
      <c r="K101" s="574"/>
      <c r="L101" s="470"/>
      <c r="M101" s="470"/>
      <c r="N101" s="574"/>
      <c r="O101" s="470"/>
      <c r="P101" s="470"/>
      <c r="Q101" s="574"/>
      <c r="R101" s="574"/>
      <c r="S101" s="574"/>
      <c r="T101" s="574"/>
    </row>
    <row r="102" spans="1:20" ht="46.95" customHeight="1" x14ac:dyDescent="0.3">
      <c r="A102" s="470"/>
      <c r="B102" s="470"/>
      <c r="C102" s="574"/>
      <c r="D102" s="574"/>
      <c r="E102" s="470"/>
      <c r="F102" s="470"/>
      <c r="G102" s="574"/>
      <c r="H102" s="574"/>
      <c r="I102" s="470"/>
      <c r="J102" s="574"/>
      <c r="K102" s="574"/>
      <c r="L102" s="470"/>
      <c r="M102" s="470"/>
      <c r="N102" s="574"/>
      <c r="O102" s="470"/>
      <c r="P102" s="470"/>
      <c r="Q102" s="574"/>
      <c r="R102" s="574"/>
      <c r="S102" s="574"/>
      <c r="T102" s="574"/>
    </row>
    <row r="103" spans="1:20" ht="15" customHeight="1" x14ac:dyDescent="0.3">
      <c r="A103" s="470"/>
      <c r="B103" s="470"/>
      <c r="C103" s="574"/>
      <c r="D103" s="574"/>
      <c r="E103" s="470"/>
      <c r="F103" s="470"/>
      <c r="G103" s="574"/>
      <c r="H103" s="574"/>
      <c r="I103" s="470"/>
      <c r="J103" s="574"/>
      <c r="K103" s="574"/>
      <c r="L103" s="470"/>
      <c r="M103" s="470"/>
      <c r="N103" s="574"/>
      <c r="O103" s="470"/>
      <c r="P103" s="470"/>
      <c r="Q103" s="574"/>
      <c r="R103" s="574"/>
      <c r="S103" s="574"/>
      <c r="T103" s="574"/>
    </row>
    <row r="104" spans="1:20" x14ac:dyDescent="0.3">
      <c r="A104" s="470"/>
      <c r="B104" s="470"/>
      <c r="C104" s="574"/>
      <c r="D104" s="574"/>
      <c r="E104" s="470"/>
      <c r="F104" s="470"/>
      <c r="G104" s="574"/>
      <c r="H104" s="574"/>
      <c r="I104" s="470"/>
      <c r="J104" s="574"/>
      <c r="K104" s="574"/>
      <c r="L104" s="470"/>
      <c r="M104" s="470"/>
      <c r="N104" s="574"/>
      <c r="O104" s="470"/>
      <c r="P104" s="470"/>
      <c r="Q104" s="574"/>
      <c r="R104" s="574"/>
      <c r="S104" s="574"/>
      <c r="T104" s="574"/>
    </row>
    <row r="105" spans="1:20" x14ac:dyDescent="0.3">
      <c r="A105" s="470"/>
      <c r="B105" s="470"/>
      <c r="C105" s="574"/>
      <c r="D105" s="574"/>
      <c r="E105" s="470"/>
      <c r="F105" s="470"/>
      <c r="G105" s="574"/>
      <c r="H105" s="574"/>
      <c r="I105" s="470"/>
      <c r="J105" s="574"/>
      <c r="K105" s="574"/>
      <c r="L105" s="470"/>
      <c r="M105" s="470"/>
      <c r="N105" s="574"/>
      <c r="O105" s="470"/>
      <c r="P105" s="470"/>
      <c r="Q105" s="574"/>
      <c r="R105" s="574"/>
      <c r="S105" s="574"/>
      <c r="T105" s="574"/>
    </row>
    <row r="106" spans="1:20" ht="19.95" customHeight="1" x14ac:dyDescent="0.3">
      <c r="A106" s="470"/>
      <c r="B106" s="470"/>
      <c r="C106" s="574"/>
      <c r="D106" s="574"/>
      <c r="E106" s="470"/>
      <c r="F106" s="470"/>
      <c r="G106" s="574"/>
      <c r="H106" s="574"/>
      <c r="I106" s="470"/>
      <c r="J106" s="574"/>
      <c r="K106" s="574"/>
      <c r="L106" s="470"/>
      <c r="M106" s="470"/>
      <c r="N106" s="574"/>
      <c r="O106" s="470"/>
      <c r="P106" s="470"/>
      <c r="Q106" s="574"/>
      <c r="R106" s="574"/>
      <c r="S106" s="574"/>
      <c r="T106" s="574"/>
    </row>
    <row r="107" spans="1:20" x14ac:dyDescent="0.3">
      <c r="A107" s="470"/>
      <c r="B107" s="470"/>
      <c r="C107" s="574"/>
      <c r="D107" s="574"/>
      <c r="E107" s="470"/>
      <c r="F107" s="470"/>
      <c r="G107" s="574"/>
      <c r="H107" s="574"/>
      <c r="I107" s="470"/>
      <c r="J107" s="574"/>
      <c r="K107" s="574"/>
      <c r="L107" s="470"/>
      <c r="M107" s="470"/>
      <c r="N107" s="574"/>
      <c r="O107" s="470"/>
      <c r="P107" s="470"/>
      <c r="Q107" s="574"/>
      <c r="R107" s="574"/>
      <c r="S107" s="574"/>
      <c r="T107" s="574"/>
    </row>
    <row r="108" spans="1:20" x14ac:dyDescent="0.3">
      <c r="A108" s="470"/>
      <c r="B108" s="470"/>
      <c r="C108" s="574"/>
      <c r="D108" s="574"/>
      <c r="E108" s="470"/>
      <c r="F108" s="470"/>
      <c r="G108" s="574"/>
      <c r="H108" s="574"/>
      <c r="I108" s="470"/>
      <c r="J108" s="574"/>
      <c r="K108" s="574"/>
      <c r="L108" s="470"/>
      <c r="M108" s="470"/>
      <c r="N108" s="574"/>
      <c r="O108" s="470"/>
      <c r="P108" s="470"/>
      <c r="Q108" s="574"/>
      <c r="R108" s="574"/>
      <c r="S108" s="574"/>
      <c r="T108" s="574"/>
    </row>
    <row r="109" spans="1:20" ht="14.4" customHeight="1" x14ac:dyDescent="0.3">
      <c r="A109" s="470"/>
      <c r="B109" s="470"/>
      <c r="C109" s="574"/>
      <c r="D109" s="574"/>
      <c r="E109" s="470"/>
      <c r="F109" s="470"/>
      <c r="G109" s="574"/>
      <c r="H109" s="574"/>
      <c r="I109" s="470"/>
      <c r="J109" s="574"/>
      <c r="K109" s="574"/>
      <c r="L109" s="470"/>
      <c r="M109" s="470"/>
      <c r="N109" s="574"/>
      <c r="O109" s="470"/>
      <c r="P109" s="470"/>
      <c r="Q109" s="574"/>
      <c r="R109" s="574"/>
      <c r="S109" s="574"/>
      <c r="T109" s="574"/>
    </row>
    <row r="110" spans="1:20" x14ac:dyDescent="0.3">
      <c r="A110" s="470"/>
      <c r="B110" s="470"/>
      <c r="C110" s="574"/>
      <c r="D110" s="574"/>
      <c r="E110" s="470"/>
      <c r="F110" s="470"/>
      <c r="G110" s="574"/>
      <c r="H110" s="574"/>
      <c r="I110" s="470"/>
      <c r="J110" s="574"/>
      <c r="K110" s="574"/>
      <c r="L110" s="470"/>
      <c r="M110" s="470"/>
      <c r="N110" s="574"/>
      <c r="O110" s="470"/>
      <c r="P110" s="470"/>
      <c r="Q110" s="574"/>
      <c r="R110" s="574"/>
      <c r="S110" s="574"/>
      <c r="T110" s="574"/>
    </row>
    <row r="111" spans="1:20" x14ac:dyDescent="0.3">
      <c r="A111" s="470"/>
      <c r="B111" s="470"/>
      <c r="C111" s="574"/>
      <c r="D111" s="574"/>
      <c r="E111" s="470"/>
      <c r="F111" s="470"/>
      <c r="G111" s="574"/>
      <c r="H111" s="574"/>
      <c r="I111" s="470"/>
      <c r="J111" s="574"/>
      <c r="K111" s="574"/>
      <c r="L111" s="470"/>
      <c r="M111" s="470"/>
      <c r="N111" s="574"/>
      <c r="O111" s="470"/>
      <c r="P111" s="470"/>
      <c r="Q111" s="574"/>
      <c r="R111" s="574"/>
      <c r="S111" s="574"/>
      <c r="T111" s="574"/>
    </row>
    <row r="112" spans="1:20" x14ac:dyDescent="0.3">
      <c r="A112" s="470"/>
      <c r="B112" s="470"/>
      <c r="C112" s="574"/>
      <c r="D112" s="574"/>
      <c r="E112" s="470"/>
      <c r="F112" s="470"/>
      <c r="G112" s="574"/>
      <c r="H112" s="574"/>
      <c r="I112" s="470"/>
      <c r="J112" s="574"/>
      <c r="K112" s="574"/>
      <c r="L112" s="470"/>
      <c r="M112" s="470"/>
      <c r="N112" s="574"/>
      <c r="O112" s="470"/>
      <c r="P112" s="470"/>
      <c r="Q112" s="574"/>
      <c r="R112" s="574"/>
      <c r="S112" s="574"/>
      <c r="T112" s="574"/>
    </row>
    <row r="113" spans="1:20" ht="17.399999999999999" customHeight="1" x14ac:dyDescent="0.3">
      <c r="A113" s="470"/>
      <c r="B113" s="470"/>
      <c r="C113" s="574"/>
      <c r="D113" s="574"/>
      <c r="E113" s="470"/>
      <c r="F113" s="470"/>
      <c r="G113" s="574"/>
      <c r="H113" s="574"/>
      <c r="I113" s="470"/>
      <c r="J113" s="574"/>
      <c r="K113" s="574"/>
      <c r="L113" s="470"/>
      <c r="M113" s="470"/>
      <c r="N113" s="574"/>
      <c r="O113" s="470"/>
      <c r="P113" s="470"/>
      <c r="Q113" s="574"/>
      <c r="R113" s="574"/>
      <c r="S113" s="574"/>
      <c r="T113" s="574"/>
    </row>
    <row r="114" spans="1:20" x14ac:dyDescent="0.3">
      <c r="A114" s="470"/>
      <c r="B114" s="470"/>
      <c r="C114" s="574"/>
      <c r="D114" s="574"/>
      <c r="E114" s="470"/>
      <c r="F114" s="470"/>
      <c r="G114" s="574"/>
      <c r="H114" s="574"/>
      <c r="I114" s="470"/>
      <c r="J114" s="574"/>
      <c r="K114" s="574"/>
      <c r="L114" s="470"/>
      <c r="M114" s="470"/>
      <c r="N114" s="574"/>
      <c r="O114" s="470"/>
      <c r="P114" s="470"/>
      <c r="Q114" s="574"/>
      <c r="R114" s="574"/>
      <c r="S114" s="574"/>
      <c r="T114" s="574"/>
    </row>
    <row r="115" spans="1:20" ht="14.4" customHeight="1" x14ac:dyDescent="0.3">
      <c r="A115" s="470"/>
      <c r="B115" s="470"/>
      <c r="C115" s="574"/>
      <c r="D115" s="574"/>
      <c r="E115" s="470"/>
      <c r="F115" s="470"/>
      <c r="G115" s="574"/>
      <c r="H115" s="574"/>
      <c r="I115" s="470"/>
      <c r="J115" s="576"/>
      <c r="K115" s="576"/>
      <c r="L115" s="470"/>
      <c r="M115" s="470"/>
      <c r="N115" s="574"/>
      <c r="O115" s="470"/>
      <c r="P115" s="470"/>
      <c r="Q115" s="574"/>
      <c r="R115" s="574"/>
      <c r="S115" s="574"/>
      <c r="T115" s="574"/>
    </row>
    <row r="116" spans="1:20" x14ac:dyDescent="0.3">
      <c r="A116" s="470"/>
      <c r="B116" s="470"/>
      <c r="C116" s="574"/>
      <c r="D116" s="574"/>
      <c r="E116" s="470"/>
      <c r="F116" s="470"/>
      <c r="G116" s="574"/>
      <c r="H116" s="574"/>
      <c r="I116" s="470"/>
      <c r="J116" s="576"/>
      <c r="K116" s="576"/>
      <c r="L116" s="470"/>
      <c r="M116" s="470"/>
      <c r="N116" s="574"/>
      <c r="O116" s="470"/>
      <c r="P116" s="470"/>
      <c r="Q116" s="574"/>
      <c r="R116" s="574"/>
      <c r="S116" s="574"/>
      <c r="T116" s="574"/>
    </row>
    <row r="117" spans="1:20" ht="31.95" customHeight="1" x14ac:dyDescent="0.3">
      <c r="A117" s="470"/>
      <c r="B117" s="470"/>
      <c r="C117" s="574"/>
      <c r="D117" s="574"/>
      <c r="E117" s="470"/>
      <c r="F117" s="470"/>
      <c r="G117" s="574"/>
      <c r="H117" s="574"/>
      <c r="I117" s="470"/>
      <c r="J117" s="576"/>
      <c r="K117" s="576"/>
      <c r="L117" s="470"/>
      <c r="M117" s="470"/>
      <c r="N117" s="574"/>
      <c r="O117" s="470"/>
      <c r="P117" s="470"/>
      <c r="Q117" s="574"/>
      <c r="R117" s="574"/>
      <c r="S117" s="574"/>
      <c r="T117" s="574"/>
    </row>
    <row r="118" spans="1:20" ht="14.4" customHeight="1" x14ac:dyDescent="0.3">
      <c r="A118" s="470"/>
      <c r="B118" s="470"/>
      <c r="C118" s="574"/>
      <c r="D118" s="574"/>
      <c r="E118" s="470"/>
      <c r="F118" s="470"/>
      <c r="G118" s="574"/>
      <c r="H118" s="574"/>
      <c r="I118" s="470"/>
      <c r="J118" s="574"/>
      <c r="K118" s="574"/>
      <c r="L118" s="470"/>
      <c r="M118" s="470"/>
      <c r="N118" s="574"/>
      <c r="O118" s="470"/>
      <c r="P118" s="470"/>
      <c r="Q118" s="574"/>
      <c r="R118" s="574"/>
      <c r="S118" s="574"/>
      <c r="T118" s="574"/>
    </row>
    <row r="119" spans="1:20" x14ac:dyDescent="0.3">
      <c r="A119" s="470"/>
      <c r="B119" s="470"/>
      <c r="C119" s="574"/>
      <c r="D119" s="574"/>
      <c r="E119" s="470"/>
      <c r="F119" s="470"/>
      <c r="G119" s="574"/>
      <c r="H119" s="574"/>
      <c r="I119" s="470"/>
      <c r="J119" s="574"/>
      <c r="K119" s="574"/>
      <c r="L119" s="470"/>
      <c r="M119" s="470"/>
      <c r="N119" s="574"/>
      <c r="O119" s="470"/>
      <c r="P119" s="470"/>
      <c r="Q119" s="574"/>
      <c r="R119" s="574"/>
      <c r="S119" s="574"/>
      <c r="T119" s="574"/>
    </row>
    <row r="120" spans="1:20" ht="40.950000000000003" customHeight="1" x14ac:dyDescent="0.3">
      <c r="A120" s="470"/>
      <c r="B120" s="470"/>
      <c r="C120" s="574"/>
      <c r="D120" s="574"/>
      <c r="E120" s="470"/>
      <c r="F120" s="470"/>
      <c r="G120" s="574"/>
      <c r="H120" s="574"/>
      <c r="I120" s="470"/>
      <c r="J120" s="574"/>
      <c r="K120" s="574"/>
      <c r="L120" s="470"/>
      <c r="M120" s="470"/>
      <c r="N120" s="574"/>
      <c r="O120" s="470"/>
      <c r="P120" s="470"/>
      <c r="Q120" s="574"/>
      <c r="R120" s="574"/>
      <c r="S120" s="574"/>
      <c r="T120" s="574"/>
    </row>
    <row r="121" spans="1:20" ht="14.4" customHeight="1" x14ac:dyDescent="0.3">
      <c r="A121" s="470"/>
      <c r="B121" s="470"/>
      <c r="C121" s="574"/>
      <c r="D121" s="574"/>
      <c r="E121" s="470"/>
      <c r="F121" s="470"/>
      <c r="G121" s="574"/>
      <c r="H121" s="574"/>
      <c r="I121" s="470"/>
      <c r="J121" s="574"/>
      <c r="K121" s="574"/>
      <c r="L121" s="470"/>
      <c r="M121" s="470"/>
      <c r="N121" s="574"/>
      <c r="O121" s="470"/>
      <c r="P121" s="470"/>
      <c r="Q121" s="574"/>
      <c r="R121" s="574"/>
      <c r="S121" s="574"/>
      <c r="T121" s="574"/>
    </row>
    <row r="122" spans="1:20" x14ac:dyDescent="0.3">
      <c r="A122" s="470"/>
      <c r="B122" s="470"/>
      <c r="C122" s="574"/>
      <c r="D122" s="574"/>
      <c r="E122" s="470"/>
      <c r="F122" s="470"/>
      <c r="G122" s="574"/>
      <c r="H122" s="574"/>
      <c r="I122" s="470"/>
      <c r="J122" s="574"/>
      <c r="K122" s="574"/>
      <c r="L122" s="470"/>
      <c r="M122" s="470"/>
      <c r="N122" s="574"/>
      <c r="O122" s="470"/>
      <c r="P122" s="470"/>
      <c r="Q122" s="574"/>
      <c r="R122" s="574"/>
      <c r="S122" s="574"/>
      <c r="T122" s="574"/>
    </row>
    <row r="123" spans="1:20" x14ac:dyDescent="0.3">
      <c r="A123" s="470"/>
      <c r="B123" s="470"/>
      <c r="C123" s="574"/>
      <c r="D123" s="574"/>
      <c r="E123" s="470"/>
      <c r="F123" s="470"/>
      <c r="G123" s="574"/>
      <c r="H123" s="574"/>
      <c r="I123" s="470"/>
      <c r="J123" s="574"/>
      <c r="K123" s="574"/>
      <c r="L123" s="470"/>
      <c r="M123" s="470"/>
      <c r="N123" s="574"/>
      <c r="O123" s="470"/>
      <c r="P123" s="470"/>
      <c r="Q123" s="574"/>
      <c r="R123" s="574"/>
      <c r="S123" s="574"/>
      <c r="T123" s="574"/>
    </row>
    <row r="124" spans="1:20" ht="14.4" customHeight="1" x14ac:dyDescent="0.3">
      <c r="A124" s="470"/>
      <c r="B124" s="470"/>
      <c r="C124" s="574"/>
      <c r="D124" s="574"/>
      <c r="E124" s="470"/>
      <c r="F124" s="470"/>
      <c r="G124" s="574"/>
      <c r="H124" s="574"/>
      <c r="I124" s="470"/>
      <c r="J124" s="574"/>
      <c r="K124" s="574"/>
      <c r="L124" s="470"/>
      <c r="M124" s="470"/>
      <c r="N124" s="574"/>
      <c r="O124" s="470"/>
      <c r="P124" s="470"/>
      <c r="Q124" s="574"/>
      <c r="R124" s="574"/>
      <c r="S124" s="574"/>
      <c r="T124" s="574"/>
    </row>
    <row r="125" spans="1:20" x14ac:dyDescent="0.3">
      <c r="A125" s="470"/>
      <c r="B125" s="470"/>
      <c r="C125" s="574"/>
      <c r="D125" s="574"/>
      <c r="E125" s="470"/>
      <c r="F125" s="470"/>
      <c r="G125" s="574"/>
      <c r="H125" s="574"/>
      <c r="I125" s="470"/>
      <c r="J125" s="574"/>
      <c r="K125" s="574"/>
      <c r="L125" s="470"/>
      <c r="M125" s="470"/>
      <c r="N125" s="574"/>
      <c r="O125" s="470"/>
      <c r="P125" s="470"/>
      <c r="Q125" s="574"/>
      <c r="R125" s="574"/>
      <c r="S125" s="574"/>
      <c r="T125" s="574"/>
    </row>
    <row r="126" spans="1:20" x14ac:dyDescent="0.3">
      <c r="A126" s="470"/>
      <c r="B126" s="470"/>
      <c r="C126" s="574"/>
      <c r="D126" s="574"/>
      <c r="E126" s="470"/>
      <c r="F126" s="470"/>
      <c r="G126" s="574"/>
      <c r="H126" s="574"/>
      <c r="I126" s="470"/>
      <c r="J126" s="574"/>
      <c r="K126" s="574"/>
      <c r="L126" s="470"/>
      <c r="M126" s="470"/>
      <c r="N126" s="574"/>
      <c r="O126" s="470"/>
      <c r="P126" s="470"/>
      <c r="Q126" s="574"/>
      <c r="R126" s="574"/>
      <c r="S126" s="574"/>
      <c r="T126" s="574"/>
    </row>
    <row r="127" spans="1:20" ht="14.4" customHeight="1" x14ac:dyDescent="0.3">
      <c r="A127" s="470"/>
      <c r="B127" s="470"/>
      <c r="C127" s="574"/>
      <c r="D127" s="574"/>
      <c r="E127" s="470"/>
      <c r="F127" s="470"/>
      <c r="G127" s="574"/>
      <c r="H127" s="574"/>
      <c r="I127" s="470"/>
      <c r="J127" s="574"/>
      <c r="K127" s="574"/>
      <c r="L127" s="470"/>
      <c r="M127" s="470"/>
      <c r="N127" s="574"/>
      <c r="O127" s="470"/>
      <c r="P127" s="470"/>
      <c r="Q127" s="574"/>
      <c r="R127" s="574"/>
      <c r="S127" s="574"/>
      <c r="T127" s="574"/>
    </row>
    <row r="128" spans="1:20" x14ac:dyDescent="0.3">
      <c r="A128" s="470"/>
      <c r="B128" s="470"/>
      <c r="C128" s="574"/>
      <c r="D128" s="574"/>
      <c r="E128" s="470"/>
      <c r="F128" s="470"/>
      <c r="G128" s="574"/>
      <c r="H128" s="574"/>
      <c r="I128" s="470"/>
      <c r="J128" s="574"/>
      <c r="K128" s="574"/>
      <c r="L128" s="470"/>
      <c r="M128" s="470"/>
      <c r="N128" s="574"/>
      <c r="O128" s="470"/>
      <c r="P128" s="470"/>
      <c r="Q128" s="574"/>
      <c r="R128" s="574"/>
      <c r="S128" s="574"/>
      <c r="T128" s="574"/>
    </row>
    <row r="129" spans="1:20" x14ac:dyDescent="0.3">
      <c r="A129" s="470"/>
      <c r="B129" s="470"/>
      <c r="C129" s="574"/>
      <c r="D129" s="574"/>
      <c r="E129" s="470"/>
      <c r="F129" s="470"/>
      <c r="G129" s="574"/>
      <c r="H129" s="574"/>
      <c r="I129" s="470"/>
      <c r="J129" s="574"/>
      <c r="K129" s="574"/>
      <c r="L129" s="470"/>
      <c r="M129" s="470"/>
      <c r="N129" s="574"/>
      <c r="O129" s="470"/>
      <c r="P129" s="470"/>
      <c r="Q129" s="574"/>
      <c r="R129" s="574"/>
      <c r="S129" s="574"/>
      <c r="T129" s="574"/>
    </row>
    <row r="130" spans="1:20" ht="14.4" customHeight="1" x14ac:dyDescent="0.3">
      <c r="A130" s="470"/>
      <c r="B130" s="470"/>
      <c r="C130" s="574"/>
      <c r="D130" s="574"/>
      <c r="E130" s="470"/>
      <c r="F130" s="470"/>
      <c r="G130" s="574"/>
      <c r="H130" s="574"/>
      <c r="I130" s="470"/>
      <c r="J130" s="574"/>
      <c r="K130" s="574"/>
      <c r="L130" s="470"/>
      <c r="M130" s="470"/>
      <c r="N130" s="574"/>
      <c r="O130" s="470"/>
      <c r="P130" s="470"/>
      <c r="Q130" s="574"/>
      <c r="R130" s="574"/>
      <c r="S130" s="574"/>
      <c r="T130" s="574"/>
    </row>
    <row r="131" spans="1:20" x14ac:dyDescent="0.3">
      <c r="A131" s="470"/>
      <c r="B131" s="470"/>
      <c r="C131" s="574"/>
      <c r="D131" s="574"/>
      <c r="E131" s="470"/>
      <c r="F131" s="470"/>
      <c r="G131" s="574"/>
      <c r="H131" s="574"/>
      <c r="I131" s="470"/>
      <c r="J131" s="574"/>
      <c r="K131" s="574"/>
      <c r="L131" s="470"/>
      <c r="M131" s="470"/>
      <c r="N131" s="574"/>
      <c r="O131" s="470"/>
      <c r="P131" s="470"/>
      <c r="Q131" s="574"/>
      <c r="R131" s="574"/>
      <c r="S131" s="574"/>
      <c r="T131" s="574"/>
    </row>
    <row r="132" spans="1:20" x14ac:dyDescent="0.3">
      <c r="A132" s="470"/>
      <c r="B132" s="470"/>
      <c r="C132" s="574"/>
      <c r="D132" s="574"/>
      <c r="E132" s="470"/>
      <c r="F132" s="470"/>
      <c r="G132" s="574"/>
      <c r="H132" s="574"/>
      <c r="I132" s="470"/>
      <c r="J132" s="574"/>
      <c r="K132" s="574"/>
      <c r="L132" s="470"/>
      <c r="M132" s="470"/>
      <c r="N132" s="574"/>
      <c r="O132" s="470"/>
      <c r="P132" s="470"/>
      <c r="Q132" s="574"/>
      <c r="R132" s="574"/>
      <c r="S132" s="574"/>
      <c r="T132" s="574"/>
    </row>
    <row r="133" spans="1:20" ht="14.4" customHeight="1" x14ac:dyDescent="0.3">
      <c r="A133" s="470"/>
      <c r="B133" s="470"/>
      <c r="C133" s="574"/>
      <c r="D133" s="574"/>
      <c r="E133" s="470"/>
      <c r="F133" s="470"/>
      <c r="G133" s="574"/>
      <c r="H133" s="574"/>
      <c r="I133" s="470"/>
      <c r="J133" s="470"/>
      <c r="K133" s="470"/>
      <c r="L133" s="470"/>
      <c r="M133" s="470"/>
      <c r="N133" s="470"/>
      <c r="O133" s="470"/>
      <c r="P133" s="470"/>
      <c r="Q133" s="574"/>
      <c r="R133" s="574"/>
      <c r="S133" s="574"/>
      <c r="T133" s="574"/>
    </row>
    <row r="134" spans="1:20" x14ac:dyDescent="0.3">
      <c r="A134" s="470"/>
      <c r="B134" s="470"/>
      <c r="C134" s="574"/>
      <c r="D134" s="574"/>
      <c r="E134" s="470"/>
      <c r="F134" s="470"/>
      <c r="G134" s="574"/>
      <c r="H134" s="574"/>
      <c r="I134" s="470"/>
      <c r="J134" s="470"/>
      <c r="K134" s="470"/>
      <c r="L134" s="470"/>
      <c r="M134" s="470"/>
      <c r="N134" s="470"/>
      <c r="O134" s="470"/>
      <c r="P134" s="470"/>
      <c r="Q134" s="574"/>
      <c r="R134" s="574"/>
      <c r="S134" s="574"/>
      <c r="T134" s="574"/>
    </row>
    <row r="135" spans="1:20" x14ac:dyDescent="0.3">
      <c r="A135" s="470"/>
      <c r="B135" s="470"/>
      <c r="C135" s="574"/>
      <c r="D135" s="574"/>
      <c r="E135" s="470"/>
      <c r="F135" s="470"/>
      <c r="G135" s="574"/>
      <c r="H135" s="574"/>
      <c r="I135" s="470"/>
      <c r="J135" s="470"/>
      <c r="K135" s="470"/>
      <c r="L135" s="470"/>
      <c r="M135" s="470"/>
      <c r="N135" s="470"/>
      <c r="O135" s="470"/>
      <c r="P135" s="470"/>
      <c r="Q135" s="574"/>
      <c r="R135" s="574"/>
      <c r="S135" s="574"/>
      <c r="T135" s="574"/>
    </row>
    <row r="136" spans="1:20" ht="14.4" customHeight="1" x14ac:dyDescent="0.3">
      <c r="A136" s="470"/>
      <c r="B136" s="470"/>
      <c r="C136" s="574"/>
      <c r="D136" s="574"/>
      <c r="E136" s="470"/>
      <c r="F136" s="470"/>
      <c r="G136" s="574"/>
      <c r="H136" s="574"/>
      <c r="I136" s="470"/>
      <c r="J136" s="470"/>
      <c r="K136" s="470"/>
      <c r="L136" s="470"/>
      <c r="M136" s="470"/>
      <c r="N136" s="470"/>
      <c r="O136" s="470"/>
      <c r="P136" s="470"/>
      <c r="Q136" s="574"/>
      <c r="R136" s="574"/>
      <c r="S136" s="574"/>
      <c r="T136" s="574"/>
    </row>
    <row r="137" spans="1:20" x14ac:dyDescent="0.3">
      <c r="A137" s="470"/>
      <c r="B137" s="470"/>
      <c r="C137" s="574"/>
      <c r="D137" s="574"/>
      <c r="E137" s="470"/>
      <c r="F137" s="470"/>
      <c r="G137" s="574"/>
      <c r="H137" s="574"/>
      <c r="I137" s="470"/>
      <c r="J137" s="470"/>
      <c r="K137" s="470"/>
      <c r="L137" s="470"/>
      <c r="M137" s="470"/>
      <c r="N137" s="470"/>
      <c r="O137" s="470"/>
      <c r="P137" s="470"/>
      <c r="Q137" s="574"/>
      <c r="R137" s="574"/>
      <c r="S137" s="574"/>
      <c r="T137" s="574"/>
    </row>
    <row r="138" spans="1:20" ht="28.2" customHeight="1" x14ac:dyDescent="0.3">
      <c r="A138" s="470"/>
      <c r="B138" s="470"/>
      <c r="C138" s="574"/>
      <c r="D138" s="574"/>
      <c r="E138" s="470"/>
      <c r="F138" s="470"/>
      <c r="G138" s="574"/>
      <c r="H138" s="574"/>
      <c r="I138" s="470"/>
      <c r="J138" s="470"/>
      <c r="K138" s="470"/>
      <c r="L138" s="470"/>
      <c r="M138" s="470"/>
      <c r="N138" s="470"/>
      <c r="O138" s="470"/>
      <c r="P138" s="470"/>
      <c r="Q138" s="574"/>
      <c r="R138" s="574"/>
      <c r="S138" s="574"/>
      <c r="T138" s="574"/>
    </row>
    <row r="139" spans="1:20" x14ac:dyDescent="0.3">
      <c r="A139" s="470"/>
      <c r="B139" s="470"/>
      <c r="C139" s="574"/>
      <c r="D139" s="574"/>
      <c r="E139" s="470"/>
      <c r="F139" s="470"/>
      <c r="G139" s="574"/>
      <c r="H139" s="574"/>
      <c r="I139" s="470"/>
      <c r="J139" s="470"/>
      <c r="K139" s="470"/>
      <c r="L139" s="470"/>
      <c r="M139" s="470"/>
      <c r="N139" s="470"/>
      <c r="O139" s="470"/>
      <c r="P139" s="470"/>
      <c r="Q139" s="574"/>
      <c r="R139" s="574"/>
      <c r="S139" s="574"/>
      <c r="T139" s="574"/>
    </row>
    <row r="140" spans="1:20" x14ac:dyDescent="0.3">
      <c r="A140" s="470"/>
      <c r="B140" s="470"/>
      <c r="C140" s="574"/>
      <c r="D140" s="574"/>
      <c r="E140" s="470"/>
      <c r="F140" s="470"/>
      <c r="G140" s="574"/>
      <c r="H140" s="574"/>
      <c r="I140" s="470"/>
      <c r="J140" s="470"/>
      <c r="K140" s="470"/>
      <c r="L140" s="470"/>
      <c r="M140" s="470"/>
      <c r="N140" s="470"/>
      <c r="O140" s="470"/>
      <c r="P140" s="470"/>
      <c r="Q140" s="574"/>
      <c r="R140" s="574"/>
      <c r="S140" s="574"/>
      <c r="T140" s="574"/>
    </row>
    <row r="141" spans="1:20" ht="19.2" customHeight="1" x14ac:dyDescent="0.3">
      <c r="A141" s="470"/>
      <c r="B141" s="470"/>
      <c r="C141" s="574"/>
      <c r="D141" s="574"/>
      <c r="E141" s="470"/>
      <c r="F141" s="470"/>
      <c r="G141" s="574"/>
      <c r="H141" s="574"/>
      <c r="I141" s="470"/>
      <c r="J141" s="470"/>
      <c r="K141" s="470"/>
      <c r="L141" s="470"/>
      <c r="M141" s="470"/>
      <c r="N141" s="470"/>
      <c r="O141" s="470"/>
      <c r="P141" s="470"/>
      <c r="Q141" s="574"/>
      <c r="R141" s="574"/>
      <c r="S141" s="574"/>
      <c r="T141" s="574"/>
    </row>
    <row r="142" spans="1:20" ht="14.4" customHeight="1" x14ac:dyDescent="0.3">
      <c r="A142" s="470"/>
      <c r="B142" s="470"/>
      <c r="C142" s="574"/>
      <c r="D142" s="574"/>
      <c r="E142" s="470"/>
      <c r="F142" s="470"/>
      <c r="G142" s="574"/>
      <c r="H142" s="574"/>
      <c r="I142" s="470"/>
      <c r="J142" s="470"/>
      <c r="K142" s="470"/>
      <c r="L142" s="470"/>
      <c r="M142" s="470"/>
      <c r="N142" s="470"/>
      <c r="O142" s="470"/>
      <c r="P142" s="470"/>
      <c r="Q142" s="574"/>
      <c r="R142" s="574"/>
      <c r="S142" s="574"/>
      <c r="T142" s="574"/>
    </row>
    <row r="143" spans="1:20" x14ac:dyDescent="0.3">
      <c r="A143" s="470"/>
      <c r="B143" s="470"/>
      <c r="C143" s="574"/>
      <c r="D143" s="574"/>
      <c r="E143" s="470"/>
      <c r="F143" s="470"/>
      <c r="G143" s="574"/>
      <c r="H143" s="574"/>
      <c r="I143" s="470"/>
      <c r="J143" s="470"/>
      <c r="K143" s="470"/>
      <c r="L143" s="470"/>
      <c r="M143" s="470"/>
      <c r="N143" s="470"/>
      <c r="O143" s="470"/>
      <c r="P143" s="470"/>
      <c r="Q143" s="574"/>
      <c r="R143" s="574"/>
      <c r="S143" s="574"/>
      <c r="T143" s="574"/>
    </row>
    <row r="144" spans="1:20" x14ac:dyDescent="0.3">
      <c r="A144" s="470"/>
      <c r="B144" s="470"/>
      <c r="C144" s="574"/>
      <c r="D144" s="574"/>
      <c r="E144" s="470"/>
      <c r="F144" s="470"/>
      <c r="G144" s="574"/>
      <c r="H144" s="574"/>
      <c r="I144" s="470"/>
      <c r="J144" s="470"/>
      <c r="K144" s="470"/>
      <c r="L144" s="470"/>
      <c r="M144" s="470"/>
      <c r="N144" s="470"/>
      <c r="O144" s="470"/>
      <c r="P144" s="470"/>
      <c r="Q144" s="574"/>
      <c r="R144" s="574"/>
      <c r="S144" s="574"/>
      <c r="T144" s="574"/>
    </row>
    <row r="145" spans="1:20" x14ac:dyDescent="0.3">
      <c r="A145" s="470"/>
      <c r="B145" s="470"/>
      <c r="C145" s="574"/>
      <c r="D145" s="574"/>
      <c r="E145" s="470"/>
      <c r="F145" s="470"/>
      <c r="G145" s="574"/>
      <c r="H145" s="574"/>
      <c r="I145" s="470"/>
      <c r="J145" s="470"/>
      <c r="K145" s="470"/>
      <c r="L145" s="470"/>
      <c r="M145" s="470"/>
      <c r="N145" s="470"/>
      <c r="O145" s="470"/>
      <c r="P145" s="470"/>
      <c r="Q145" s="574"/>
      <c r="R145" s="574"/>
      <c r="S145" s="574"/>
      <c r="T145" s="574"/>
    </row>
    <row r="146" spans="1:20" x14ac:dyDescent="0.3">
      <c r="A146" s="470"/>
      <c r="B146" s="470"/>
      <c r="C146" s="574"/>
      <c r="D146" s="574"/>
      <c r="E146" s="470"/>
      <c r="F146" s="470"/>
      <c r="G146" s="574"/>
      <c r="H146" s="574"/>
      <c r="I146" s="470"/>
      <c r="J146" s="470"/>
      <c r="K146" s="470"/>
      <c r="L146" s="470"/>
      <c r="M146" s="470"/>
      <c r="N146" s="470"/>
      <c r="O146" s="470"/>
      <c r="P146" s="470"/>
      <c r="Q146" s="574"/>
      <c r="R146" s="574"/>
      <c r="S146" s="574"/>
      <c r="T146" s="574"/>
    </row>
    <row r="147" spans="1:20" x14ac:dyDescent="0.3">
      <c r="A147" s="470"/>
      <c r="B147" s="470"/>
      <c r="C147" s="574"/>
      <c r="D147" s="574"/>
      <c r="E147" s="470"/>
      <c r="F147" s="470"/>
      <c r="G147" s="574"/>
      <c r="H147" s="574"/>
      <c r="I147" s="470"/>
      <c r="J147" s="470"/>
      <c r="K147" s="470"/>
      <c r="L147" s="470"/>
      <c r="M147" s="470"/>
      <c r="N147" s="470"/>
      <c r="O147" s="470"/>
      <c r="P147" s="470"/>
      <c r="Q147" s="574"/>
      <c r="R147" s="574"/>
      <c r="S147" s="574"/>
      <c r="T147" s="574"/>
    </row>
    <row r="148" spans="1:20" x14ac:dyDescent="0.3">
      <c r="A148" s="470"/>
      <c r="B148" s="470"/>
      <c r="C148" s="574"/>
      <c r="D148" s="574"/>
      <c r="E148" s="470"/>
      <c r="F148" s="470"/>
      <c r="G148" s="574"/>
      <c r="H148" s="574"/>
      <c r="I148" s="470"/>
      <c r="J148" s="470"/>
      <c r="K148" s="470"/>
      <c r="L148" s="470"/>
      <c r="M148" s="470"/>
      <c r="N148" s="470"/>
      <c r="O148" s="470"/>
      <c r="P148" s="470"/>
      <c r="Q148" s="574"/>
      <c r="R148" s="574"/>
      <c r="S148" s="574"/>
      <c r="T148" s="574"/>
    </row>
    <row r="149" spans="1:20" x14ac:dyDescent="0.3">
      <c r="A149" s="470"/>
      <c r="B149" s="470"/>
      <c r="C149" s="574"/>
      <c r="D149" s="574"/>
      <c r="E149" s="470"/>
      <c r="F149" s="470"/>
      <c r="G149" s="574"/>
      <c r="H149" s="574"/>
      <c r="I149" s="470"/>
      <c r="J149" s="470"/>
      <c r="K149" s="470"/>
      <c r="L149" s="470"/>
      <c r="M149" s="470"/>
      <c r="N149" s="470"/>
      <c r="O149" s="470"/>
      <c r="P149" s="470"/>
      <c r="Q149" s="574"/>
      <c r="R149" s="574"/>
      <c r="S149" s="574"/>
      <c r="T149" s="574"/>
    </row>
    <row r="150" spans="1:20" x14ac:dyDescent="0.3">
      <c r="A150" s="470"/>
      <c r="B150" s="470"/>
      <c r="C150" s="574"/>
      <c r="D150" s="574"/>
      <c r="E150" s="470"/>
      <c r="F150" s="470"/>
      <c r="G150" s="574"/>
      <c r="H150" s="574"/>
      <c r="I150" s="470"/>
      <c r="J150" s="470"/>
      <c r="K150" s="470"/>
      <c r="L150" s="470"/>
      <c r="M150" s="470"/>
      <c r="N150" s="470"/>
      <c r="O150" s="470"/>
      <c r="P150" s="470"/>
      <c r="Q150" s="574"/>
      <c r="R150" s="574"/>
      <c r="S150" s="574"/>
      <c r="T150" s="574"/>
    </row>
    <row r="151" spans="1:20" x14ac:dyDescent="0.3">
      <c r="C151" s="65"/>
      <c r="D151" s="65"/>
    </row>
    <row r="152" spans="1:20" ht="14.4" customHeight="1" x14ac:dyDescent="0.3">
      <c r="A152" s="82"/>
      <c r="B152" s="82"/>
      <c r="C152" s="465"/>
      <c r="D152" s="465"/>
      <c r="E152" s="82"/>
      <c r="F152" s="82"/>
      <c r="G152" s="575"/>
      <c r="H152" s="575"/>
      <c r="I152" s="82"/>
      <c r="J152" s="575"/>
      <c r="K152" s="575"/>
      <c r="L152" s="82"/>
      <c r="M152" s="82"/>
      <c r="N152" s="575"/>
      <c r="O152" s="82"/>
      <c r="P152" s="82"/>
      <c r="Q152" s="65"/>
    </row>
    <row r="153" spans="1:20" ht="14.4" customHeight="1" x14ac:dyDescent="0.3">
      <c r="A153" s="82"/>
      <c r="B153" s="82"/>
      <c r="C153" s="465"/>
      <c r="D153" s="465"/>
      <c r="E153" s="82"/>
      <c r="F153" s="82"/>
      <c r="G153" s="575"/>
      <c r="H153" s="575"/>
      <c r="I153" s="82"/>
      <c r="J153" s="575"/>
      <c r="K153" s="575"/>
      <c r="L153" s="82"/>
      <c r="M153" s="82"/>
      <c r="N153" s="575"/>
      <c r="O153" s="82"/>
      <c r="P153" s="82"/>
    </row>
    <row r="154" spans="1:20" ht="14.4" customHeight="1" x14ac:dyDescent="0.3">
      <c r="A154" s="573"/>
      <c r="B154" s="570"/>
      <c r="C154" s="570"/>
      <c r="D154" s="570"/>
      <c r="E154" s="570"/>
      <c r="F154" s="570"/>
      <c r="G154" s="570"/>
      <c r="H154" s="570"/>
      <c r="I154" s="570"/>
      <c r="J154" s="570"/>
      <c r="K154" s="570"/>
      <c r="L154" s="570"/>
      <c r="M154" s="570"/>
      <c r="N154" s="570"/>
      <c r="O154" s="570"/>
      <c r="P154" s="570"/>
      <c r="Q154" s="570"/>
      <c r="R154" s="570"/>
      <c r="S154" s="570"/>
      <c r="T154" s="570"/>
    </row>
    <row r="155" spans="1:20" ht="14.4" customHeight="1" x14ac:dyDescent="0.3">
      <c r="A155" s="570"/>
      <c r="B155" s="570"/>
      <c r="C155" s="570"/>
      <c r="D155" s="570"/>
      <c r="E155" s="570"/>
      <c r="F155" s="570"/>
      <c r="G155" s="570"/>
      <c r="H155" s="570"/>
      <c r="I155" s="570"/>
      <c r="J155" s="570"/>
      <c r="K155" s="570"/>
      <c r="L155" s="570"/>
      <c r="M155" s="570"/>
      <c r="N155" s="570"/>
      <c r="O155" s="570"/>
      <c r="P155" s="570"/>
      <c r="Q155" s="570"/>
      <c r="R155" s="570"/>
      <c r="S155" s="570"/>
      <c r="T155" s="570"/>
    </row>
    <row r="156" spans="1:20" ht="14.4" customHeight="1" x14ac:dyDescent="0.3">
      <c r="A156" s="570"/>
      <c r="B156" s="570"/>
      <c r="C156" s="570"/>
      <c r="D156" s="570"/>
      <c r="E156" s="570"/>
      <c r="F156" s="570"/>
      <c r="G156" s="570"/>
      <c r="H156" s="570"/>
      <c r="I156" s="570"/>
      <c r="J156" s="570"/>
      <c r="K156" s="570"/>
      <c r="L156" s="570"/>
      <c r="M156" s="570"/>
      <c r="N156" s="570"/>
      <c r="O156" s="570"/>
      <c r="P156" s="570"/>
      <c r="Q156" s="570"/>
      <c r="R156" s="570"/>
      <c r="S156" s="570"/>
      <c r="T156" s="570"/>
    </row>
  </sheetData>
  <mergeCells count="281">
    <mergeCell ref="G1:M2"/>
    <mergeCell ref="A4:D4"/>
    <mergeCell ref="G4:H4"/>
    <mergeCell ref="J4:K4"/>
    <mergeCell ref="Q4:T4"/>
    <mergeCell ref="A5:B5"/>
    <mergeCell ref="C5:D5"/>
    <mergeCell ref="N6:N7"/>
    <mergeCell ref="Q6:Q7"/>
    <mergeCell ref="R6:R7"/>
    <mergeCell ref="S6:S7"/>
    <mergeCell ref="T6:T7"/>
    <mergeCell ref="A6:B7"/>
    <mergeCell ref="C6:D7"/>
    <mergeCell ref="G6:G7"/>
    <mergeCell ref="H6:H7"/>
    <mergeCell ref="J6:J7"/>
    <mergeCell ref="K6:K7"/>
    <mergeCell ref="N8:N9"/>
    <mergeCell ref="Q8:Q9"/>
    <mergeCell ref="R8:R9"/>
    <mergeCell ref="S8:S9"/>
    <mergeCell ref="T8:T9"/>
    <mergeCell ref="A8:B9"/>
    <mergeCell ref="C8:D9"/>
    <mergeCell ref="G8:G9"/>
    <mergeCell ref="H8:H9"/>
    <mergeCell ref="J8:J9"/>
    <mergeCell ref="K8:K9"/>
    <mergeCell ref="N10:N11"/>
    <mergeCell ref="Q10:Q11"/>
    <mergeCell ref="R10:R11"/>
    <mergeCell ref="S10:S11"/>
    <mergeCell ref="T10:T11"/>
    <mergeCell ref="A10:B11"/>
    <mergeCell ref="C10:D11"/>
    <mergeCell ref="G10:G11"/>
    <mergeCell ref="H10:H11"/>
    <mergeCell ref="J10:J11"/>
    <mergeCell ref="K10:K11"/>
    <mergeCell ref="N12:N13"/>
    <mergeCell ref="Q12:Q13"/>
    <mergeCell ref="R12:R13"/>
    <mergeCell ref="S12:S13"/>
    <mergeCell ref="T12:T13"/>
    <mergeCell ref="A12:B13"/>
    <mergeCell ref="C12:D13"/>
    <mergeCell ref="G12:G13"/>
    <mergeCell ref="H12:H13"/>
    <mergeCell ref="J12:J13"/>
    <mergeCell ref="K12:K13"/>
    <mergeCell ref="N14:N15"/>
    <mergeCell ref="Q14:Q15"/>
    <mergeCell ref="R14:R15"/>
    <mergeCell ref="S14:S15"/>
    <mergeCell ref="T14:T15"/>
    <mergeCell ref="A14:B15"/>
    <mergeCell ref="C14:D15"/>
    <mergeCell ref="G14:G15"/>
    <mergeCell ref="H14:H15"/>
    <mergeCell ref="J14:J15"/>
    <mergeCell ref="K14:K15"/>
    <mergeCell ref="N16:N17"/>
    <mergeCell ref="Q16:Q17"/>
    <mergeCell ref="R16:R17"/>
    <mergeCell ref="S16:S17"/>
    <mergeCell ref="T16:T17"/>
    <mergeCell ref="A16:B17"/>
    <mergeCell ref="C16:D17"/>
    <mergeCell ref="G16:G17"/>
    <mergeCell ref="H16:H17"/>
    <mergeCell ref="J16:J17"/>
    <mergeCell ref="K16:K17"/>
    <mergeCell ref="N18:N19"/>
    <mergeCell ref="Q18:Q19"/>
    <mergeCell ref="R18:R19"/>
    <mergeCell ref="S18:S19"/>
    <mergeCell ref="T18:T19"/>
    <mergeCell ref="A18:B19"/>
    <mergeCell ref="C18:D19"/>
    <mergeCell ref="G18:G19"/>
    <mergeCell ref="H18:H19"/>
    <mergeCell ref="J18:J19"/>
    <mergeCell ref="K18:K19"/>
    <mergeCell ref="N20:N21"/>
    <mergeCell ref="Q20:Q21"/>
    <mergeCell ref="R20:R21"/>
    <mergeCell ref="S20:S21"/>
    <mergeCell ref="T20:T21"/>
    <mergeCell ref="A20:B21"/>
    <mergeCell ref="C20:D21"/>
    <mergeCell ref="G20:G21"/>
    <mergeCell ref="H20:H21"/>
    <mergeCell ref="J20:J21"/>
    <mergeCell ref="K20:K21"/>
    <mergeCell ref="N22:N23"/>
    <mergeCell ref="Q22:Q23"/>
    <mergeCell ref="R22:R23"/>
    <mergeCell ref="S22:S23"/>
    <mergeCell ref="T22:T23"/>
    <mergeCell ref="A22:B23"/>
    <mergeCell ref="C22:D23"/>
    <mergeCell ref="G22:G23"/>
    <mergeCell ref="H22:H23"/>
    <mergeCell ref="J22:J23"/>
    <mergeCell ref="K22:K23"/>
    <mergeCell ref="N24:N25"/>
    <mergeCell ref="Q24:Q25"/>
    <mergeCell ref="R24:R25"/>
    <mergeCell ref="S24:S25"/>
    <mergeCell ref="T24:T25"/>
    <mergeCell ref="A24:B25"/>
    <mergeCell ref="C24:D25"/>
    <mergeCell ref="G24:G25"/>
    <mergeCell ref="H24:H25"/>
    <mergeCell ref="J24:J25"/>
    <mergeCell ref="K24:K25"/>
    <mergeCell ref="N32:N33"/>
    <mergeCell ref="Q32:Q33"/>
    <mergeCell ref="R32:R33"/>
    <mergeCell ref="S32:S33"/>
    <mergeCell ref="T32:T33"/>
    <mergeCell ref="A26:B26"/>
    <mergeCell ref="C26:D26"/>
    <mergeCell ref="G28:M29"/>
    <mergeCell ref="Q30:T30"/>
    <mergeCell ref="A32:B33"/>
    <mergeCell ref="C32:D33"/>
    <mergeCell ref="G32:G33"/>
    <mergeCell ref="H32:H33"/>
    <mergeCell ref="J32:J33"/>
    <mergeCell ref="K32:K33"/>
    <mergeCell ref="A30:D30"/>
    <mergeCell ref="G30:H30"/>
    <mergeCell ref="J30:K30"/>
    <mergeCell ref="A31:B31"/>
    <mergeCell ref="C31:D31"/>
    <mergeCell ref="N34:N35"/>
    <mergeCell ref="Q34:Q35"/>
    <mergeCell ref="R34:R35"/>
    <mergeCell ref="S34:S35"/>
    <mergeCell ref="T34:T35"/>
    <mergeCell ref="A34:B35"/>
    <mergeCell ref="C34:D35"/>
    <mergeCell ref="G34:G35"/>
    <mergeCell ref="H34:H35"/>
    <mergeCell ref="J34:J35"/>
    <mergeCell ref="K34:K35"/>
    <mergeCell ref="N36:N37"/>
    <mergeCell ref="Q36:Q37"/>
    <mergeCell ref="R36:R37"/>
    <mergeCell ref="S36:S37"/>
    <mergeCell ref="T36:T37"/>
    <mergeCell ref="A36:B37"/>
    <mergeCell ref="C36:D37"/>
    <mergeCell ref="G36:G37"/>
    <mergeCell ref="H36:H37"/>
    <mergeCell ref="J36:J37"/>
    <mergeCell ref="K36:K37"/>
    <mergeCell ref="N38:N39"/>
    <mergeCell ref="Q38:Q39"/>
    <mergeCell ref="R38:R39"/>
    <mergeCell ref="S38:S39"/>
    <mergeCell ref="T38:T39"/>
    <mergeCell ref="A38:B39"/>
    <mergeCell ref="C38:D39"/>
    <mergeCell ref="G38:G39"/>
    <mergeCell ref="H38:H39"/>
    <mergeCell ref="J38:J39"/>
    <mergeCell ref="K38:K39"/>
    <mergeCell ref="N40:N41"/>
    <mergeCell ref="Q40:Q41"/>
    <mergeCell ref="R40:R41"/>
    <mergeCell ref="S40:S41"/>
    <mergeCell ref="T40:T41"/>
    <mergeCell ref="A40:B41"/>
    <mergeCell ref="C40:D41"/>
    <mergeCell ref="G40:G41"/>
    <mergeCell ref="H40:H41"/>
    <mergeCell ref="J40:J41"/>
    <mergeCell ref="K40:K41"/>
    <mergeCell ref="N45:N46"/>
    <mergeCell ref="Q45:Q46"/>
    <mergeCell ref="R45:R46"/>
    <mergeCell ref="S45:S46"/>
    <mergeCell ref="T45:T46"/>
    <mergeCell ref="G43:M43"/>
    <mergeCell ref="A45:B46"/>
    <mergeCell ref="C45:D46"/>
    <mergeCell ref="G45:G46"/>
    <mergeCell ref="H45:H46"/>
    <mergeCell ref="J45:J46"/>
    <mergeCell ref="K45:K46"/>
    <mergeCell ref="N47:N48"/>
    <mergeCell ref="Q47:Q48"/>
    <mergeCell ref="R47:R48"/>
    <mergeCell ref="S47:S48"/>
    <mergeCell ref="T47:T48"/>
    <mergeCell ref="A47:B48"/>
    <mergeCell ref="C47:D48"/>
    <mergeCell ref="G47:G48"/>
    <mergeCell ref="H47:H48"/>
    <mergeCell ref="J47:J48"/>
    <mergeCell ref="K47:K48"/>
    <mergeCell ref="N49:N50"/>
    <mergeCell ref="Q49:Q50"/>
    <mergeCell ref="R49:R50"/>
    <mergeCell ref="S49:S50"/>
    <mergeCell ref="T49:T50"/>
    <mergeCell ref="A49:B50"/>
    <mergeCell ref="C49:D50"/>
    <mergeCell ref="G49:G50"/>
    <mergeCell ref="H49:H50"/>
    <mergeCell ref="J49:J50"/>
    <mergeCell ref="K49:K50"/>
    <mergeCell ref="N51:N52"/>
    <mergeCell ref="Q51:Q52"/>
    <mergeCell ref="R51:R52"/>
    <mergeCell ref="S51:S52"/>
    <mergeCell ref="T51:T52"/>
    <mergeCell ref="A51:B52"/>
    <mergeCell ref="C51:D52"/>
    <mergeCell ref="G51:G52"/>
    <mergeCell ref="H51:H52"/>
    <mergeCell ref="J51:J52"/>
    <mergeCell ref="K51:K52"/>
    <mergeCell ref="N53:N54"/>
    <mergeCell ref="Q53:Q54"/>
    <mergeCell ref="R53:R54"/>
    <mergeCell ref="S53:S54"/>
    <mergeCell ref="T53:T54"/>
    <mergeCell ref="A53:B54"/>
    <mergeCell ref="C53:D54"/>
    <mergeCell ref="G53:G54"/>
    <mergeCell ref="H53:H54"/>
    <mergeCell ref="J53:J54"/>
    <mergeCell ref="K53:K54"/>
    <mergeCell ref="N55:N56"/>
    <mergeCell ref="Q55:Q56"/>
    <mergeCell ref="R55:R56"/>
    <mergeCell ref="S55:S56"/>
    <mergeCell ref="T55:T56"/>
    <mergeCell ref="A55:B56"/>
    <mergeCell ref="C55:D56"/>
    <mergeCell ref="G55:G56"/>
    <mergeCell ref="H55:H56"/>
    <mergeCell ref="J55:J56"/>
    <mergeCell ref="K55:K56"/>
    <mergeCell ref="N57:N58"/>
    <mergeCell ref="Q57:Q58"/>
    <mergeCell ref="R57:R58"/>
    <mergeCell ref="S57:S58"/>
    <mergeCell ref="T57:T58"/>
    <mergeCell ref="A57:B58"/>
    <mergeCell ref="C57:D58"/>
    <mergeCell ref="G57:G58"/>
    <mergeCell ref="H57:H58"/>
    <mergeCell ref="J57:J58"/>
    <mergeCell ref="K57:K58"/>
    <mergeCell ref="N59:N60"/>
    <mergeCell ref="Q59:Q60"/>
    <mergeCell ref="R59:R60"/>
    <mergeCell ref="S59:S60"/>
    <mergeCell ref="T59:T60"/>
    <mergeCell ref="A59:B60"/>
    <mergeCell ref="C59:D60"/>
    <mergeCell ref="G59:G60"/>
    <mergeCell ref="H59:H60"/>
    <mergeCell ref="J59:J60"/>
    <mergeCell ref="K59:K60"/>
    <mergeCell ref="N61:N62"/>
    <mergeCell ref="Q61:Q62"/>
    <mergeCell ref="R61:R62"/>
    <mergeCell ref="S61:S62"/>
    <mergeCell ref="T61:T62"/>
    <mergeCell ref="A61:B62"/>
    <mergeCell ref="C61:D62"/>
    <mergeCell ref="G61:G62"/>
    <mergeCell ref="H61:H62"/>
    <mergeCell ref="J61:J62"/>
    <mergeCell ref="K61:K6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$_DATI_BASE</vt:lpstr>
      <vt:lpstr>$_DB_CICLI</vt:lpstr>
      <vt:lpstr>$_FABB_PARTI_LOTTI</vt:lpstr>
      <vt:lpstr>$_FABB_PARTI_LOTTI_TOTALE</vt:lpstr>
      <vt:lpstr>$_OP_MONTAGGIO</vt:lpstr>
      <vt:lpstr>$_MAG_BUFFER_TOTALE</vt:lpstr>
      <vt:lpstr>$_MAG_BUFFER</vt:lpstr>
      <vt:lpstr>DIM_MAG_TOTALE</vt:lpstr>
      <vt:lpstr>DIM_Magazzini</vt:lpstr>
      <vt:lpstr>$_MOV_MATERIALI_TOTALE</vt:lpstr>
      <vt:lpstr>$_MOV_MATERIALI</vt:lpstr>
      <vt:lpstr>DIM_BANCHINE_TOTALE</vt:lpstr>
      <vt:lpstr>DIMENSIONI E PESI</vt:lpstr>
      <vt:lpstr>ALTRI_DATI</vt:lpstr>
    </vt:vector>
  </TitlesOfParts>
  <Manager/>
  <Company>Comau S.p.A.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Pier Franco Luciani</dc:creator>
  <cp:keywords/>
  <dc:description/>
  <cp:lastModifiedBy>PULVIRENTI LUCA</cp:lastModifiedBy>
  <cp:revision/>
  <dcterms:created xsi:type="dcterms:W3CDTF">2022-10-07T13:38:05Z</dcterms:created>
  <dcterms:modified xsi:type="dcterms:W3CDTF">2024-01-21T20:51:30Z</dcterms:modified>
  <cp:category/>
  <cp:contentStatus/>
</cp:coreProperties>
</file>